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120" windowWidth="20730" windowHeight="11640" activeTab="1"/>
  </bookViews>
  <sheets>
    <sheet name="data" sheetId="5" r:id="rId1"/>
    <sheet name="Mass Report" sheetId="23" r:id="rId2"/>
    <sheet name="Report" sheetId="22" r:id="rId3"/>
    <sheet name="P and K tables" sheetId="9" r:id="rId4"/>
    <sheet name="sufficiency ranges " sheetId="1" r:id="rId5"/>
    <sheet name="P and K demand" sheetId="8" r:id="rId6"/>
  </sheets>
  <definedNames>
    <definedName name="_xlnm.Print_Area" localSheetId="1">'Mass Report'!$A$1:$Y$26</definedName>
    <definedName name="_xlnm.Print_Area" localSheetId="2">Report!$A$1:$H$46</definedName>
    <definedName name="_xlnm.Print_Titles" localSheetId="1">'Mass Report'!$1:$16</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2" i="23" l="1"/>
  <c r="G12" i="23"/>
  <c r="B17" i="23"/>
  <c r="B18" i="23"/>
  <c r="B19" i="23"/>
  <c r="B20" i="23"/>
  <c r="B21" i="23"/>
  <c r="B22" i="23"/>
  <c r="B23" i="23"/>
  <c r="B24" i="23"/>
  <c r="B25" i="23"/>
  <c r="B26" i="23"/>
  <c r="C18" i="23"/>
  <c r="C19" i="23"/>
  <c r="C20" i="23"/>
  <c r="C21" i="23"/>
  <c r="C22" i="23"/>
  <c r="C23" i="23"/>
  <c r="C24" i="23"/>
  <c r="C25" i="23"/>
  <c r="C26" i="23"/>
  <c r="C17" i="23"/>
  <c r="A12" i="23" l="1"/>
  <c r="D17" i="23"/>
  <c r="D18" i="23"/>
  <c r="F18" i="23"/>
  <c r="H18" i="23"/>
  <c r="J18" i="23"/>
  <c r="L18" i="23"/>
  <c r="N18" i="23"/>
  <c r="P18" i="23"/>
  <c r="R18" i="23"/>
  <c r="T18" i="23"/>
  <c r="V18" i="23"/>
  <c r="X18" i="23"/>
  <c r="D19" i="23"/>
  <c r="F19" i="23"/>
  <c r="H19" i="23"/>
  <c r="J19" i="23"/>
  <c r="L19" i="23"/>
  <c r="N19" i="23"/>
  <c r="P19" i="23"/>
  <c r="R19" i="23"/>
  <c r="T19" i="23"/>
  <c r="V19" i="23"/>
  <c r="X19" i="23"/>
  <c r="D20" i="23"/>
  <c r="F20" i="23"/>
  <c r="H20" i="23"/>
  <c r="J20" i="23"/>
  <c r="L20" i="23"/>
  <c r="N20" i="23"/>
  <c r="P20" i="23"/>
  <c r="R20" i="23"/>
  <c r="T20" i="23"/>
  <c r="V20" i="23"/>
  <c r="X20" i="23"/>
  <c r="D21" i="23"/>
  <c r="F21" i="23"/>
  <c r="H21" i="23"/>
  <c r="J21" i="23"/>
  <c r="L21" i="23"/>
  <c r="N21" i="23"/>
  <c r="P21" i="23"/>
  <c r="R21" i="23"/>
  <c r="T21" i="23"/>
  <c r="V21" i="23"/>
  <c r="X21" i="23"/>
  <c r="D22" i="23"/>
  <c r="F22" i="23"/>
  <c r="H22" i="23"/>
  <c r="J22" i="23"/>
  <c r="L22" i="23"/>
  <c r="N22" i="23"/>
  <c r="P22" i="23"/>
  <c r="R22" i="23"/>
  <c r="T22" i="23"/>
  <c r="V22" i="23"/>
  <c r="X22" i="23"/>
  <c r="D23" i="23"/>
  <c r="F23" i="23"/>
  <c r="H23" i="23"/>
  <c r="J23" i="23"/>
  <c r="L23" i="23"/>
  <c r="N23" i="23"/>
  <c r="P23" i="23"/>
  <c r="R23" i="23"/>
  <c r="T23" i="23"/>
  <c r="V23" i="23"/>
  <c r="X23" i="23"/>
  <c r="D24" i="23"/>
  <c r="F24" i="23"/>
  <c r="H24" i="23"/>
  <c r="J24" i="23"/>
  <c r="L24" i="23"/>
  <c r="N24" i="23"/>
  <c r="P24" i="23"/>
  <c r="R24" i="23"/>
  <c r="T24" i="23"/>
  <c r="V24" i="23"/>
  <c r="X24" i="23"/>
  <c r="D25" i="23"/>
  <c r="F25" i="23"/>
  <c r="H25" i="23"/>
  <c r="J25" i="23"/>
  <c r="L25" i="23"/>
  <c r="N25" i="23"/>
  <c r="P25" i="23"/>
  <c r="R25" i="23"/>
  <c r="T25" i="23"/>
  <c r="V25" i="23"/>
  <c r="X25" i="23"/>
  <c r="D26" i="23"/>
  <c r="F26" i="23"/>
  <c r="H26" i="23"/>
  <c r="J26" i="23"/>
  <c r="L26" i="23"/>
  <c r="N26" i="23"/>
  <c r="P26" i="23"/>
  <c r="R26" i="23"/>
  <c r="T26" i="23"/>
  <c r="V26" i="23"/>
  <c r="X26" i="23"/>
  <c r="F17" i="23"/>
  <c r="H17" i="23"/>
  <c r="J17" i="23"/>
  <c r="L17" i="23"/>
  <c r="N17" i="23"/>
  <c r="P17" i="23"/>
  <c r="R17" i="23"/>
  <c r="T17" i="23"/>
  <c r="V17" i="23"/>
  <c r="X17" i="23"/>
  <c r="B8" i="23"/>
  <c r="B7" i="23"/>
  <c r="B6" i="23"/>
  <c r="B12" i="23"/>
  <c r="V7" i="23"/>
  <c r="V6" i="23"/>
  <c r="AC17" i="23" l="1"/>
  <c r="AP17" i="23"/>
  <c r="AL17" i="23"/>
  <c r="AG17" i="23"/>
  <c r="AB17" i="23"/>
  <c r="AV17" i="23"/>
  <c r="AR17" i="23"/>
  <c r="AK17" i="23"/>
  <c r="AF17" i="23"/>
  <c r="AB18" i="23"/>
  <c r="AF18" i="23"/>
  <c r="AJ18" i="23"/>
  <c r="AN18" i="23"/>
  <c r="AP18" i="23"/>
  <c r="AV18" i="23"/>
  <c r="AD19" i="23"/>
  <c r="AH19" i="23"/>
  <c r="AL19" i="23"/>
  <c r="AR19" i="23"/>
  <c r="AT19" i="23"/>
  <c r="AB20" i="23"/>
  <c r="AF20" i="23"/>
  <c r="AJ20" i="23"/>
  <c r="AN20" i="23"/>
  <c r="AP20" i="23"/>
  <c r="AV20" i="23"/>
  <c r="AD21" i="23"/>
  <c r="AH21" i="23"/>
  <c r="AL21" i="23"/>
  <c r="AR21" i="23"/>
  <c r="AT21" i="23"/>
  <c r="AB22" i="23"/>
  <c r="AF22" i="23"/>
  <c r="AJ22" i="23"/>
  <c r="AN22" i="23"/>
  <c r="AC18" i="23"/>
  <c r="AG18" i="23"/>
  <c r="AK18" i="23"/>
  <c r="AQ18" i="23"/>
  <c r="AS18" i="23"/>
  <c r="AA19" i="23"/>
  <c r="AE19" i="23"/>
  <c r="AI19" i="23"/>
  <c r="AM19" i="23"/>
  <c r="AO19" i="23"/>
  <c r="AU19" i="23"/>
  <c r="AC20" i="23"/>
  <c r="AG20" i="23"/>
  <c r="AK20" i="23"/>
  <c r="AQ20" i="23"/>
  <c r="AS20" i="23"/>
  <c r="AA21" i="23"/>
  <c r="AE21" i="23"/>
  <c r="AI21" i="23"/>
  <c r="AM21" i="23"/>
  <c r="AO21" i="23"/>
  <c r="AU21" i="23"/>
  <c r="AC22" i="23"/>
  <c r="AG22" i="23"/>
  <c r="AK22" i="23"/>
  <c r="AQ22" i="23"/>
  <c r="AD18" i="23"/>
  <c r="AH18" i="23"/>
  <c r="AL18" i="23"/>
  <c r="AR18" i="23"/>
  <c r="AT18" i="23"/>
  <c r="AB19" i="23"/>
  <c r="AF19" i="23"/>
  <c r="AJ19" i="23"/>
  <c r="AN19" i="23"/>
  <c r="AP19" i="23"/>
  <c r="AV19" i="23"/>
  <c r="AD20" i="23"/>
  <c r="AH20" i="23"/>
  <c r="AL20" i="23"/>
  <c r="AR20" i="23"/>
  <c r="AT20" i="23"/>
  <c r="AB21" i="23"/>
  <c r="AF21" i="23"/>
  <c r="AJ21" i="23"/>
  <c r="AN21" i="23"/>
  <c r="AP21" i="23"/>
  <c r="AV21" i="23"/>
  <c r="AD22" i="23"/>
  <c r="AH22" i="23"/>
  <c r="AL22" i="23"/>
  <c r="AR22" i="23"/>
  <c r="AA18" i="23"/>
  <c r="AE18" i="23"/>
  <c r="AI18" i="23"/>
  <c r="AM18" i="23"/>
  <c r="AO18" i="23"/>
  <c r="AU18" i="23"/>
  <c r="AC19" i="23"/>
  <c r="AG19" i="23"/>
  <c r="AK19" i="23"/>
  <c r="AQ19" i="23"/>
  <c r="AS19" i="23"/>
  <c r="AA20" i="23"/>
  <c r="AE20" i="23"/>
  <c r="AI20" i="23"/>
  <c r="AM20" i="23"/>
  <c r="AO20" i="23"/>
  <c r="AU20" i="23"/>
  <c r="AC21" i="23"/>
  <c r="AG21" i="23"/>
  <c r="AK21" i="23"/>
  <c r="AQ21" i="23"/>
  <c r="AS21" i="23"/>
  <c r="AA22" i="23"/>
  <c r="AE22" i="23"/>
  <c r="AI22" i="23"/>
  <c r="AM22" i="23"/>
  <c r="AO22" i="23"/>
  <c r="AU22" i="23"/>
  <c r="AC23" i="23"/>
  <c r="AG23" i="23"/>
  <c r="AK23" i="23"/>
  <c r="AQ23" i="23"/>
  <c r="AS23" i="23"/>
  <c r="AA24" i="23"/>
  <c r="AE24" i="23"/>
  <c r="AI24" i="23"/>
  <c r="AM24" i="23"/>
  <c r="AO24" i="23"/>
  <c r="AU24" i="23"/>
  <c r="AC25" i="23"/>
  <c r="AG25" i="23"/>
  <c r="AK25" i="23"/>
  <c r="AQ25" i="23"/>
  <c r="AS25" i="23"/>
  <c r="AA26" i="23"/>
  <c r="AE26" i="23"/>
  <c r="AI26" i="23"/>
  <c r="AM26" i="23"/>
  <c r="AO26" i="23"/>
  <c r="AU26" i="23"/>
  <c r="AS22" i="23"/>
  <c r="AD23" i="23"/>
  <c r="AI23" i="23"/>
  <c r="AN23" i="23"/>
  <c r="AT23" i="23"/>
  <c r="AD24" i="23"/>
  <c r="AJ24" i="23"/>
  <c r="AQ24" i="23"/>
  <c r="AT24" i="23"/>
  <c r="AE25" i="23"/>
  <c r="AJ25" i="23"/>
  <c r="AR25" i="23"/>
  <c r="AU25" i="23"/>
  <c r="AF26" i="23"/>
  <c r="AK26" i="23"/>
  <c r="AR26" i="23"/>
  <c r="AV26" i="23"/>
  <c r="AT22" i="23"/>
  <c r="AE23" i="23"/>
  <c r="AJ23" i="23"/>
  <c r="AR23" i="23"/>
  <c r="AU23" i="23"/>
  <c r="AF24" i="23"/>
  <c r="AK24" i="23"/>
  <c r="AR24" i="23"/>
  <c r="AV24" i="23"/>
  <c r="AA25" i="23"/>
  <c r="AF25" i="23"/>
  <c r="AL25" i="23"/>
  <c r="AO25" i="23"/>
  <c r="AV25" i="23"/>
  <c r="AB26" i="23"/>
  <c r="AG26" i="23"/>
  <c r="AL26" i="23"/>
  <c r="AP26" i="23"/>
  <c r="AV22" i="23"/>
  <c r="AA23" i="23"/>
  <c r="AF23" i="23"/>
  <c r="AL23" i="23"/>
  <c r="AO23" i="23"/>
  <c r="AV23" i="23"/>
  <c r="AB24" i="23"/>
  <c r="AG24" i="23"/>
  <c r="AL24" i="23"/>
  <c r="AP24" i="23"/>
  <c r="AB25" i="23"/>
  <c r="AH25" i="23"/>
  <c r="AM25" i="23"/>
  <c r="AP25" i="23"/>
  <c r="AC26" i="23"/>
  <c r="AH26" i="23"/>
  <c r="AN26" i="23"/>
  <c r="AS26" i="23"/>
  <c r="AP22" i="23"/>
  <c r="AB23" i="23"/>
  <c r="AH23" i="23"/>
  <c r="AM23" i="23"/>
  <c r="AP23" i="23"/>
  <c r="AC24" i="23"/>
  <c r="AH24" i="23"/>
  <c r="AN24" i="23"/>
  <c r="AS24" i="23"/>
  <c r="AD25" i="23"/>
  <c r="AI25" i="23"/>
  <c r="AN25" i="23"/>
  <c r="AT25" i="23"/>
  <c r="AD26" i="23"/>
  <c r="AJ26" i="23"/>
  <c r="AQ26" i="23"/>
  <c r="AT26" i="23"/>
  <c r="AE17" i="23"/>
  <c r="AI17" i="23"/>
  <c r="AM17" i="23"/>
  <c r="AO17" i="23"/>
  <c r="U17" i="23" s="1"/>
  <c r="AU17" i="23"/>
  <c r="AD17" i="23"/>
  <c r="AT17" i="23"/>
  <c r="AQ17" i="23"/>
  <c r="AJ17" i="23"/>
  <c r="AA17" i="23"/>
  <c r="E17" i="23" s="1"/>
  <c r="AS17" i="23"/>
  <c r="AN17" i="23"/>
  <c r="AH17" i="23"/>
  <c r="L47" i="22"/>
  <c r="L46" i="22"/>
  <c r="L45" i="22"/>
  <c r="L44" i="22"/>
  <c r="L43" i="22"/>
  <c r="L42" i="22"/>
  <c r="L41" i="22"/>
  <c r="L40" i="22"/>
  <c r="L39" i="22"/>
  <c r="C39" i="22" s="1"/>
  <c r="L38" i="22"/>
  <c r="C38" i="22" s="1"/>
  <c r="S17" i="23" l="1"/>
  <c r="W17" i="23"/>
  <c r="Q17" i="23"/>
  <c r="M17" i="23"/>
  <c r="Y17" i="23"/>
  <c r="O17" i="23"/>
  <c r="I17" i="23"/>
  <c r="K17" i="23"/>
  <c r="G17" i="23"/>
  <c r="W21" i="23"/>
  <c r="D47" i="22"/>
  <c r="D46" i="22"/>
  <c r="D45" i="22"/>
  <c r="D44" i="22"/>
  <c r="C41" i="22"/>
  <c r="D41" i="22" s="1"/>
  <c r="C40" i="22"/>
  <c r="D39" i="22"/>
  <c r="L37" i="22"/>
  <c r="C37" i="22" s="1"/>
  <c r="E33" i="22"/>
  <c r="C33" i="22"/>
  <c r="I28" i="22"/>
  <c r="C27" i="22"/>
  <c r="C26" i="22"/>
  <c r="C25" i="22"/>
  <c r="C24" i="22"/>
  <c r="C23" i="22"/>
  <c r="C22" i="22"/>
  <c r="C21" i="22"/>
  <c r="C20" i="22"/>
  <c r="C19" i="22"/>
  <c r="C18" i="22"/>
  <c r="C17" i="22"/>
  <c r="H13" i="22"/>
  <c r="C13" i="22"/>
  <c r="H12" i="22"/>
  <c r="C12" i="22"/>
  <c r="H11" i="22"/>
  <c r="C11" i="22"/>
  <c r="C10" i="22"/>
  <c r="C8" i="22"/>
  <c r="H7" i="22"/>
  <c r="C7" i="22"/>
  <c r="H6" i="22"/>
  <c r="C6" i="22"/>
  <c r="W20" i="23" l="1"/>
  <c r="W19" i="23"/>
  <c r="W18" i="23"/>
  <c r="G19" i="23"/>
  <c r="G18" i="23"/>
  <c r="M18" i="23"/>
  <c r="AB48" i="22"/>
  <c r="C34" i="22"/>
  <c r="E37" i="22" s="1"/>
  <c r="E18" i="23"/>
  <c r="E19" i="23"/>
  <c r="S18" i="23"/>
  <c r="I18" i="23"/>
  <c r="T18" i="22"/>
  <c r="T17" i="22"/>
  <c r="Y18" i="23"/>
  <c r="Q18" i="23"/>
  <c r="U18" i="23"/>
  <c r="O18" i="23"/>
  <c r="K18" i="23"/>
  <c r="G20" i="23"/>
  <c r="C45" i="22"/>
  <c r="E29" i="22"/>
  <c r="U23" i="22"/>
  <c r="T26" i="22"/>
  <c r="E26" i="22" s="1"/>
  <c r="C47" i="22"/>
  <c r="X38" i="22"/>
  <c r="Y46" i="22"/>
  <c r="C44" i="22"/>
  <c r="N45" i="22"/>
  <c r="W47" i="22"/>
  <c r="AA40" i="22"/>
  <c r="W41" i="22"/>
  <c r="N44" i="22"/>
  <c r="W45" i="22"/>
  <c r="AA47" i="22"/>
  <c r="Z39" i="22"/>
  <c r="W40" i="22"/>
  <c r="AA41" i="22"/>
  <c r="N43" i="22"/>
  <c r="C46" i="22"/>
  <c r="AA45" i="22"/>
  <c r="P46" i="22"/>
  <c r="Y48" i="22"/>
  <c r="D43" i="22"/>
  <c r="C43" i="22"/>
  <c r="D42" i="22"/>
  <c r="C42" i="22"/>
  <c r="T27" i="22"/>
  <c r="U24" i="22"/>
  <c r="T23" i="22"/>
  <c r="U20" i="22"/>
  <c r="T19" i="22"/>
  <c r="U25" i="22"/>
  <c r="T24" i="22"/>
  <c r="U21" i="22"/>
  <c r="T20" i="22"/>
  <c r="U17" i="22"/>
  <c r="E30" i="22"/>
  <c r="U26" i="22"/>
  <c r="T25" i="22"/>
  <c r="E25" i="22" s="1"/>
  <c r="U22" i="22"/>
  <c r="T21" i="22"/>
  <c r="U18" i="22"/>
  <c r="U19" i="22"/>
  <c r="T22" i="22"/>
  <c r="U27" i="22"/>
  <c r="D40" i="22"/>
  <c r="P36" i="22"/>
  <c r="Y38" i="22"/>
  <c r="W39" i="22"/>
  <c r="AA39" i="22"/>
  <c r="X40" i="22"/>
  <c r="N41" i="22"/>
  <c r="X41" i="22"/>
  <c r="N42" i="22"/>
  <c r="O43" i="22"/>
  <c r="O44" i="22"/>
  <c r="O45" i="22"/>
  <c r="X45" i="22"/>
  <c r="AB45" i="22"/>
  <c r="Q46" i="22"/>
  <c r="Z46" i="22"/>
  <c r="X47" i="22"/>
  <c r="AB47" i="22"/>
  <c r="Z48" i="22"/>
  <c r="Z38" i="22"/>
  <c r="X39" i="22"/>
  <c r="Y40" i="22"/>
  <c r="O41" i="22"/>
  <c r="Y41" i="22"/>
  <c r="O42" i="22"/>
  <c r="P43" i="22"/>
  <c r="P44" i="22"/>
  <c r="P45" i="22"/>
  <c r="Y45" i="22"/>
  <c r="N46" i="22"/>
  <c r="W46" i="22"/>
  <c r="AA46" i="22"/>
  <c r="Y47" i="22"/>
  <c r="W48" i="22"/>
  <c r="AA48" i="22"/>
  <c r="W38" i="22"/>
  <c r="AA38" i="22"/>
  <c r="Y39" i="22"/>
  <c r="Z40" i="22"/>
  <c r="P41" i="22"/>
  <c r="Z41" i="22"/>
  <c r="P42" i="22"/>
  <c r="Q43" i="22"/>
  <c r="Q44" i="22"/>
  <c r="Q45" i="22"/>
  <c r="Z45" i="22"/>
  <c r="O46" i="22"/>
  <c r="X46" i="22"/>
  <c r="AB46" i="22"/>
  <c r="Z47" i="22"/>
  <c r="X48" i="22"/>
  <c r="E21" i="22" l="1"/>
  <c r="W22" i="23"/>
  <c r="E19" i="22"/>
  <c r="Z18" i="22"/>
  <c r="M19" i="23"/>
  <c r="E18" i="22"/>
  <c r="K19" i="23"/>
  <c r="O19" i="23"/>
  <c r="I19" i="23"/>
  <c r="Q19" i="23"/>
  <c r="G21" i="23"/>
  <c r="W23" i="23"/>
  <c r="U19" i="23"/>
  <c r="Y19" i="23"/>
  <c r="S19" i="23"/>
  <c r="AA18" i="22"/>
  <c r="I18" i="22" s="1"/>
  <c r="E44" i="22"/>
  <c r="AA26" i="22"/>
  <c r="Z26" i="22"/>
  <c r="E45" i="22"/>
  <c r="E47" i="22"/>
  <c r="E17" i="22"/>
  <c r="E43" i="22"/>
  <c r="E42" i="22"/>
  <c r="E46" i="22"/>
  <c r="AA22" i="22"/>
  <c r="Z22" i="22"/>
  <c r="E22" i="22"/>
  <c r="Z21" i="22"/>
  <c r="AA21" i="22"/>
  <c r="AA24" i="22"/>
  <c r="Z24" i="22"/>
  <c r="E24" i="22"/>
  <c r="AA23" i="22"/>
  <c r="Z23" i="22"/>
  <c r="S40" i="22"/>
  <c r="O40" i="22"/>
  <c r="Q39" i="22"/>
  <c r="R40" i="22"/>
  <c r="N40" i="22"/>
  <c r="P39" i="22"/>
  <c r="Q40" i="22"/>
  <c r="O39" i="22"/>
  <c r="P40" i="22"/>
  <c r="S39" i="22"/>
  <c r="N39" i="22"/>
  <c r="E23" i="22"/>
  <c r="Z17" i="22"/>
  <c r="AA17" i="22"/>
  <c r="Z25" i="22"/>
  <c r="AA25" i="22"/>
  <c r="AA20" i="22"/>
  <c r="Z20" i="22"/>
  <c r="E20" i="22"/>
  <c r="AA19" i="22"/>
  <c r="Z19" i="22"/>
  <c r="AA27" i="22"/>
  <c r="Z27" i="22"/>
  <c r="E27" i="22"/>
  <c r="M20" i="23" l="1"/>
  <c r="Y20" i="23"/>
  <c r="O20" i="23"/>
  <c r="G22" i="23"/>
  <c r="W24" i="23"/>
  <c r="E20" i="23"/>
  <c r="S20" i="23"/>
  <c r="U20" i="23"/>
  <c r="Q20" i="23"/>
  <c r="I20" i="23"/>
  <c r="K20" i="23"/>
  <c r="E41" i="22"/>
  <c r="I26" i="22"/>
  <c r="I19" i="22"/>
  <c r="I20" i="22"/>
  <c r="I23" i="22"/>
  <c r="I22" i="22"/>
  <c r="E40" i="22"/>
  <c r="I25" i="22"/>
  <c r="I17" i="22"/>
  <c r="I21" i="22"/>
  <c r="I27" i="22"/>
  <c r="I24" i="22"/>
  <c r="M21" i="23" l="1"/>
  <c r="U21" i="23"/>
  <c r="K21" i="23"/>
  <c r="S21" i="23"/>
  <c r="W25" i="23"/>
  <c r="G23" i="23"/>
  <c r="Y21" i="23"/>
  <c r="I21" i="23"/>
  <c r="E21" i="23"/>
  <c r="O21" i="23"/>
  <c r="Q21" i="23"/>
  <c r="M22" i="23" l="1"/>
  <c r="E22" i="23"/>
  <c r="K22" i="23"/>
  <c r="Y22" i="23"/>
  <c r="O22" i="23"/>
  <c r="I22" i="23"/>
  <c r="G24" i="23"/>
  <c r="S22" i="23"/>
  <c r="Q22" i="23"/>
  <c r="W26" i="23"/>
  <c r="U22" i="23"/>
  <c r="M23" i="23" l="1"/>
  <c r="G25" i="23"/>
  <c r="I23" i="23"/>
  <c r="U23" i="23"/>
  <c r="Q23" i="23"/>
  <c r="S23" i="23"/>
  <c r="Y23" i="23"/>
  <c r="E23" i="23"/>
  <c r="K23" i="23"/>
  <c r="O23" i="23"/>
  <c r="M24" i="23" l="1"/>
  <c r="K24" i="23"/>
  <c r="S24" i="23"/>
  <c r="O24" i="23"/>
  <c r="Y24" i="23"/>
  <c r="Q24" i="23"/>
  <c r="I24" i="23"/>
  <c r="U24" i="23"/>
  <c r="G26" i="23"/>
  <c r="E24" i="23"/>
  <c r="M25" i="23" l="1"/>
  <c r="E25" i="23"/>
  <c r="U25" i="23"/>
  <c r="I25" i="23"/>
  <c r="O25" i="23"/>
  <c r="K25" i="23"/>
  <c r="Q25" i="23"/>
  <c r="S25" i="23"/>
  <c r="Y25" i="23"/>
  <c r="M26" i="23" l="1"/>
  <c r="Q26" i="23"/>
  <c r="O26" i="23"/>
  <c r="U26" i="23"/>
  <c r="Y26" i="23"/>
  <c r="S26" i="23"/>
  <c r="K26" i="23"/>
  <c r="I26" i="23"/>
  <c r="E26" i="23"/>
</calcChain>
</file>

<file path=xl/sharedStrings.xml><?xml version="1.0" encoding="utf-8"?>
<sst xmlns="http://schemas.openxmlformats.org/spreadsheetml/2006/main" count="1297" uniqueCount="578">
  <si>
    <t>2-3" terminal cuttings</t>
  </si>
  <si>
    <t>Summer</t>
  </si>
  <si>
    <t>White Spruce</t>
  </si>
  <si>
    <t>Needles from 20 terminal cuttings</t>
  </si>
  <si>
    <t>Current Season</t>
  </si>
  <si>
    <t>White Pine</t>
  </si>
  <si>
    <t>newest fully developed leaf</t>
  </si>
  <si>
    <t>prior to heading</t>
  </si>
  <si>
    <t>wheat</t>
  </si>
  <si>
    <t>tillering</t>
  </si>
  <si>
    <t>Newest fully developed leaf</t>
  </si>
  <si>
    <t>Prior to/at early fruit development</t>
  </si>
  <si>
    <t>Watermelon</t>
  </si>
  <si>
    <t>top 6"</t>
  </si>
  <si>
    <t>bud to first flower</t>
  </si>
  <si>
    <t>vetch, crown</t>
  </si>
  <si>
    <t>triticale</t>
  </si>
  <si>
    <t>trefoil</t>
  </si>
  <si>
    <t>Midseason</t>
  </si>
  <si>
    <t>Tomato</t>
  </si>
  <si>
    <t>early flower</t>
  </si>
  <si>
    <t>tobacco</t>
  </si>
  <si>
    <t>leaves</t>
  </si>
  <si>
    <t>mature</t>
  </si>
  <si>
    <t>45-60 days after planting</t>
  </si>
  <si>
    <t>most recent fully-developed leaves</t>
  </si>
  <si>
    <t>1st half of growing season</t>
  </si>
  <si>
    <t>Sweetpotato</t>
  </si>
  <si>
    <t>Ear leaf</t>
  </si>
  <si>
    <t>Tassel to silk</t>
  </si>
  <si>
    <t>Sweet corn</t>
  </si>
  <si>
    <t>florets</t>
  </si>
  <si>
    <t>about to emerge</t>
  </si>
  <si>
    <t>Sunflower</t>
  </si>
  <si>
    <t>prior to or at initial flower</t>
  </si>
  <si>
    <t>sugar beet</t>
  </si>
  <si>
    <t>Fully developed leaflets &amp; petioles</t>
  </si>
  <si>
    <t>At renovation before mowing</t>
  </si>
  <si>
    <t>Strawberry</t>
  </si>
  <si>
    <t>Squash</t>
  </si>
  <si>
    <t>Spinach</t>
  </si>
  <si>
    <t>Prior to/at initial flower</t>
  </si>
  <si>
    <t>Soybean</t>
  </si>
  <si>
    <t>Mature leaves</t>
  </si>
  <si>
    <t>New growth</t>
  </si>
  <si>
    <t>Sour Cherry</t>
  </si>
  <si>
    <t>sorghum-sudan</t>
  </si>
  <si>
    <t>2nd fully developed leaf</t>
  </si>
  <si>
    <t>sorghum, grain</t>
  </si>
  <si>
    <t>New summer growth</t>
  </si>
  <si>
    <t>Sage</t>
  </si>
  <si>
    <t>rye</t>
  </si>
  <si>
    <t>Mature leaves from new growth</t>
  </si>
  <si>
    <t>New growth- summer</t>
  </si>
  <si>
    <t>River Birch</t>
  </si>
  <si>
    <t>Red Oak</t>
  </si>
  <si>
    <t>Red Maple</t>
  </si>
  <si>
    <t>whole plant</t>
  </si>
  <si>
    <t>harvest</t>
  </si>
  <si>
    <t>red clover hay</t>
  </si>
  <si>
    <t>red clover</t>
  </si>
  <si>
    <t>6th &amp; 12th leaf blade &amp; petiole from trifoliate</t>
  </si>
  <si>
    <t>Aug 10 - Sept 4</t>
  </si>
  <si>
    <t>Raspberry</t>
  </si>
  <si>
    <t>fully developed leaves</t>
  </si>
  <si>
    <t>Middle of growing season</t>
  </si>
  <si>
    <t>radish</t>
  </si>
  <si>
    <t>Prior to/at fruit development</t>
  </si>
  <si>
    <t>Pumpkin</t>
  </si>
  <si>
    <t>4th petiole &amp; leaflet (whole lvs)</t>
  </si>
  <si>
    <t>Potato - prior to or at initial flower - 4th petiole &amp;leaflet (whole leaves)</t>
  </si>
  <si>
    <t>tuber bulking</t>
  </si>
  <si>
    <t>Potato - tuber bulking - 4th petiole &amp;leaflet (whole leaves)</t>
  </si>
  <si>
    <t>4th petiole from top</t>
  </si>
  <si>
    <t>Potato - tuber bulking - 4th petiole from top</t>
  </si>
  <si>
    <t>Potato prior to or at initial flower</t>
  </si>
  <si>
    <t>15 mature leaves from new growth</t>
  </si>
  <si>
    <t>Post Oak</t>
  </si>
  <si>
    <t>leaf</t>
  </si>
  <si>
    <t>new growth</t>
  </si>
  <si>
    <t>25 mature leaves from new growth</t>
  </si>
  <si>
    <t>Mature Summer Growth</t>
  </si>
  <si>
    <t>Phlox</t>
  </si>
  <si>
    <t>Petiole &amp; leaflet</t>
  </si>
  <si>
    <t>Pepper</t>
  </si>
  <si>
    <t>Midshoot leaves from new growth</t>
  </si>
  <si>
    <t>Current seasons shoots</t>
  </si>
  <si>
    <t>PEAR</t>
  </si>
  <si>
    <t>prior to/at initial flower</t>
  </si>
  <si>
    <t>pea, chick</t>
  </si>
  <si>
    <t>pea, canning</t>
  </si>
  <si>
    <t>Mature lvs from lateral shoots</t>
  </si>
  <si>
    <t>Passionfruit</t>
  </si>
  <si>
    <t>Tops, no white</t>
  </si>
  <si>
    <t>Onion</t>
  </si>
  <si>
    <t>oat</t>
  </si>
  <si>
    <t>Muskmelon</t>
  </si>
  <si>
    <t>Any</t>
  </si>
  <si>
    <t>mint</t>
  </si>
  <si>
    <t>4 weeks after clipping</t>
  </si>
  <si>
    <t>millet</t>
  </si>
  <si>
    <t>Mature Leaves</t>
  </si>
  <si>
    <t>New Growth</t>
  </si>
  <si>
    <t>Maple</t>
  </si>
  <si>
    <t>lupine</t>
  </si>
  <si>
    <t>Wrapper</t>
  </si>
  <si>
    <t>Lettuce</t>
  </si>
  <si>
    <t>30+ newest mature leaves</t>
  </si>
  <si>
    <t>Hops - Midseason</t>
  </si>
  <si>
    <t>Hackberry</t>
  </si>
  <si>
    <t>Green Ash</t>
  </si>
  <si>
    <t>newest fully developed petiole</t>
  </si>
  <si>
    <t>Full bloom</t>
  </si>
  <si>
    <t>Grape</t>
  </si>
  <si>
    <t>Youngest mature leaves</t>
  </si>
  <si>
    <t>Ginseng</t>
  </si>
  <si>
    <t>40 mature leaves from new growth</t>
  </si>
  <si>
    <t>Mature plants</t>
  </si>
  <si>
    <t>Geranium</t>
  </si>
  <si>
    <t>Whole plant</t>
  </si>
  <si>
    <t>Ensiled/chopped</t>
  </si>
  <si>
    <t>Field corn - Ensiled/Chopped</t>
  </si>
  <si>
    <t>Field corn - tassel to silk</t>
  </si>
  <si>
    <t>Leaf below whorl</t>
  </si>
  <si>
    <t>Pre-tassel</t>
  </si>
  <si>
    <t>Field corn - pre-tassel</t>
  </si>
  <si>
    <t>12" tall</t>
  </si>
  <si>
    <t>clippings</t>
  </si>
  <si>
    <t>new summer growth</t>
  </si>
  <si>
    <t>fescue, fine</t>
  </si>
  <si>
    <t>Cucumber</t>
  </si>
  <si>
    <t>Growth above berries</t>
  </si>
  <si>
    <t>Aug 15 - Sept 15</t>
  </si>
  <si>
    <t>Cranberry (Fiene)</t>
  </si>
  <si>
    <t>Cranberry</t>
  </si>
  <si>
    <t>Trifoliate leaves-fully dev</t>
  </si>
  <si>
    <t>Early bloom</t>
  </si>
  <si>
    <t>Cowpea</t>
  </si>
  <si>
    <t>Common Lilac</t>
  </si>
  <si>
    <t>50 leaves(4th pair from tip)</t>
  </si>
  <si>
    <t>Mature plants,flower initiation</t>
  </si>
  <si>
    <t>Coffee(Arabian or Common)</t>
  </si>
  <si>
    <t>Fully developed leaf at midpoint of new shoots</t>
  </si>
  <si>
    <t>Current season's shoots</t>
  </si>
  <si>
    <t>Cherry</t>
  </si>
  <si>
    <t>Yougest mature leaves</t>
  </si>
  <si>
    <t>Celery</t>
  </si>
  <si>
    <t>Cauliflower</t>
  </si>
  <si>
    <t>Carrot</t>
  </si>
  <si>
    <t>Mature upper leaves</t>
  </si>
  <si>
    <t>Flowering</t>
  </si>
  <si>
    <t>Canola</t>
  </si>
  <si>
    <t>Cabbage</t>
  </si>
  <si>
    <t>Boot stage</t>
  </si>
  <si>
    <t>Buckwheat</t>
  </si>
  <si>
    <t>Heading</t>
  </si>
  <si>
    <t>Brussels sprouts</t>
  </si>
  <si>
    <t>Prior to heading</t>
  </si>
  <si>
    <t>Bromegrass</t>
  </si>
  <si>
    <t>Broccoli</t>
  </si>
  <si>
    <t>bluegrass</t>
  </si>
  <si>
    <t>Fully developed leaves</t>
  </si>
  <si>
    <t>Blueberry</t>
  </si>
  <si>
    <t>Black Oak</t>
  </si>
  <si>
    <t>50 mature leaves from new growth</t>
  </si>
  <si>
    <t>Fruit ripening</t>
  </si>
  <si>
    <t>Black Currant</t>
  </si>
  <si>
    <t>youngest mature leaves</t>
  </si>
  <si>
    <t>mid-season</t>
  </si>
  <si>
    <t>beet, red</t>
  </si>
  <si>
    <t>bean, snap</t>
  </si>
  <si>
    <t>bean, lima</t>
  </si>
  <si>
    <t>bean, dry</t>
  </si>
  <si>
    <t>25 newest mature leaves</t>
  </si>
  <si>
    <t>Newest mature growth</t>
  </si>
  <si>
    <t>Basil</t>
  </si>
  <si>
    <t>barley</t>
  </si>
  <si>
    <t>any</t>
  </si>
  <si>
    <t>Balsam Fir</t>
  </si>
  <si>
    <t>fern 17" to 35" up</t>
  </si>
  <si>
    <t>mature fern</t>
  </si>
  <si>
    <t>asparagus</t>
  </si>
  <si>
    <t>Summer growth</t>
  </si>
  <si>
    <t>Arborvitae</t>
  </si>
  <si>
    <t>Apple</t>
  </si>
  <si>
    <t>American Beech</t>
  </si>
  <si>
    <t>alfalfa, hay</t>
  </si>
  <si>
    <t>TOP 6"</t>
  </si>
  <si>
    <t>Bud to first flower</t>
  </si>
  <si>
    <t>Alfalfa</t>
  </si>
  <si>
    <t>upper</t>
  </si>
  <si>
    <t>lower</t>
  </si>
  <si>
    <t>Part</t>
  </si>
  <si>
    <t>Stage</t>
  </si>
  <si>
    <t>Crop</t>
  </si>
  <si>
    <t>Na</t>
  </si>
  <si>
    <t>Al</t>
  </si>
  <si>
    <t>Cu</t>
  </si>
  <si>
    <t>Fe</t>
  </si>
  <si>
    <t>Mn</t>
  </si>
  <si>
    <t>B</t>
  </si>
  <si>
    <t>Zn</t>
  </si>
  <si>
    <t>S</t>
  </si>
  <si>
    <t>Mg</t>
  </si>
  <si>
    <t>Ca</t>
  </si>
  <si>
    <t>K</t>
  </si>
  <si>
    <t>P</t>
  </si>
  <si>
    <t>N</t>
  </si>
  <si>
    <t>Plant Analysis Sufficiency Ranges</t>
  </si>
  <si>
    <t>%</t>
  </si>
  <si>
    <t>2611 Yellowstone Drive, Marshfield, WI  54449</t>
  </si>
  <si>
    <t>Phone 715-387-2523</t>
  </si>
  <si>
    <t>Account #</t>
  </si>
  <si>
    <t>Report #</t>
  </si>
  <si>
    <t>Result</t>
  </si>
  <si>
    <t xml:space="preserve">N </t>
  </si>
  <si>
    <t xml:space="preserve">upper </t>
  </si>
  <si>
    <t>Row1</t>
  </si>
  <si>
    <t>Interpretation</t>
  </si>
  <si>
    <t>Nutrient</t>
  </si>
  <si>
    <t>data</t>
  </si>
  <si>
    <t>Crop:</t>
  </si>
  <si>
    <t>mg/Kg</t>
  </si>
  <si>
    <t>Unit</t>
  </si>
  <si>
    <t xml:space="preserve">Plant Analysis  </t>
  </si>
  <si>
    <t>Reported on a dry matter basis</t>
  </si>
  <si>
    <t>Name</t>
  </si>
  <si>
    <t>Address</t>
  </si>
  <si>
    <t>Report#</t>
  </si>
  <si>
    <t xml:space="preserve">County </t>
  </si>
  <si>
    <t>stage</t>
  </si>
  <si>
    <t>field</t>
  </si>
  <si>
    <t>crop</t>
  </si>
  <si>
    <t>part</t>
  </si>
  <si>
    <t>soil submitted</t>
  </si>
  <si>
    <t>soilpH</t>
  </si>
  <si>
    <t>soil OM</t>
  </si>
  <si>
    <t>Soil P</t>
  </si>
  <si>
    <t>Soil K</t>
  </si>
  <si>
    <t>Soil Ca</t>
  </si>
  <si>
    <t>Soil Mg</t>
  </si>
  <si>
    <t>Lab #:</t>
  </si>
  <si>
    <t>Growth Stage:</t>
  </si>
  <si>
    <t>Plant part:</t>
  </si>
  <si>
    <t>Soil submitted:</t>
  </si>
  <si>
    <t>Field ID:</t>
  </si>
  <si>
    <t>Account</t>
  </si>
  <si>
    <t>City</t>
  </si>
  <si>
    <t>Soil and Forage Analysis Laboratory</t>
  </si>
  <si>
    <t>pH</t>
  </si>
  <si>
    <t>OM</t>
  </si>
  <si>
    <t xml:space="preserve">P </t>
  </si>
  <si>
    <t>Soil Analysis</t>
  </si>
  <si>
    <t>Soil S</t>
  </si>
  <si>
    <t>Soil Zn</t>
  </si>
  <si>
    <t>Soil B</t>
  </si>
  <si>
    <t>Soil Mn</t>
  </si>
  <si>
    <t xml:space="preserve"> </t>
  </si>
  <si>
    <t>Orchard grass</t>
  </si>
  <si>
    <t xml:space="preserve">S </t>
  </si>
  <si>
    <t>Reporting</t>
  </si>
  <si>
    <t xml:space="preserve">P and K </t>
  </si>
  <si>
    <t>moisture</t>
  </si>
  <si>
    <t>Crop removal</t>
  </si>
  <si>
    <t>demand</t>
  </si>
  <si>
    <t>Target pH</t>
  </si>
  <si>
    <r>
      <t>Crop name</t>
    </r>
    <r>
      <rPr>
        <sz val="9"/>
        <color indexed="8"/>
        <rFont val="Palatino"/>
      </rPr>
      <t> </t>
    </r>
  </si>
  <si>
    <t>code</t>
  </si>
  <si>
    <t>Yield range</t>
  </si>
  <si>
    <r>
      <t>content</t>
    </r>
    <r>
      <rPr>
        <vertAlign val="superscript"/>
        <sz val="10"/>
        <rFont val="Times New Roman"/>
        <family val="1"/>
      </rPr>
      <t>a</t>
    </r>
  </si>
  <si>
    <r>
      <t>P</t>
    </r>
    <r>
      <rPr>
        <vertAlign val="subscript"/>
        <sz val="10"/>
        <rFont val="Times New Roman"/>
        <family val="1"/>
      </rPr>
      <t>2</t>
    </r>
    <r>
      <rPr>
        <sz val="10"/>
        <rFont val="Times New Roman"/>
        <family val="1"/>
      </rPr>
      <t>O</t>
    </r>
    <r>
      <rPr>
        <vertAlign val="subscript"/>
        <sz val="10"/>
        <rFont val="Times New Roman"/>
        <family val="1"/>
      </rPr>
      <t>5</t>
    </r>
  </si>
  <si>
    <r>
      <t>K</t>
    </r>
    <r>
      <rPr>
        <vertAlign val="subscript"/>
        <sz val="10"/>
        <rFont val="Times New Roman"/>
        <family val="1"/>
      </rPr>
      <t>2</t>
    </r>
    <r>
      <rPr>
        <sz val="10"/>
        <rFont val="Times New Roman"/>
        <family val="1"/>
      </rPr>
      <t>O</t>
    </r>
  </si>
  <si>
    <t xml:space="preserve">level </t>
  </si>
  <si>
    <t>mineral</t>
  </si>
  <si>
    <t>organic</t>
  </si>
  <si>
    <t>per acre</t>
  </si>
  <si>
    <t>lb/unit yield</t>
  </si>
  <si>
    <t>Alfalfa, established</t>
  </si>
  <si>
    <t>2.6–9.5 ton</t>
  </si>
  <si>
    <t>DM</t>
  </si>
  <si>
    <t>—</t>
  </si>
  <si>
    <t>Alfalfa, seeding</t>
  </si>
  <si>
    <t>1.5–2.5 ton</t>
  </si>
  <si>
    <r>
      <t>Apple, establishment</t>
    </r>
    <r>
      <rPr>
        <vertAlign val="superscript"/>
        <sz val="10"/>
        <rFont val="Times New Roman"/>
        <family val="1"/>
      </rPr>
      <t>b</t>
    </r>
  </si>
  <si>
    <t>all</t>
  </si>
  <si>
    <t>fresh</t>
  </si>
  <si>
    <t>Asparagus</t>
  </si>
  <si>
    <t>2,000–4,000 lb</t>
  </si>
  <si>
    <t>Barley, grain</t>
  </si>
  <si>
    <t>25–100 bu</t>
  </si>
  <si>
    <r>
      <t>Barley, grain + straw</t>
    </r>
    <r>
      <rPr>
        <vertAlign val="superscript"/>
        <sz val="10"/>
        <rFont val="Times New Roman"/>
        <family val="1"/>
      </rPr>
      <t>c</t>
    </r>
  </si>
  <si>
    <r>
      <t>Barley, straw</t>
    </r>
    <r>
      <rPr>
        <vertAlign val="superscript"/>
        <sz val="10"/>
        <rFont val="Times New Roman"/>
        <family val="1"/>
      </rPr>
      <t>d</t>
    </r>
  </si>
  <si>
    <t>1–3 ton</t>
  </si>
  <si>
    <t>Bean, dry (kidney, navy)</t>
  </si>
  <si>
    <t>10–40 cwt</t>
  </si>
  <si>
    <t>Bean, lima</t>
  </si>
  <si>
    <t>2,000–5,000 lb</t>
  </si>
  <si>
    <t>Bean, snap</t>
  </si>
  <si>
    <t>1.5–6.5 ton</t>
  </si>
  <si>
    <t>Beet, table</t>
  </si>
  <si>
    <t>5–20 ton</t>
  </si>
  <si>
    <r>
      <t>Blueberry, establishment</t>
    </r>
    <r>
      <rPr>
        <vertAlign val="superscript"/>
        <sz val="10"/>
        <rFont val="Times New Roman"/>
        <family val="1"/>
      </rPr>
      <t>b</t>
    </r>
  </si>
  <si>
    <t>Brassica, forage</t>
  </si>
  <si>
    <t>2–3 ton</t>
  </si>
  <si>
    <t>4–6 ton</t>
  </si>
  <si>
    <t>1,200–2,000 lb</t>
  </si>
  <si>
    <t>~15</t>
  </si>
  <si>
    <t>8–30 ton</t>
  </si>
  <si>
    <t>30–50 bu</t>
  </si>
  <si>
    <t>20–30 ton</t>
  </si>
  <si>
    <t>6–8 ton</t>
  </si>
  <si>
    <t>25–35 ton</t>
  </si>
  <si>
    <r>
      <t>Cherry, establishment</t>
    </r>
    <r>
      <rPr>
        <vertAlign val="superscript"/>
        <sz val="10"/>
        <rFont val="Times New Roman"/>
        <family val="1"/>
      </rPr>
      <t>b</t>
    </r>
  </si>
  <si>
    <t>Clover, red</t>
  </si>
  <si>
    <t>1–6.5 ton</t>
  </si>
  <si>
    <t>Corn, grain</t>
  </si>
  <si>
    <t>70–290 bu</t>
  </si>
  <si>
    <t>Corn, popcorn</t>
  </si>
  <si>
    <t>60–80 bu</t>
  </si>
  <si>
    <t>~14</t>
  </si>
  <si>
    <t>Corn, silage</t>
  </si>
  <si>
    <t xml:space="preserve">10–40 ton </t>
  </si>
  <si>
    <r>
      <t>Corn, stover</t>
    </r>
    <r>
      <rPr>
        <vertAlign val="superscript"/>
        <sz val="10"/>
        <rFont val="Times New Roman"/>
        <family val="1"/>
      </rPr>
      <t>d</t>
    </r>
  </si>
  <si>
    <t>1–5 ton</t>
  </si>
  <si>
    <t>Corn, sweet</t>
  </si>
  <si>
    <t>2–10 ton</t>
  </si>
  <si>
    <r>
      <t>Cranberry, establishment</t>
    </r>
    <r>
      <rPr>
        <vertAlign val="superscript"/>
        <sz val="10"/>
        <rFont val="Times New Roman"/>
        <family val="1"/>
      </rPr>
      <t>b</t>
    </r>
  </si>
  <si>
    <t>CRP, alfalfa</t>
  </si>
  <si>
    <t>CRP, grass</t>
  </si>
  <si>
    <t>CRP, red clover</t>
  </si>
  <si>
    <t>5–10 ton</t>
  </si>
  <si>
    <t>Flax</t>
  </si>
  <si>
    <t>20–40 bu</t>
  </si>
  <si>
    <t>1,000–3,000 lb</t>
  </si>
  <si>
    <r>
      <t>Grape, establishment</t>
    </r>
    <r>
      <rPr>
        <vertAlign val="superscript"/>
        <sz val="10"/>
        <rFont val="Times New Roman"/>
        <family val="1"/>
      </rPr>
      <t>b</t>
    </r>
  </si>
  <si>
    <t>0.5–8 ton</t>
  </si>
  <si>
    <t>Grass, sod for turf, establishment</t>
  </si>
  <si>
    <t>Grass, reed canarygrass</t>
  </si>
  <si>
    <t>4–7 ton</t>
  </si>
  <si>
    <t>Grass, switchgrass</t>
  </si>
  <si>
    <t>Hop</t>
  </si>
  <si>
    <t>1,000–1,500 lb</t>
  </si>
  <si>
    <t>15–20 ton</t>
  </si>
  <si>
    <t>Lupine</t>
  </si>
  <si>
    <t>40–60 bu</t>
  </si>
  <si>
    <t>~16</t>
  </si>
  <si>
    <t>Melon</t>
  </si>
  <si>
    <t>8–10 ton</t>
  </si>
  <si>
    <t>Millet</t>
  </si>
  <si>
    <t>Mint, oil</t>
  </si>
  <si>
    <t>35–55 lb</t>
  </si>
  <si>
    <t>Oats, grain</t>
  </si>
  <si>
    <t>30–120 bu</t>
  </si>
  <si>
    <r>
      <t>Oats, grain + straw</t>
    </r>
    <r>
      <rPr>
        <vertAlign val="superscript"/>
        <sz val="10"/>
        <rFont val="Times New Roman"/>
        <family val="1"/>
      </rPr>
      <t>c</t>
    </r>
  </si>
  <si>
    <r>
      <t>Oats, straw</t>
    </r>
    <r>
      <rPr>
        <vertAlign val="superscript"/>
        <sz val="10"/>
        <rFont val="Times New Roman"/>
        <family val="1"/>
      </rPr>
      <t>d</t>
    </r>
  </si>
  <si>
    <t>400–600 cwt</t>
  </si>
  <si>
    <r>
      <t>Pasture, grass</t>
    </r>
    <r>
      <rPr>
        <vertAlign val="superscript"/>
        <sz val="10"/>
        <rFont val="Times New Roman"/>
        <family val="1"/>
      </rPr>
      <t>e</t>
    </r>
  </si>
  <si>
    <t>0.5–5 ton</t>
  </si>
  <si>
    <t>Pasture, ≤ 30% legume-grass</t>
  </si>
  <si>
    <t>Pasture, &gt; 30% legume-grass</t>
  </si>
  <si>
    <t>Pasture, unimproved</t>
  </si>
  <si>
    <t>1–4 ton</t>
  </si>
  <si>
    <t>Pea, canning</t>
  </si>
  <si>
    <t>1,000–6,000 lb</t>
  </si>
  <si>
    <t>Pea, chick/field/cow</t>
  </si>
  <si>
    <t>1–2 ton</t>
  </si>
  <si>
    <r>
      <t>Potato</t>
    </r>
    <r>
      <rPr>
        <vertAlign val="superscript"/>
        <sz val="10"/>
        <rFont val="Times New Roman"/>
        <family val="1"/>
      </rPr>
      <t>f</t>
    </r>
  </si>
  <si>
    <t>250–650 cwt</t>
  </si>
  <si>
    <t>5.2/6.0</t>
  </si>
  <si>
    <t>5.2/5.6</t>
  </si>
  <si>
    <r>
      <t>Raspberry, establishment</t>
    </r>
    <r>
      <rPr>
        <vertAlign val="superscript"/>
        <sz val="10"/>
        <rFont val="Times New Roman"/>
        <family val="1"/>
      </rPr>
      <t>b</t>
    </r>
  </si>
  <si>
    <t>Rye, grain</t>
  </si>
  <si>
    <t>15–70 bu</t>
  </si>
  <si>
    <r>
      <t>Rye, grain + straw</t>
    </r>
    <r>
      <rPr>
        <vertAlign val="superscript"/>
        <sz val="10"/>
        <rFont val="Times New Roman"/>
        <family val="1"/>
      </rPr>
      <t>c</t>
    </r>
  </si>
  <si>
    <r>
      <t>Rye, straw</t>
    </r>
    <r>
      <rPr>
        <vertAlign val="superscript"/>
        <sz val="10"/>
        <rFont val="Times New Roman"/>
        <family val="1"/>
      </rPr>
      <t>d</t>
    </r>
  </si>
  <si>
    <t>Rye, winter, silage</t>
  </si>
  <si>
    <r>
      <t>Small grain silage</t>
    </r>
    <r>
      <rPr>
        <vertAlign val="superscript"/>
        <sz val="10"/>
        <rFont val="Times New Roman"/>
        <family val="1"/>
      </rPr>
      <t>g</t>
    </r>
  </si>
  <si>
    <t>2.0–3.5 ton</t>
  </si>
  <si>
    <r>
      <t>Small grain silage, underseeded with alfalfa</t>
    </r>
    <r>
      <rPr>
        <vertAlign val="superscript"/>
        <sz val="10"/>
        <rFont val="Times New Roman"/>
        <family val="1"/>
      </rPr>
      <t>g</t>
    </r>
  </si>
  <si>
    <r>
      <t>Small grain &amp; legume silage</t>
    </r>
    <r>
      <rPr>
        <vertAlign val="superscript"/>
        <sz val="10"/>
        <rFont val="Times New Roman"/>
        <family val="1"/>
      </rPr>
      <t>g,h</t>
    </r>
  </si>
  <si>
    <r>
      <t xml:space="preserve">Small grain &amp; legume silage, underseeded with alfalfa </t>
    </r>
    <r>
      <rPr>
        <vertAlign val="superscript"/>
        <sz val="10"/>
        <rFont val="Times New Roman"/>
        <family val="1"/>
      </rPr>
      <t>g,h</t>
    </r>
  </si>
  <si>
    <t>Sorghum, grain</t>
  </si>
  <si>
    <t>50–100 bu</t>
  </si>
  <si>
    <t>Sorghum-sudan, forage</t>
  </si>
  <si>
    <t>5–7 ton</t>
  </si>
  <si>
    <t>Soybean, grain</t>
  </si>
  <si>
    <t>15–105 bu</t>
  </si>
  <si>
    <r>
      <t>Soybean, grain + straw</t>
    </r>
    <r>
      <rPr>
        <vertAlign val="superscript"/>
        <sz val="10"/>
        <rFont val="Times New Roman"/>
        <family val="1"/>
      </rPr>
      <t>c</t>
    </r>
  </si>
  <si>
    <r>
      <t>Soybean, straw</t>
    </r>
    <r>
      <rPr>
        <vertAlign val="superscript"/>
        <sz val="10"/>
        <rFont val="Times New Roman"/>
        <family val="1"/>
      </rPr>
      <t>d</t>
    </r>
  </si>
  <si>
    <t>2–4 ton</t>
  </si>
  <si>
    <t>12–16 ton</t>
  </si>
  <si>
    <r>
      <t>Strawberry, establishment</t>
    </r>
    <r>
      <rPr>
        <vertAlign val="superscript"/>
        <sz val="10"/>
        <rFont val="Times New Roman"/>
        <family val="1"/>
      </rPr>
      <t>b</t>
    </r>
  </si>
  <si>
    <t>500–4,000 lb</t>
  </si>
  <si>
    <t>Tobacco</t>
  </si>
  <si>
    <t>1,600–2,800 lb</t>
  </si>
  <si>
    <t>cured leaf</t>
  </si>
  <si>
    <t>20–25 ton</t>
  </si>
  <si>
    <t>Trefoil, birdsfoot</t>
  </si>
  <si>
    <t>1.5–5.5 ton</t>
  </si>
  <si>
    <t>Triticale, grain</t>
  </si>
  <si>
    <t>1,000–5,000 lb</t>
  </si>
  <si>
    <t>~13</t>
  </si>
  <si>
    <r>
      <t>Triticale, grain + straw</t>
    </r>
    <r>
      <rPr>
        <vertAlign val="superscript"/>
        <sz val="10"/>
        <rFont val="Times New Roman"/>
        <family val="1"/>
      </rPr>
      <t>c</t>
    </r>
  </si>
  <si>
    <r>
      <t>Triticale, straw</t>
    </r>
    <r>
      <rPr>
        <vertAlign val="superscript"/>
        <sz val="10"/>
        <rFont val="Times New Roman"/>
        <family val="1"/>
      </rPr>
      <t>d</t>
    </r>
  </si>
  <si>
    <t>Truck crops</t>
  </si>
  <si>
    <t>Vetch, crown/hairy</t>
  </si>
  <si>
    <t>Wheat, grain</t>
  </si>
  <si>
    <t>20–120 bu</t>
  </si>
  <si>
    <r>
      <t>Wheat, grain + straw</t>
    </r>
    <r>
      <rPr>
        <vertAlign val="superscript"/>
        <sz val="10"/>
        <rFont val="Times New Roman"/>
        <family val="1"/>
      </rPr>
      <t>c</t>
    </r>
  </si>
  <si>
    <r>
      <t>Wheat, straw</t>
    </r>
    <r>
      <rPr>
        <vertAlign val="superscript"/>
        <sz val="10"/>
        <rFont val="Times New Roman"/>
        <family val="1"/>
      </rPr>
      <t>d</t>
    </r>
  </si>
  <si>
    <t>1.5–3.5 ton</t>
  </si>
  <si>
    <t>Wildlife food plot, corn/forage brassicas</t>
  </si>
  <si>
    <t>Wildlife food plot, legume grass pasture</t>
  </si>
  <si>
    <t>Wildlife food plot, oats/wheat/rye</t>
  </si>
  <si>
    <t>Wildlife food plot, soybean</t>
  </si>
  <si>
    <t>Wildlife food plot, sugar beet/turnip</t>
  </si>
  <si>
    <r>
      <t>a</t>
    </r>
    <r>
      <rPr>
        <sz val="10"/>
        <color indexed="8"/>
        <rFont val="Times New Roman"/>
        <family val="1"/>
      </rPr>
      <t xml:space="preserve"> Reporting moisture content is the moisture content at which yield is reported. DM = yield is reported on a dry matter basis; fresh = yield is reported on a fresh, as harvested basis; cured leaf = yield is sold/reported on a cured leaf basis. </t>
    </r>
  </si>
  <si>
    <r>
      <t xml:space="preserve">b </t>
    </r>
    <r>
      <rPr>
        <sz val="10"/>
        <color indexed="8"/>
        <rFont val="Times New Roman"/>
        <family val="1"/>
      </rPr>
      <t xml:space="preserve">Lime recommendations for apples and cherries apply only to pre-plant tests. Adjustment of pH is impractical once an orchard is established. Other perennial fruit crops must also be limed or amended with an acidifying material and incorporated prior to establishment. </t>
    </r>
  </si>
  <si>
    <r>
      <t>c</t>
    </r>
    <r>
      <rPr>
        <sz val="10"/>
        <color indexed="8"/>
        <rFont val="Times New Roman"/>
        <family val="1"/>
      </rPr>
      <t xml:space="preserve"> Use when both grain and straw are removed.</t>
    </r>
  </si>
  <si>
    <r>
      <t xml:space="preserve">d </t>
    </r>
    <r>
      <rPr>
        <sz val="10"/>
        <color indexed="8"/>
        <rFont val="Times New Roman"/>
        <family val="1"/>
      </rPr>
      <t>Straw and stover do not have a crop code because no nutrient application guidelines are provided. Yield ranges and crop removals for straw and stover are given for information only. Crop removals for straw are used in calculating the phosphate and potash fertilizer recommendations for small grains, grain + straw, see Table 7.4.</t>
    </r>
  </si>
  <si>
    <r>
      <t>f</t>
    </r>
    <r>
      <rPr>
        <sz val="10"/>
        <color indexed="8"/>
        <rFont val="Times New Roman"/>
        <family val="1"/>
      </rPr>
      <t xml:space="preserve"> Use higher target pH for scab-resistant varieties and lower pH for varieties that are not scab resistant. </t>
    </r>
  </si>
  <si>
    <r>
      <t>g</t>
    </r>
    <r>
      <rPr>
        <sz val="10"/>
        <color indexed="8"/>
        <rFont val="Times New Roman"/>
        <family val="1"/>
      </rPr>
      <t xml:space="preserve"> Small grains include barley, oats, rye, triticale, and wheat.</t>
    </r>
  </si>
  <si>
    <r>
      <t>h</t>
    </r>
    <r>
      <rPr>
        <sz val="10"/>
        <color indexed="8"/>
        <rFont val="Times New Roman"/>
        <family val="1"/>
      </rPr>
      <t xml:space="preserve"> Legumes may include leguminous vegetables (pea, bean) and soybean, but not forage legumes (alfalfa, red clover).</t>
    </r>
  </si>
  <si>
    <t>P and K demand level</t>
  </si>
  <si>
    <t>Soil test category</t>
  </si>
  <si>
    <t>Soil groupa</t>
  </si>
  <si>
    <t>Very low</t>
  </si>
  <si>
    <t>Low (L)</t>
  </si>
  <si>
    <t>Optimum (O)</t>
  </si>
  <si>
    <t>High (H)</t>
  </si>
  <si>
    <t>Excessively high (EH)</t>
  </si>
  <si>
    <t>(VL)</t>
  </si>
  <si>
    <t>Soil test P, ppmb</t>
  </si>
  <si>
    <t xml:space="preserve">Loamy </t>
  </si>
  <si>
    <t>&lt; 10</t>
  </si>
  <si>
    <t>10–15</t>
  </si>
  <si>
    <t>16–20</t>
  </si>
  <si>
    <t>21–30</t>
  </si>
  <si>
    <t>&gt; 30</t>
  </si>
  <si>
    <t>Sandy, Organic</t>
  </si>
  <si>
    <t>&lt; 12</t>
  </si>
  <si>
    <t>12–22</t>
  </si>
  <si>
    <t>23–32</t>
  </si>
  <si>
    <t>33–42</t>
  </si>
  <si>
    <t>&gt; 42</t>
  </si>
  <si>
    <t>Loamy</t>
  </si>
  <si>
    <t>12–17</t>
  </si>
  <si>
    <t>18–25</t>
  </si>
  <si>
    <t>26–35</t>
  </si>
  <si>
    <t>&gt; 35</t>
  </si>
  <si>
    <t>&lt; 18</t>
  </si>
  <si>
    <t>26–37</t>
  </si>
  <si>
    <t>38–55</t>
  </si>
  <si>
    <t>&gt; 55</t>
  </si>
  <si>
    <t>&lt; 15</t>
  </si>
  <si>
    <t>15–30</t>
  </si>
  <si>
    <t>31–45</t>
  </si>
  <si>
    <t>46–75</t>
  </si>
  <si>
    <t>&gt; 75</t>
  </si>
  <si>
    <t>18–35</t>
  </si>
  <si>
    <t>36–50</t>
  </si>
  <si>
    <t>51–80</t>
  </si>
  <si>
    <t>&gt; 80</t>
  </si>
  <si>
    <t>&lt; 100</t>
  </si>
  <si>
    <t>100–160</t>
  </si>
  <si>
    <t>161–200</t>
  </si>
  <si>
    <t>&gt; 200</t>
  </si>
  <si>
    <t>&lt; 30</t>
  </si>
  <si>
    <t>30–60</t>
  </si>
  <si>
    <t>61–90</t>
  </si>
  <si>
    <t>91–120</t>
  </si>
  <si>
    <t>&gt; 120</t>
  </si>
  <si>
    <t>damand</t>
  </si>
  <si>
    <t>Very high (VH)</t>
  </si>
  <si>
    <t>Soil test K, ppmb</t>
  </si>
  <si>
    <t>&lt; 70</t>
  </si>
  <si>
    <t>70–100</t>
  </si>
  <si>
    <t>101–130</t>
  </si>
  <si>
    <t>131–160</t>
  </si>
  <si>
    <t>161–190</t>
  </si>
  <si>
    <t>&gt; 190</t>
  </si>
  <si>
    <t>&lt; 45</t>
  </si>
  <si>
    <t>45–65</t>
  </si>
  <si>
    <t>66–90</t>
  </si>
  <si>
    <t>91–130</t>
  </si>
  <si>
    <t xml:space="preserve"> —</t>
  </si>
  <si>
    <t>&gt; 130</t>
  </si>
  <si>
    <t>&lt; 90</t>
  </si>
  <si>
    <t>90–110</t>
  </si>
  <si>
    <t>111–140</t>
  </si>
  <si>
    <t>141–170</t>
  </si>
  <si>
    <t>171–240</t>
  </si>
  <si>
    <t>&gt; 240</t>
  </si>
  <si>
    <t>&lt; 50</t>
  </si>
  <si>
    <t>50–80</t>
  </si>
  <si>
    <t>81–120</t>
  </si>
  <si>
    <t>121–160</t>
  </si>
  <si>
    <t>&lt; 80</t>
  </si>
  <si>
    <t>80–140</t>
  </si>
  <si>
    <t>141–200</t>
  </si>
  <si>
    <t>201–220</t>
  </si>
  <si>
    <t>221–240</t>
  </si>
  <si>
    <t>50–100</t>
  </si>
  <si>
    <t>101–150</t>
  </si>
  <si>
    <t>151–165</t>
  </si>
  <si>
    <t>166–180</t>
  </si>
  <si>
    <t>&gt; 180</t>
  </si>
  <si>
    <t>80–120</t>
  </si>
  <si>
    <t>121–170</t>
  </si>
  <si>
    <t>171–190</t>
  </si>
  <si>
    <t>191–220</t>
  </si>
  <si>
    <t>&gt; 220</t>
  </si>
  <si>
    <t>Very High</t>
  </si>
  <si>
    <t>Soil group:</t>
  </si>
  <si>
    <t>Grass, hay</t>
  </si>
  <si>
    <r>
      <t>"grass hay"  -  note e</t>
    </r>
    <r>
      <rPr>
        <sz val="10"/>
        <color indexed="8"/>
        <rFont val="Times New Roman"/>
        <family val="1"/>
      </rPr>
      <t xml:space="preserve">   -  Includes bromegrass, fescue, orchardgrass, ryegrass, and timothy. </t>
    </r>
  </si>
  <si>
    <t>Low</t>
  </si>
  <si>
    <t xml:space="preserve">Optimum </t>
  </si>
  <si>
    <t>Optimum</t>
  </si>
  <si>
    <t>High</t>
  </si>
  <si>
    <t>Excessively high</t>
  </si>
  <si>
    <t>From the plant part:</t>
  </si>
  <si>
    <t>Recommendations based at:</t>
  </si>
  <si>
    <t>Sample Information</t>
  </si>
  <si>
    <t>Very Low</t>
  </si>
  <si>
    <t>Excessive</t>
  </si>
  <si>
    <t>Organic</t>
  </si>
  <si>
    <t xml:space="preserve">Sandy </t>
  </si>
  <si>
    <t>Sandy</t>
  </si>
  <si>
    <t xml:space="preserve">Soil Group </t>
  </si>
  <si>
    <t>University of Wisconsin Madison</t>
  </si>
  <si>
    <t>College of Agriculture and Life Sciences</t>
  </si>
  <si>
    <t>Soil Science Department</t>
  </si>
  <si>
    <t>Date</t>
  </si>
  <si>
    <t>Lab</t>
  </si>
  <si>
    <t>Appearance</t>
  </si>
  <si>
    <t>Drop Menu</t>
  </si>
  <si>
    <t>Field corn  - 12" tall</t>
  </si>
  <si>
    <t>-</t>
  </si>
  <si>
    <t>city, st zip</t>
  </si>
  <si>
    <t>County:</t>
  </si>
  <si>
    <t>Appearance:</t>
  </si>
  <si>
    <t xml:space="preserve">Poplar - field </t>
  </si>
  <si>
    <t>Demand Level 1</t>
  </si>
  <si>
    <t>Apple - Mills and Jones Jr. interpretation</t>
  </si>
  <si>
    <t>BpH</t>
  </si>
  <si>
    <t>Buffer pH</t>
  </si>
  <si>
    <t>Lab #</t>
  </si>
  <si>
    <t>Field</t>
  </si>
  <si>
    <t>----------------- mg/Kg -----------------</t>
  </si>
  <si>
    <t>------------------------------- % -------------------------------</t>
  </si>
  <si>
    <t>Results</t>
  </si>
  <si>
    <t>Client Information</t>
  </si>
  <si>
    <t xml:space="preserve">from </t>
  </si>
  <si>
    <t>Recommendations based on:</t>
  </si>
  <si>
    <t>Visual</t>
  </si>
  <si>
    <t>Normal</t>
  </si>
  <si>
    <t>Sufficiency Ranges</t>
  </si>
  <si>
    <t>Use for single crop group greater than 20 samples.</t>
  </si>
  <si>
    <t>Fill in 1st line only.</t>
  </si>
  <si>
    <t>Fill down for all samples.</t>
  </si>
  <si>
    <t>Report soil in RFS program.</t>
  </si>
  <si>
    <t>Christina Kranz</t>
  </si>
  <si>
    <t>UW-Madison Soil Science</t>
  </si>
  <si>
    <t>Madison WI  53706</t>
  </si>
  <si>
    <t>Dane</t>
  </si>
  <si>
    <t>CS-PB-S</t>
  </si>
  <si>
    <t>Other</t>
  </si>
  <si>
    <t>Shoots</t>
  </si>
  <si>
    <t>CS-LB-S</t>
  </si>
  <si>
    <t>CS-PB-R</t>
  </si>
  <si>
    <t>CS-LB-R</t>
  </si>
  <si>
    <t>NWS-PrB-S</t>
  </si>
  <si>
    <t>NWS-PB-S</t>
  </si>
  <si>
    <t>NWS-LB-S</t>
  </si>
  <si>
    <t>NWS-PrB-R</t>
  </si>
  <si>
    <t>NWS-PB-R</t>
  </si>
  <si>
    <t>NWS-LB-R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</si>
</sst>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m/d/yy;@"/>
  </numFmts>
  <fonts count="35">
    <font>
      <sz val="11"/>
      <color theme="1"/>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0"/>
      <color theme="1"/>
      <name val="Calibri"/>
      <family val="2"/>
      <scheme val="minor"/>
    </font>
    <font>
      <sz val="12"/>
      <color theme="1"/>
      <name val="Calibri"/>
      <family val="2"/>
      <scheme val="minor"/>
    </font>
    <font>
      <sz val="14"/>
      <color theme="1"/>
      <name val="Calibri"/>
      <family val="2"/>
      <scheme val="minor"/>
    </font>
    <font>
      <sz val="12"/>
      <color indexed="8"/>
      <name val="Calibri"/>
      <family val="2"/>
      <scheme val="minor"/>
    </font>
    <font>
      <b/>
      <sz val="10"/>
      <color theme="1"/>
      <name val="Calibri"/>
      <family val="2"/>
      <scheme val="minor"/>
    </font>
    <font>
      <sz val="10"/>
      <name val="Times New Roman"/>
      <family val="1"/>
    </font>
    <font>
      <sz val="9"/>
      <color indexed="8"/>
      <name val="Palatino"/>
    </font>
    <font>
      <vertAlign val="superscript"/>
      <sz val="10"/>
      <name val="Times New Roman"/>
      <family val="1"/>
    </font>
    <font>
      <vertAlign val="subscript"/>
      <sz val="10"/>
      <name val="Times New Roman"/>
      <family val="1"/>
    </font>
    <font>
      <sz val="10"/>
      <color theme="1"/>
      <name val="Times New Roman"/>
      <family val="1"/>
    </font>
    <font>
      <sz val="10"/>
      <color theme="1"/>
      <name val="Calibri"/>
      <family val="2"/>
    </font>
    <font>
      <vertAlign val="superscript"/>
      <sz val="10"/>
      <color rgb="FF000000"/>
      <name val="Times New Roman"/>
      <family val="1"/>
    </font>
    <font>
      <sz val="10"/>
      <color indexed="8"/>
      <name val="Times New Roman"/>
      <family val="1"/>
    </font>
    <font>
      <sz val="8"/>
      <color theme="1"/>
      <name val="Calibri"/>
      <family val="2"/>
      <scheme val="minor"/>
    </font>
    <font>
      <sz val="11"/>
      <name val="Calibri"/>
      <family val="2"/>
      <scheme val="minor"/>
    </font>
    <font>
      <b/>
      <sz val="11"/>
      <name val="Calibri"/>
      <family val="2"/>
      <scheme val="minor"/>
    </font>
    <font>
      <sz val="10"/>
      <name val="Calibri"/>
      <family val="2"/>
      <scheme val="minor"/>
    </font>
    <font>
      <sz val="10"/>
      <color indexed="8"/>
      <name val="Calibri"/>
      <family val="2"/>
      <scheme val="minor"/>
    </font>
    <font>
      <b/>
      <sz val="12"/>
      <color rgb="FFFF0000"/>
      <name val="Calibri"/>
      <family val="2"/>
      <scheme val="minor"/>
    </font>
    <font>
      <sz val="12"/>
      <name val="Calibri"/>
      <family val="2"/>
      <scheme val="minor"/>
    </font>
    <font>
      <u/>
      <sz val="10"/>
      <name val="Arial"/>
      <family val="2"/>
    </font>
    <font>
      <sz val="10"/>
      <name val="Arial"/>
      <family val="2"/>
    </font>
    <font>
      <sz val="9"/>
      <color indexed="10"/>
      <name val="Calibri"/>
      <family val="2"/>
      <scheme val="minor"/>
    </font>
    <font>
      <sz val="11"/>
      <color rgb="FFFF0000"/>
      <name val="Calibri"/>
      <family val="2"/>
      <scheme val="minor"/>
    </font>
    <font>
      <sz val="10"/>
      <color theme="0"/>
      <name val="Calibri"/>
      <family val="2"/>
      <scheme val="minor"/>
    </font>
    <font>
      <b/>
      <sz val="14"/>
      <color rgb="FFFF0000"/>
      <name val="Calibri"/>
      <family val="2"/>
      <scheme val="minor"/>
    </font>
    <font>
      <sz val="12"/>
      <color rgb="FFFF0000"/>
      <name val="Calibri"/>
      <family val="2"/>
      <scheme val="minor"/>
    </font>
    <font>
      <b/>
      <sz val="14"/>
      <color theme="1"/>
      <name val="Calibri"/>
      <family val="2"/>
      <scheme val="minor"/>
    </font>
    <font>
      <b/>
      <sz val="11"/>
      <color indexed="8"/>
      <name val="Calibri"/>
      <family val="2"/>
      <scheme val="minor"/>
    </font>
    <font>
      <b/>
      <u/>
      <sz val="12"/>
      <color theme="1"/>
      <name val="Calibri"/>
      <family val="2"/>
      <scheme val="minor"/>
    </font>
    <font>
      <b/>
      <sz val="12"/>
      <color rgb="FFC00000"/>
      <name val="Calibri"/>
      <family val="2"/>
      <scheme val="minor"/>
    </font>
  </fonts>
  <fills count="11">
    <fill>
      <patternFill patternType="none"/>
    </fill>
    <fill>
      <patternFill patternType="gray125"/>
    </fill>
    <fill>
      <patternFill patternType="solid">
        <fgColor theme="6"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rgb="FFFFFF8B"/>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5" fillId="0" borderId="0"/>
  </cellStyleXfs>
  <cellXfs count="137">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left"/>
    </xf>
    <xf numFmtId="0" fontId="0" fillId="0" borderId="0" xfId="0" applyAlignment="1">
      <alignment horizontal="center"/>
    </xf>
    <xf numFmtId="0" fontId="5" fillId="0" borderId="0" xfId="0" applyFont="1" applyBorder="1" applyAlignment="1">
      <alignment horizontal="center"/>
    </xf>
    <xf numFmtId="2" fontId="0" fillId="0" borderId="0" xfId="0" applyNumberFormat="1"/>
    <xf numFmtId="2" fontId="6" fillId="0" borderId="0" xfId="0" applyNumberFormat="1" applyFont="1" applyBorder="1" applyAlignment="1">
      <alignment horizontal="center"/>
    </xf>
    <xf numFmtId="2" fontId="5" fillId="0" borderId="0" xfId="0" applyNumberFormat="1" applyFont="1" applyBorder="1" applyAlignment="1">
      <alignment horizontal="center"/>
    </xf>
    <xf numFmtId="0" fontId="7" fillId="0" borderId="0" xfId="0" applyFont="1" applyBorder="1" applyAlignment="1">
      <alignment horizontal="center" vertical="top"/>
    </xf>
    <xf numFmtId="0" fontId="2" fillId="0" borderId="0" xfId="0" applyFont="1"/>
    <xf numFmtId="164" fontId="5" fillId="0" borderId="0" xfId="0" applyNumberFormat="1" applyFont="1" applyBorder="1" applyAlignment="1">
      <alignment horizontal="center"/>
    </xf>
    <xf numFmtId="1" fontId="5" fillId="0" borderId="0" xfId="0" applyNumberFormat="1" applyFont="1" applyBorder="1" applyAlignment="1">
      <alignment horizontal="center"/>
    </xf>
    <xf numFmtId="0" fontId="7" fillId="0" borderId="1" xfId="0" applyFont="1" applyBorder="1" applyAlignment="1">
      <alignment horizontal="center" vertical="top"/>
    </xf>
    <xf numFmtId="164" fontId="5" fillId="0" borderId="1" xfId="0" applyNumberFormat="1" applyFont="1" applyBorder="1" applyAlignment="1">
      <alignment horizontal="center"/>
    </xf>
    <xf numFmtId="2" fontId="5" fillId="0" borderId="1" xfId="0" applyNumberFormat="1" applyFont="1" applyBorder="1" applyAlignment="1">
      <alignment horizontal="center"/>
    </xf>
    <xf numFmtId="0" fontId="3" fillId="0" borderId="2" xfId="0" applyFont="1" applyBorder="1" applyAlignment="1">
      <alignment horizontal="center"/>
    </xf>
    <xf numFmtId="0" fontId="4" fillId="0" borderId="0" xfId="0" applyFont="1" applyBorder="1" applyAlignment="1">
      <alignment horizontal="left"/>
    </xf>
    <xf numFmtId="1" fontId="5" fillId="0" borderId="1" xfId="0" applyNumberFormat="1" applyFont="1" applyBorder="1" applyAlignment="1">
      <alignment horizontal="center"/>
    </xf>
    <xf numFmtId="0" fontId="4" fillId="0" borderId="0" xfId="0" applyFont="1"/>
    <xf numFmtId="0" fontId="8" fillId="0" borderId="0" xfId="0" applyFont="1"/>
    <xf numFmtId="0" fontId="8" fillId="0" borderId="0" xfId="0" applyFont="1" applyAlignment="1">
      <alignment horizontal="left"/>
    </xf>
    <xf numFmtId="0" fontId="4" fillId="0" borderId="0" xfId="0" applyFont="1" applyBorder="1" applyAlignment="1">
      <alignment horizontal="center"/>
    </xf>
    <xf numFmtId="0" fontId="2" fillId="0" borderId="0" xfId="0" applyFont="1" applyFill="1"/>
    <xf numFmtId="0" fontId="4" fillId="0" borderId="0" xfId="0" applyFont="1" applyAlignment="1">
      <alignment horizontal="left"/>
    </xf>
    <xf numFmtId="0" fontId="0" fillId="0" borderId="1" xfId="0" applyBorder="1"/>
    <xf numFmtId="0" fontId="0" fillId="0" borderId="3" xfId="0" applyBorder="1"/>
    <xf numFmtId="0" fontId="9" fillId="2" borderId="0" xfId="1" applyFont="1" applyFill="1" applyBorder="1"/>
    <xf numFmtId="0" fontId="9" fillId="2" borderId="0" xfId="1" applyFont="1" applyFill="1" applyBorder="1" applyAlignment="1">
      <alignment horizontal="center"/>
    </xf>
    <xf numFmtId="0" fontId="5" fillId="0" borderId="0" xfId="1" applyFill="1" applyBorder="1"/>
    <xf numFmtId="0" fontId="9" fillId="2" borderId="0" xfId="1" applyFont="1" applyFill="1" applyBorder="1" applyAlignment="1">
      <alignment horizontal="center" wrapText="1"/>
    </xf>
    <xf numFmtId="0" fontId="4" fillId="2" borderId="0" xfId="1" applyFont="1" applyFill="1" applyBorder="1" applyAlignment="1">
      <alignment horizontal="center"/>
    </xf>
    <xf numFmtId="0" fontId="9" fillId="0" borderId="0" xfId="1" applyFont="1" applyFill="1" applyBorder="1"/>
    <xf numFmtId="0" fontId="9" fillId="0" borderId="0" xfId="1" applyFont="1" applyFill="1" applyBorder="1" applyAlignment="1">
      <alignment horizontal="center"/>
    </xf>
    <xf numFmtId="0" fontId="4" fillId="0" borderId="0" xfId="1" applyFont="1" applyFill="1" applyBorder="1" applyAlignment="1">
      <alignment horizontal="center"/>
    </xf>
    <xf numFmtId="0" fontId="13" fillId="0" borderId="0" xfId="1" applyFont="1" applyFill="1" applyBorder="1"/>
    <xf numFmtId="0" fontId="14" fillId="0" borderId="0" xfId="1" applyFont="1" applyFill="1" applyBorder="1" applyAlignment="1">
      <alignment horizontal="center"/>
    </xf>
    <xf numFmtId="0" fontId="13" fillId="0" borderId="0" xfId="1" applyFont="1" applyFill="1" applyBorder="1" applyAlignment="1">
      <alignment horizontal="center"/>
    </xf>
    <xf numFmtId="0" fontId="15" fillId="0" borderId="0" xfId="1" applyFont="1" applyFill="1" applyBorder="1" applyAlignment="1">
      <alignment horizontal="left" indent="1"/>
    </xf>
    <xf numFmtId="0" fontId="4" fillId="0" borderId="0" xfId="1" applyFont="1" applyFill="1" applyAlignment="1">
      <alignment horizontal="center"/>
    </xf>
    <xf numFmtId="0" fontId="0" fillId="0" borderId="0" xfId="0" applyBorder="1"/>
    <xf numFmtId="0" fontId="1" fillId="0" borderId="3" xfId="0" applyFont="1" applyBorder="1"/>
    <xf numFmtId="0" fontId="4" fillId="0" borderId="3" xfId="0" applyFont="1" applyBorder="1" applyAlignment="1">
      <alignment horizontal="left"/>
    </xf>
    <xf numFmtId="0" fontId="0" fillId="0" borderId="3" xfId="0" applyBorder="1" applyAlignment="1">
      <alignment horizontal="left"/>
    </xf>
    <xf numFmtId="0" fontId="17" fillId="0" borderId="0" xfId="0" applyFont="1"/>
    <xf numFmtId="0" fontId="18" fillId="0" borderId="0" xfId="0" applyFont="1"/>
    <xf numFmtId="1" fontId="18" fillId="0" borderId="0" xfId="0" applyNumberFormat="1" applyFont="1"/>
    <xf numFmtId="0" fontId="19" fillId="0" borderId="0" xfId="0" applyFont="1"/>
    <xf numFmtId="0" fontId="20" fillId="0" borderId="0" xfId="0" applyFont="1" applyAlignment="1">
      <alignment horizontal="left"/>
    </xf>
    <xf numFmtId="0" fontId="18" fillId="0" borderId="0" xfId="0" applyFont="1" applyBorder="1"/>
    <xf numFmtId="0" fontId="21" fillId="0" borderId="0" xfId="0" applyFont="1" applyFill="1" applyBorder="1" applyAlignment="1">
      <alignment horizontal="left" vertical="top"/>
    </xf>
    <xf numFmtId="2" fontId="0" fillId="0" borderId="0" xfId="0" applyNumberFormat="1" applyAlignment="1">
      <alignment horizontal="left"/>
    </xf>
    <xf numFmtId="2" fontId="4" fillId="0" borderId="0" xfId="0" applyNumberFormat="1" applyFont="1" applyBorder="1" applyAlignment="1">
      <alignment horizontal="left"/>
    </xf>
    <xf numFmtId="0" fontId="20" fillId="0" borderId="0" xfId="0" applyFont="1"/>
    <xf numFmtId="0" fontId="0" fillId="5" borderId="0" xfId="0" applyFill="1"/>
    <xf numFmtId="0" fontId="6" fillId="5" borderId="0" xfId="0" applyFont="1" applyFill="1" applyBorder="1" applyAlignment="1">
      <alignment horizontal="center"/>
    </xf>
    <xf numFmtId="0" fontId="0" fillId="5" borderId="0" xfId="0" applyFill="1" applyBorder="1"/>
    <xf numFmtId="0" fontId="3" fillId="5" borderId="0" xfId="0" applyFont="1" applyFill="1"/>
    <xf numFmtId="0" fontId="5" fillId="5" borderId="0" xfId="0" applyFont="1" applyFill="1"/>
    <xf numFmtId="0" fontId="3" fillId="5" borderId="0" xfId="0" applyFont="1" applyFill="1" applyBorder="1" applyAlignment="1">
      <alignment horizontal="left"/>
    </xf>
    <xf numFmtId="0" fontId="3" fillId="5" borderId="0" xfId="0" applyFont="1" applyFill="1" applyBorder="1"/>
    <xf numFmtId="0" fontId="5" fillId="0" borderId="0" xfId="0" applyFont="1"/>
    <xf numFmtId="0" fontId="22" fillId="0" borderId="0" xfId="0" applyFont="1"/>
    <xf numFmtId="1" fontId="23" fillId="0" borderId="0" xfId="0" applyNumberFormat="1" applyFont="1" applyBorder="1" applyAlignment="1">
      <alignment horizontal="center"/>
    </xf>
    <xf numFmtId="0" fontId="24" fillId="0" borderId="4" xfId="0" applyFont="1" applyBorder="1" applyAlignment="1">
      <alignment horizontal="center"/>
    </xf>
    <xf numFmtId="0" fontId="24" fillId="0" borderId="0" xfId="0" applyFont="1" applyBorder="1" applyAlignment="1">
      <alignment horizontal="center"/>
    </xf>
    <xf numFmtId="0" fontId="24" fillId="0" borderId="5" xfId="0" applyFont="1" applyBorder="1" applyAlignment="1">
      <alignment horizontal="center"/>
    </xf>
    <xf numFmtId="0" fontId="0" fillId="0" borderId="4" xfId="0" applyBorder="1"/>
    <xf numFmtId="0" fontId="0" fillId="0" borderId="5" xfId="0" applyBorder="1"/>
    <xf numFmtId="0" fontId="0" fillId="0" borderId="6" xfId="0" applyBorder="1"/>
    <xf numFmtId="0" fontId="0" fillId="0" borderId="7" xfId="0" applyBorder="1"/>
    <xf numFmtId="0" fontId="25" fillId="0" borderId="0" xfId="0" applyFont="1" applyAlignment="1">
      <alignment horizontal="center"/>
    </xf>
    <xf numFmtId="165" fontId="25" fillId="0" borderId="0" xfId="0" applyNumberFormat="1" applyFont="1" applyAlignment="1">
      <alignment horizontal="center"/>
    </xf>
    <xf numFmtId="0" fontId="26" fillId="0" borderId="0" xfId="0" applyFont="1" applyAlignment="1">
      <alignment horizontal="right"/>
    </xf>
    <xf numFmtId="0" fontId="0" fillId="6" borderId="0" xfId="0" applyFill="1"/>
    <xf numFmtId="0" fontId="0" fillId="7" borderId="0" xfId="0" applyFill="1"/>
    <xf numFmtId="0" fontId="0" fillId="6" borderId="1" xfId="0" applyFill="1" applyBorder="1"/>
    <xf numFmtId="0" fontId="0" fillId="7" borderId="1" xfId="0" applyFill="1" applyBorder="1"/>
    <xf numFmtId="0" fontId="27" fillId="0" borderId="0" xfId="0" applyFont="1"/>
    <xf numFmtId="1" fontId="0" fillId="0" borderId="0" xfId="0" applyNumberFormat="1" applyAlignment="1">
      <alignment horizontal="center"/>
    </xf>
    <xf numFmtId="0" fontId="9" fillId="2" borderId="0" xfId="1" applyFont="1" applyFill="1" applyBorder="1" applyAlignment="1">
      <alignment horizontal="center"/>
    </xf>
    <xf numFmtId="0" fontId="2" fillId="0" borderId="0" xfId="0" applyFont="1" applyFill="1" applyBorder="1"/>
    <xf numFmtId="0" fontId="9" fillId="2" borderId="0" xfId="1" quotePrefix="1" applyFont="1" applyFill="1" applyBorder="1" applyAlignment="1">
      <alignment horizontal="center"/>
    </xf>
    <xf numFmtId="0" fontId="9" fillId="2" borderId="0" xfId="1" quotePrefix="1" applyFont="1" applyFill="1" applyBorder="1"/>
    <xf numFmtId="0" fontId="18" fillId="0" borderId="0" xfId="0" quotePrefix="1" applyFont="1"/>
    <xf numFmtId="0" fontId="28" fillId="0" borderId="0" xfId="0" applyFont="1"/>
    <xf numFmtId="1" fontId="0" fillId="0" borderId="0" xfId="0" applyNumberFormat="1"/>
    <xf numFmtId="0" fontId="29" fillId="4" borderId="0" xfId="0" applyFont="1" applyFill="1"/>
    <xf numFmtId="0" fontId="30" fillId="0" borderId="0" xfId="0" applyFont="1"/>
    <xf numFmtId="0" fontId="0" fillId="0" borderId="0" xfId="0" applyFont="1"/>
    <xf numFmtId="0" fontId="0" fillId="0" borderId="0" xfId="0" applyFont="1" applyAlignment="1">
      <alignment horizontal="left"/>
    </xf>
    <xf numFmtId="0" fontId="1" fillId="3" borderId="0" xfId="0" applyFont="1" applyFill="1" applyAlignment="1">
      <alignment horizontal="left"/>
    </xf>
    <xf numFmtId="0" fontId="0" fillId="3" borderId="0" xfId="0" applyFont="1" applyFill="1" applyAlignment="1">
      <alignment horizontal="left"/>
    </xf>
    <xf numFmtId="166" fontId="0" fillId="3" borderId="0" xfId="0" applyNumberFormat="1" applyFont="1" applyFill="1" applyAlignment="1">
      <alignment horizontal="left"/>
    </xf>
    <xf numFmtId="2" fontId="0" fillId="0" borderId="0" xfId="0" applyNumberFormat="1" applyAlignment="1">
      <alignment horizontal="center"/>
    </xf>
    <xf numFmtId="164" fontId="0" fillId="0" borderId="0" xfId="0" applyNumberFormat="1"/>
    <xf numFmtId="0" fontId="9" fillId="2" borderId="0" xfId="1" applyFont="1" applyFill="1" applyBorder="1" applyAlignment="1">
      <alignment horizontal="center"/>
    </xf>
    <xf numFmtId="0" fontId="0" fillId="8" borderId="0" xfId="0" applyFill="1"/>
    <xf numFmtId="0" fontId="18" fillId="0" borderId="0" xfId="0" applyFont="1" applyAlignment="1">
      <alignment horizontal="center"/>
    </xf>
    <xf numFmtId="0" fontId="1" fillId="0" borderId="0" xfId="0" applyFont="1" applyAlignment="1">
      <alignment horizontal="center"/>
    </xf>
    <xf numFmtId="1" fontId="26" fillId="0" borderId="0" xfId="0" applyNumberFormat="1" applyFont="1" applyAlignment="1">
      <alignment horizontal="right"/>
    </xf>
    <xf numFmtId="0" fontId="5" fillId="0" borderId="0" xfId="0" applyFont="1" applyAlignment="1">
      <alignment horizontal="left"/>
    </xf>
    <xf numFmtId="2" fontId="5" fillId="0" borderId="0" xfId="0" applyNumberFormat="1" applyFont="1" applyAlignment="1">
      <alignment horizontal="right"/>
    </xf>
    <xf numFmtId="1" fontId="5" fillId="0" borderId="0" xfId="0" applyNumberFormat="1" applyFont="1" applyAlignment="1">
      <alignment horizontal="right"/>
    </xf>
    <xf numFmtId="1" fontId="5" fillId="0" borderId="0" xfId="0" applyNumberFormat="1" applyFont="1"/>
    <xf numFmtId="1" fontId="20" fillId="0" borderId="0" xfId="0" applyNumberFormat="1" applyFont="1"/>
    <xf numFmtId="1" fontId="0" fillId="0" borderId="0" xfId="0" applyNumberFormat="1" applyFill="1"/>
    <xf numFmtId="0" fontId="1" fillId="0" borderId="0" xfId="0" applyFont="1" applyFill="1" applyAlignment="1">
      <alignment horizontal="left"/>
    </xf>
    <xf numFmtId="0" fontId="0" fillId="0" borderId="0" xfId="0" applyFill="1"/>
    <xf numFmtId="1" fontId="0" fillId="0" borderId="0" xfId="0" applyNumberFormat="1" applyFont="1" applyFill="1" applyAlignment="1">
      <alignment horizontal="left"/>
    </xf>
    <xf numFmtId="0" fontId="3" fillId="4" borderId="0" xfId="0" applyFont="1" applyFill="1"/>
    <xf numFmtId="0" fontId="3" fillId="4" borderId="0" xfId="0" applyFont="1" applyFill="1" applyAlignment="1">
      <alignment horizontal="center"/>
    </xf>
    <xf numFmtId="0" fontId="3" fillId="4" borderId="1" xfId="0" applyFont="1" applyFill="1" applyBorder="1"/>
    <xf numFmtId="0" fontId="1" fillId="0" borderId="0" xfId="0" applyFont="1" applyFill="1" applyBorder="1"/>
    <xf numFmtId="0" fontId="32" fillId="0" borderId="0" xfId="0" applyFont="1" applyFill="1" applyBorder="1" applyAlignment="1">
      <alignment horizontal="left" vertical="top"/>
    </xf>
    <xf numFmtId="2" fontId="0" fillId="0" borderId="0" xfId="0" applyNumberFormat="1" applyFont="1"/>
    <xf numFmtId="1" fontId="0" fillId="0" borderId="0" xfId="0" applyNumberFormat="1" applyFont="1"/>
    <xf numFmtId="1" fontId="1" fillId="0" borderId="0" xfId="0" applyNumberFormat="1" applyFont="1" applyAlignment="1">
      <alignment horizontal="right"/>
    </xf>
    <xf numFmtId="1" fontId="1" fillId="0" borderId="0" xfId="0" applyNumberFormat="1" applyFont="1" applyFill="1" applyAlignment="1">
      <alignment horizontal="right"/>
    </xf>
    <xf numFmtId="0" fontId="33" fillId="0" borderId="0" xfId="0" applyFont="1"/>
    <xf numFmtId="0" fontId="5" fillId="0" borderId="0" xfId="0" applyFont="1" applyAlignment="1">
      <alignment horizontal="center"/>
    </xf>
    <xf numFmtId="0" fontId="3" fillId="4" borderId="1" xfId="0" applyFont="1" applyFill="1" applyBorder="1" applyAlignment="1">
      <alignment horizontal="center"/>
    </xf>
    <xf numFmtId="0" fontId="0" fillId="9" borderId="0" xfId="0" applyFill="1"/>
    <xf numFmtId="0" fontId="0" fillId="9" borderId="1" xfId="0" applyFill="1" applyBorder="1"/>
    <xf numFmtId="0" fontId="34" fillId="10" borderId="0" xfId="0" applyFont="1" applyFill="1"/>
    <xf numFmtId="0" fontId="0" fillId="10" borderId="0" xfId="0" applyFill="1"/>
    <xf numFmtId="0" fontId="3" fillId="4" borderId="1" xfId="0" quotePrefix="1" applyFont="1" applyFill="1" applyBorder="1" applyAlignment="1">
      <alignment horizontal="center"/>
    </xf>
    <xf numFmtId="0" fontId="31" fillId="5" borderId="0" xfId="0" applyFont="1" applyFill="1" applyAlignment="1">
      <alignment horizontal="center"/>
    </xf>
    <xf numFmtId="0" fontId="31" fillId="3" borderId="0" xfId="0" applyFont="1" applyFill="1" applyAlignment="1">
      <alignment horizontal="center"/>
    </xf>
    <xf numFmtId="1" fontId="0" fillId="0" borderId="0" xfId="0" applyNumberFormat="1" applyFont="1" applyAlignment="1">
      <alignment horizontal="center"/>
    </xf>
    <xf numFmtId="14" fontId="0" fillId="0" borderId="0" xfId="0" applyNumberFormat="1" applyFill="1" applyAlignment="1">
      <alignment horizontal="center"/>
    </xf>
    <xf numFmtId="0" fontId="1" fillId="0" borderId="0" xfId="0" applyFont="1" applyFill="1" applyBorder="1" applyAlignment="1">
      <alignment horizontal="center"/>
    </xf>
    <xf numFmtId="0" fontId="3" fillId="4" borderId="0" xfId="0" applyFont="1" applyFill="1" applyAlignment="1">
      <alignment horizontal="center"/>
    </xf>
    <xf numFmtId="0" fontId="1" fillId="0" borderId="0" xfId="0" applyFont="1" applyAlignment="1">
      <alignment horizontal="center"/>
    </xf>
    <xf numFmtId="0" fontId="18" fillId="0" borderId="0" xfId="0" applyFont="1" applyAlignment="1">
      <alignment horizontal="center"/>
    </xf>
    <xf numFmtId="0" fontId="9" fillId="2" borderId="0" xfId="1" applyFont="1" applyFill="1" applyBorder="1" applyAlignment="1">
      <alignment horizontal="center"/>
    </xf>
    <xf numFmtId="164" fontId="0" fillId="0" borderId="0" xfId="0" applyNumberFormat="1" applyAlignment="1">
      <alignment horizontal="center"/>
    </xf>
  </cellXfs>
  <cellStyles count="2">
    <cellStyle name="Normal" xfId="0" builtinId="0"/>
    <cellStyle name="Normal 2" xfId="1"/>
  </cellStyles>
  <dxfs count="0"/>
  <tableStyles count="0" defaultTableStyle="TableStyleMedium2" defaultPivotStyle="PivotStyleLight16"/>
  <colors>
    <mruColors>
      <color rgb="FFFFFF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705507851093692"/>
          <c:y val="9.3385731536087216E-2"/>
          <c:w val="0.62587748177716629"/>
          <c:h val="0.63959768348925905"/>
        </c:manualLayout>
      </c:layout>
      <c:radarChart>
        <c:radarStyle val="marker"/>
        <c:varyColors val="0"/>
        <c:ser>
          <c:idx val="0"/>
          <c:order val="0"/>
          <c:spPr>
            <a:ln w="28575" cap="rnd">
              <a:solidFill>
                <a:schemeClr val="tx1">
                  <a:alpha val="95000"/>
                </a:schemeClr>
              </a:solidFill>
              <a:round/>
            </a:ln>
            <a:effectLst/>
          </c:spPr>
          <c:marker>
            <c:symbol val="circle"/>
            <c:size val="5"/>
            <c:spPr>
              <a:noFill/>
              <a:ln w="9525">
                <a:noFill/>
              </a:ln>
              <a:effectLst/>
            </c:spPr>
          </c:marker>
          <c:cat>
            <c:strRef>
              <c:f>Report!$B$17:$B$27</c:f>
              <c:strCache>
                <c:ptCount val="11"/>
                <c:pt idx="0">
                  <c:v>N </c:v>
                </c:pt>
                <c:pt idx="1">
                  <c:v>P</c:v>
                </c:pt>
                <c:pt idx="2">
                  <c:v>K</c:v>
                </c:pt>
                <c:pt idx="3">
                  <c:v>Ca</c:v>
                </c:pt>
                <c:pt idx="4">
                  <c:v>Mg</c:v>
                </c:pt>
                <c:pt idx="5">
                  <c:v>S</c:v>
                </c:pt>
                <c:pt idx="6">
                  <c:v>Zn</c:v>
                </c:pt>
                <c:pt idx="7">
                  <c:v>Mn</c:v>
                </c:pt>
                <c:pt idx="8">
                  <c:v>B</c:v>
                </c:pt>
                <c:pt idx="9">
                  <c:v>Fe</c:v>
                </c:pt>
                <c:pt idx="10">
                  <c:v>Cu</c:v>
                </c:pt>
              </c:strCache>
            </c:strRef>
          </c:cat>
          <c:val>
            <c:numRef>
              <c:f>Report!$I$17:$I$27</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er>
        <c:dLbls>
          <c:showLegendKey val="0"/>
          <c:showVal val="0"/>
          <c:showCatName val="0"/>
          <c:showSerName val="0"/>
          <c:showPercent val="0"/>
          <c:showBubbleSize val="0"/>
        </c:dLbls>
        <c:axId val="138564608"/>
        <c:axId val="138251072"/>
      </c:radarChart>
      <c:catAx>
        <c:axId val="13856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38251072"/>
        <c:crosses val="autoZero"/>
        <c:auto val="1"/>
        <c:lblAlgn val="ctr"/>
        <c:lblOffset val="100"/>
        <c:noMultiLvlLbl val="0"/>
      </c:catAx>
      <c:valAx>
        <c:axId val="138251072"/>
        <c:scaling>
          <c:orientation val="minMax"/>
          <c:max val="3"/>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38564608"/>
        <c:crosses val="autoZero"/>
        <c:crossBetween val="between"/>
        <c:majorUnit val="1"/>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190948</xdr:colOff>
      <xdr:row>17</xdr:row>
      <xdr:rowOff>33093</xdr:rowOff>
    </xdr:from>
    <xdr:to>
      <xdr:col>7</xdr:col>
      <xdr:colOff>318631</xdr:colOff>
      <xdr:row>25</xdr:row>
      <xdr:rowOff>178635</xdr:rowOff>
    </xdr:to>
    <xdr:sp macro="" textlink="">
      <xdr:nvSpPr>
        <xdr:cNvPr id="2" name="Oval 1"/>
        <xdr:cNvSpPr/>
      </xdr:nvSpPr>
      <xdr:spPr>
        <a:xfrm>
          <a:off x="3638998" y="3414468"/>
          <a:ext cx="1765983" cy="1745742"/>
        </a:xfrm>
        <a:prstGeom prst="ellipse">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468364</xdr:colOff>
      <xdr:row>18</xdr:row>
      <xdr:rowOff>122391</xdr:rowOff>
    </xdr:from>
    <xdr:to>
      <xdr:col>7</xdr:col>
      <xdr:colOff>39738</xdr:colOff>
      <xdr:row>24</xdr:row>
      <xdr:rowOff>89837</xdr:rowOff>
    </xdr:to>
    <xdr:sp macro="" textlink="">
      <xdr:nvSpPr>
        <xdr:cNvPr id="3" name="Oval 2"/>
        <xdr:cNvSpPr/>
      </xdr:nvSpPr>
      <xdr:spPr>
        <a:xfrm>
          <a:off x="3916414" y="3703791"/>
          <a:ext cx="1209674" cy="1167596"/>
        </a:xfrm>
        <a:prstGeom prst="ellipse">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3453</xdr:colOff>
      <xdr:row>20</xdr:row>
      <xdr:rowOff>3328</xdr:rowOff>
    </xdr:from>
    <xdr:to>
      <xdr:col>6</xdr:col>
      <xdr:colOff>583853</xdr:colOff>
      <xdr:row>22</xdr:row>
      <xdr:rowOff>196262</xdr:rowOff>
    </xdr:to>
    <xdr:sp macro="" textlink="">
      <xdr:nvSpPr>
        <xdr:cNvPr id="4" name="Oval 3"/>
        <xdr:cNvSpPr/>
      </xdr:nvSpPr>
      <xdr:spPr>
        <a:xfrm>
          <a:off x="4232553" y="3984778"/>
          <a:ext cx="580400" cy="592984"/>
        </a:xfrm>
        <a:prstGeom prst="ellipse">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496938</xdr:colOff>
      <xdr:row>15</xdr:row>
      <xdr:rowOff>62153</xdr:rowOff>
    </xdr:from>
    <xdr:to>
      <xdr:col>8</xdr:col>
      <xdr:colOff>51209</xdr:colOff>
      <xdr:row>31</xdr:row>
      <xdr:rowOff>28575</xdr:rowOff>
    </xdr:to>
    <xdr:grpSp>
      <xdr:nvGrpSpPr>
        <xdr:cNvPr id="5" name="Group 4"/>
        <xdr:cNvGrpSpPr/>
      </xdr:nvGrpSpPr>
      <xdr:grpSpPr>
        <a:xfrm>
          <a:off x="2973438" y="2824403"/>
          <a:ext cx="2775453" cy="3040399"/>
          <a:chOff x="2374623" y="3040713"/>
          <a:chExt cx="4329718" cy="3073235"/>
        </a:xfrm>
        <a:noFill/>
      </xdr:grpSpPr>
      <xdr:sp macro="" textlink="">
        <xdr:nvSpPr>
          <xdr:cNvPr id="6" name="TextBox 5"/>
          <xdr:cNvSpPr txBox="1"/>
        </xdr:nvSpPr>
        <xdr:spPr>
          <a:xfrm>
            <a:off x="4295891" y="3747962"/>
            <a:ext cx="1337791" cy="32716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t>Sufficient</a:t>
            </a:r>
          </a:p>
          <a:p>
            <a:endParaRPr lang="en-US" sz="1200" b="0"/>
          </a:p>
        </xdr:txBody>
      </xdr:sp>
      <xdr:sp macro="" textlink="">
        <xdr:nvSpPr>
          <xdr:cNvPr id="7" name="TextBox 6"/>
          <xdr:cNvSpPr txBox="1"/>
        </xdr:nvSpPr>
        <xdr:spPr>
          <a:xfrm>
            <a:off x="4448582" y="3401754"/>
            <a:ext cx="1038367" cy="24812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t>High</a:t>
            </a:r>
          </a:p>
        </xdr:txBody>
      </xdr:sp>
      <xdr:sp macro="" textlink="">
        <xdr:nvSpPr>
          <xdr:cNvPr id="8" name="TextBox 7"/>
          <xdr:cNvSpPr txBox="1"/>
        </xdr:nvSpPr>
        <xdr:spPr>
          <a:xfrm>
            <a:off x="4480891" y="4162617"/>
            <a:ext cx="1124457" cy="35900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t>Low</a:t>
            </a:r>
          </a:p>
        </xdr:txBody>
      </xdr:sp>
      <xdr:graphicFrame macro="">
        <xdr:nvGraphicFramePr>
          <xdr:cNvPr id="9" name="Chart 8"/>
          <xdr:cNvGraphicFramePr>
            <a:graphicFrameLocks/>
          </xdr:cNvGraphicFramePr>
        </xdr:nvGraphicFramePr>
        <xdr:xfrm>
          <a:off x="2374623" y="3040713"/>
          <a:ext cx="4329718" cy="3073235"/>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31"/>
  <sheetViews>
    <sheetView workbookViewId="0">
      <pane xSplit="2" ySplit="6" topLeftCell="H7" activePane="bottomRight" state="frozen"/>
      <selection pane="topRight" activeCell="C1" sqref="C1"/>
      <selection pane="bottomLeft" activeCell="A7" sqref="A7"/>
      <selection pane="bottomRight" activeCell="Q7" sqref="Q7:Q16"/>
    </sheetView>
  </sheetViews>
  <sheetFormatPr defaultRowHeight="15"/>
  <cols>
    <col min="2" max="2" width="6" customWidth="1"/>
    <col min="3" max="3" width="8" bestFit="1" customWidth="1"/>
    <col min="4" max="4" width="8.140625" bestFit="1" customWidth="1"/>
    <col min="5" max="5" width="15.5703125" bestFit="1" customWidth="1"/>
    <col min="6" max="6" width="18" bestFit="1" customWidth="1"/>
    <col min="7" max="7" width="24.7109375" bestFit="1" customWidth="1"/>
    <col min="8" max="8" width="7.7109375" bestFit="1" customWidth="1"/>
    <col min="9" max="9" width="14.28515625" customWidth="1"/>
    <col min="10" max="10" width="18.5703125" customWidth="1"/>
    <col min="14" max="14" width="8.5703125" customWidth="1"/>
    <col min="15" max="16" width="4.28515625" customWidth="1"/>
    <col min="17" max="27" width="7.28515625" customWidth="1"/>
    <col min="28" max="28" width="10" hidden="1" customWidth="1"/>
    <col min="29" max="29" width="15.28515625" hidden="1" customWidth="1"/>
    <col min="30" max="44" width="0" hidden="1" customWidth="1"/>
  </cols>
  <sheetData>
    <row r="1" spans="1:44" ht="15.75">
      <c r="A1" t="s">
        <v>220</v>
      </c>
      <c r="C1" s="124" t="s">
        <v>558</v>
      </c>
      <c r="D1" s="125"/>
      <c r="E1" s="125"/>
      <c r="F1" s="125"/>
      <c r="G1" s="1" t="s">
        <v>561</v>
      </c>
      <c r="J1" s="78" t="s">
        <v>536</v>
      </c>
      <c r="K1" s="75" t="s">
        <v>559</v>
      </c>
      <c r="L1" s="75"/>
      <c r="M1" s="122" t="s">
        <v>560</v>
      </c>
      <c r="N1" s="122"/>
      <c r="O1" s="122"/>
      <c r="AB1" s="78" t="s">
        <v>536</v>
      </c>
      <c r="AC1" s="78" t="s">
        <v>536</v>
      </c>
    </row>
    <row r="3" spans="1:44">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R3" t="s">
        <v>445</v>
      </c>
    </row>
    <row r="4" spans="1:44">
      <c r="AR4" t="s">
        <v>528</v>
      </c>
    </row>
    <row r="5" spans="1:44">
      <c r="B5" s="122" t="s">
        <v>534</v>
      </c>
      <c r="C5" s="75" t="s">
        <v>228</v>
      </c>
      <c r="D5" s="75" t="s">
        <v>246</v>
      </c>
      <c r="E5" s="75" t="s">
        <v>226</v>
      </c>
      <c r="F5" s="75" t="s">
        <v>227</v>
      </c>
      <c r="G5" s="75" t="s">
        <v>539</v>
      </c>
      <c r="H5" s="75" t="s">
        <v>229</v>
      </c>
      <c r="I5" s="122" t="s">
        <v>231</v>
      </c>
      <c r="J5" s="75" t="s">
        <v>232</v>
      </c>
      <c r="K5" s="75" t="s">
        <v>230</v>
      </c>
      <c r="L5" s="75" t="s">
        <v>233</v>
      </c>
      <c r="M5" s="122" t="s">
        <v>535</v>
      </c>
      <c r="N5" t="s">
        <v>234</v>
      </c>
      <c r="Q5" s="75" t="s">
        <v>207</v>
      </c>
      <c r="R5" s="75" t="s">
        <v>206</v>
      </c>
      <c r="S5" s="75" t="s">
        <v>205</v>
      </c>
      <c r="T5" s="75" t="s">
        <v>204</v>
      </c>
      <c r="U5" s="75" t="s">
        <v>203</v>
      </c>
      <c r="V5" s="75" t="s">
        <v>202</v>
      </c>
      <c r="W5" s="75" t="s">
        <v>201</v>
      </c>
      <c r="X5" s="75" t="s">
        <v>199</v>
      </c>
      <c r="Y5" s="75" t="s">
        <v>200</v>
      </c>
      <c r="Z5" s="75" t="s">
        <v>198</v>
      </c>
      <c r="AA5" s="75" t="s">
        <v>197</v>
      </c>
      <c r="AB5" s="74" t="s">
        <v>529</v>
      </c>
      <c r="AC5" s="74" t="s">
        <v>232</v>
      </c>
      <c r="AD5" s="75" t="s">
        <v>235</v>
      </c>
      <c r="AE5" s="75" t="s">
        <v>545</v>
      </c>
      <c r="AF5" s="75" t="s">
        <v>236</v>
      </c>
      <c r="AG5" s="75" t="s">
        <v>237</v>
      </c>
      <c r="AH5" s="75" t="s">
        <v>238</v>
      </c>
      <c r="AI5" s="75" t="s">
        <v>239</v>
      </c>
      <c r="AJ5" s="75" t="s">
        <v>240</v>
      </c>
      <c r="AK5" s="75" t="s">
        <v>255</v>
      </c>
      <c r="AL5" s="75" t="s">
        <v>256</v>
      </c>
      <c r="AM5" s="75" t="s">
        <v>254</v>
      </c>
      <c r="AN5" s="75" t="s">
        <v>253</v>
      </c>
      <c r="AR5" t="s">
        <v>526</v>
      </c>
    </row>
    <row r="6" spans="1:44" s="25" customFormat="1">
      <c r="B6" s="123"/>
      <c r="C6" s="77"/>
      <c r="D6" s="77"/>
      <c r="E6" s="77"/>
      <c r="F6" s="77"/>
      <c r="G6" s="77"/>
      <c r="H6" s="77"/>
      <c r="I6" s="123"/>
      <c r="J6" s="77"/>
      <c r="K6" s="77"/>
      <c r="L6" s="77"/>
      <c r="M6" s="123"/>
      <c r="Q6" s="77" t="s">
        <v>209</v>
      </c>
      <c r="R6" s="77" t="s">
        <v>209</v>
      </c>
      <c r="S6" s="77" t="s">
        <v>209</v>
      </c>
      <c r="T6" s="77" t="s">
        <v>209</v>
      </c>
      <c r="U6" s="77" t="s">
        <v>209</v>
      </c>
      <c r="V6" s="77" t="s">
        <v>209</v>
      </c>
      <c r="W6" s="77" t="s">
        <v>222</v>
      </c>
      <c r="X6" s="77" t="s">
        <v>222</v>
      </c>
      <c r="Y6" s="77" t="s">
        <v>222</v>
      </c>
      <c r="Z6" s="77" t="s">
        <v>222</v>
      </c>
      <c r="AA6" s="77" t="s">
        <v>222</v>
      </c>
      <c r="AB6" s="76"/>
      <c r="AC6" s="76"/>
    </row>
    <row r="7" spans="1:44">
      <c r="A7">
        <v>1</v>
      </c>
      <c r="B7">
        <v>12518</v>
      </c>
      <c r="C7">
        <v>6965</v>
      </c>
      <c r="D7">
        <v>558618</v>
      </c>
      <c r="E7" t="s">
        <v>562</v>
      </c>
      <c r="F7" t="s">
        <v>563</v>
      </c>
      <c r="G7" t="s">
        <v>564</v>
      </c>
      <c r="H7" t="s">
        <v>565</v>
      </c>
      <c r="I7" t="s">
        <v>566</v>
      </c>
      <c r="J7" s="74" t="s">
        <v>5</v>
      </c>
      <c r="K7" t="s">
        <v>567</v>
      </c>
      <c r="L7" t="s">
        <v>568</v>
      </c>
      <c r="M7" t="s">
        <v>556</v>
      </c>
      <c r="Q7" s="94">
        <v>2.2522686409307244</v>
      </c>
      <c r="R7" s="94">
        <v>0.13800000000000001</v>
      </c>
      <c r="S7" s="94">
        <v>0.44800000000000001</v>
      </c>
      <c r="T7" s="94">
        <v>0.35399999999999998</v>
      </c>
      <c r="U7" s="94">
        <v>0.216</v>
      </c>
      <c r="V7" s="94">
        <v>0.14199999999999999</v>
      </c>
      <c r="W7" s="79">
        <v>96.050000000000011</v>
      </c>
      <c r="X7" s="79">
        <v>698.48199999999997</v>
      </c>
      <c r="Y7" s="79">
        <v>23.43</v>
      </c>
      <c r="Z7" s="79">
        <v>51.435000000000002</v>
      </c>
      <c r="AA7" s="136">
        <v>5.9349999999999996</v>
      </c>
      <c r="AB7" s="74" t="s">
        <v>538</v>
      </c>
      <c r="AC7" s="74" t="s">
        <v>538</v>
      </c>
      <c r="AD7" s="95"/>
      <c r="AE7" s="95"/>
      <c r="AF7" s="95"/>
      <c r="AG7" s="86"/>
      <c r="AH7" s="86"/>
      <c r="AI7" s="86"/>
      <c r="AJ7" s="86"/>
      <c r="AK7" s="95"/>
      <c r="AL7" s="86"/>
      <c r="AM7" s="95"/>
      <c r="AN7" s="95"/>
    </row>
    <row r="8" spans="1:44">
      <c r="A8">
        <v>2</v>
      </c>
      <c r="B8">
        <v>12519</v>
      </c>
      <c r="H8" t="s">
        <v>257</v>
      </c>
      <c r="I8" t="s">
        <v>569</v>
      </c>
      <c r="J8" s="74"/>
      <c r="K8" t="s">
        <v>257</v>
      </c>
      <c r="L8" t="s">
        <v>257</v>
      </c>
      <c r="M8" t="s">
        <v>556</v>
      </c>
      <c r="Q8" s="94">
        <v>1.8953268567709574</v>
      </c>
      <c r="R8" s="94">
        <v>0.14899999999999999</v>
      </c>
      <c r="S8" s="94">
        <v>0.41000000000000003</v>
      </c>
      <c r="T8" s="94">
        <v>0.30399999999999999</v>
      </c>
      <c r="U8" s="94">
        <v>0.20199999999999999</v>
      </c>
      <c r="V8" s="94">
        <v>0.14299999999999999</v>
      </c>
      <c r="W8" s="79">
        <v>99.26</v>
      </c>
      <c r="X8" s="79">
        <v>858</v>
      </c>
      <c r="Y8" s="79">
        <v>56.37</v>
      </c>
      <c r="Z8" s="79">
        <v>41.265000000000001</v>
      </c>
      <c r="AA8" s="136">
        <v>5.4429999999999996</v>
      </c>
      <c r="AB8" s="74" t="s">
        <v>538</v>
      </c>
      <c r="AC8" s="74" t="s">
        <v>538</v>
      </c>
      <c r="AD8" s="95"/>
      <c r="AE8" s="95"/>
      <c r="AF8" s="95"/>
      <c r="AK8" s="95"/>
      <c r="AL8" s="86"/>
      <c r="AM8" s="95"/>
      <c r="AN8" s="95"/>
    </row>
    <row r="9" spans="1:44">
      <c r="A9">
        <v>3</v>
      </c>
      <c r="B9">
        <v>12520</v>
      </c>
      <c r="H9" t="s">
        <v>257</v>
      </c>
      <c r="I9" t="s">
        <v>570</v>
      </c>
      <c r="J9" s="74"/>
      <c r="K9" t="s">
        <v>257</v>
      </c>
      <c r="L9" t="s">
        <v>257</v>
      </c>
      <c r="M9" t="s">
        <v>556</v>
      </c>
      <c r="Q9" s="94">
        <v>1.2703969921486231</v>
      </c>
      <c r="R9" s="94">
        <v>0.17399999999999999</v>
      </c>
      <c r="S9" s="94">
        <v>0.44500000000000001</v>
      </c>
      <c r="T9" s="94">
        <v>0.309</v>
      </c>
      <c r="U9" s="94">
        <v>0.22</v>
      </c>
      <c r="V9" s="94">
        <v>0.19400000000000001</v>
      </c>
      <c r="W9" s="79">
        <v>206.91</v>
      </c>
      <c r="X9" s="79">
        <v>452.68200000000002</v>
      </c>
      <c r="Y9" s="79">
        <v>38.07</v>
      </c>
      <c r="Z9" s="79">
        <v>1060.615</v>
      </c>
      <c r="AA9" s="136">
        <v>22.760999999999999</v>
      </c>
      <c r="AB9" s="74" t="s">
        <v>538</v>
      </c>
      <c r="AC9" s="74" t="s">
        <v>538</v>
      </c>
      <c r="AD9" s="95"/>
      <c r="AE9" s="95"/>
      <c r="AF9" s="95"/>
      <c r="AK9" s="95"/>
      <c r="AL9" s="86"/>
      <c r="AM9" s="95"/>
      <c r="AN9" s="95"/>
    </row>
    <row r="10" spans="1:44">
      <c r="A10">
        <v>4</v>
      </c>
      <c r="B10">
        <v>12521</v>
      </c>
      <c r="H10" t="s">
        <v>257</v>
      </c>
      <c r="I10" t="s">
        <v>571</v>
      </c>
      <c r="J10" s="74"/>
      <c r="K10" t="s">
        <v>257</v>
      </c>
      <c r="L10" t="s">
        <v>257</v>
      </c>
      <c r="M10" t="s">
        <v>556</v>
      </c>
      <c r="Q10" s="94">
        <v>1.6968768011226474</v>
      </c>
      <c r="R10" s="94">
        <v>0.13900000000000001</v>
      </c>
      <c r="S10" s="94">
        <v>0.46100000000000002</v>
      </c>
      <c r="T10" s="94">
        <v>0.32700000000000001</v>
      </c>
      <c r="U10" s="94">
        <v>0.161</v>
      </c>
      <c r="V10" s="94">
        <v>0.16800000000000001</v>
      </c>
      <c r="W10" s="79">
        <v>78.81</v>
      </c>
      <c r="X10" s="79">
        <v>488.08199999999999</v>
      </c>
      <c r="Y10" s="79">
        <v>32.830000000000005</v>
      </c>
      <c r="Z10" s="79">
        <v>642.71500000000003</v>
      </c>
      <c r="AA10" s="136">
        <v>12.371</v>
      </c>
      <c r="AB10" s="74" t="s">
        <v>538</v>
      </c>
      <c r="AC10" s="74" t="s">
        <v>538</v>
      </c>
      <c r="AD10" s="95"/>
      <c r="AE10" s="95"/>
      <c r="AF10" s="95"/>
      <c r="AK10" s="95"/>
      <c r="AL10" s="86"/>
      <c r="AM10" s="95"/>
      <c r="AN10" s="95"/>
    </row>
    <row r="11" spans="1:44">
      <c r="A11">
        <v>5</v>
      </c>
      <c r="B11">
        <v>12522</v>
      </c>
      <c r="H11" t="s">
        <v>257</v>
      </c>
      <c r="I11" t="s">
        <v>572</v>
      </c>
      <c r="J11" s="74"/>
      <c r="K11" t="s">
        <v>257</v>
      </c>
      <c r="L11" t="s">
        <v>257</v>
      </c>
      <c r="M11" t="s">
        <v>556</v>
      </c>
      <c r="Q11" s="94">
        <v>2.5525499091072863</v>
      </c>
      <c r="R11" s="94">
        <v>0.13200000000000001</v>
      </c>
      <c r="S11" s="94">
        <v>0.71699999999999997</v>
      </c>
      <c r="T11" s="94">
        <v>0.437</v>
      </c>
      <c r="U11" s="94">
        <v>0.23399999999999999</v>
      </c>
      <c r="V11" s="94">
        <v>0.156</v>
      </c>
      <c r="W11" s="79">
        <v>97.460000000000008</v>
      </c>
      <c r="X11" s="79">
        <v>881</v>
      </c>
      <c r="Y11" s="79">
        <v>20.730000000000004</v>
      </c>
      <c r="Z11" s="79">
        <v>57.675000000000004</v>
      </c>
      <c r="AA11" s="136">
        <v>6.0329999999999995</v>
      </c>
      <c r="AB11" s="74" t="s">
        <v>538</v>
      </c>
      <c r="AC11" s="74" t="s">
        <v>538</v>
      </c>
      <c r="AD11" s="95"/>
      <c r="AE11" s="95"/>
      <c r="AF11" s="95"/>
      <c r="AK11" s="95"/>
      <c r="AL11" s="86"/>
      <c r="AM11" s="95"/>
      <c r="AN11" s="95"/>
    </row>
    <row r="12" spans="1:44">
      <c r="A12">
        <v>6</v>
      </c>
      <c r="B12">
        <v>12523</v>
      </c>
      <c r="H12" t="s">
        <v>257</v>
      </c>
      <c r="I12" t="s">
        <v>573</v>
      </c>
      <c r="J12" s="74"/>
      <c r="K12" t="s">
        <v>257</v>
      </c>
      <c r="L12" t="s">
        <v>257</v>
      </c>
      <c r="M12" t="s">
        <v>556</v>
      </c>
      <c r="Q12" s="94">
        <v>2.2260771973861258</v>
      </c>
      <c r="R12" s="94">
        <v>0.152</v>
      </c>
      <c r="S12" s="94">
        <v>0.46900000000000003</v>
      </c>
      <c r="T12" s="94">
        <v>0.36099999999999999</v>
      </c>
      <c r="U12" s="94">
        <v>0.23499999999999999</v>
      </c>
      <c r="V12" s="94">
        <v>0.15</v>
      </c>
      <c r="W12" s="79">
        <v>100.81</v>
      </c>
      <c r="X12" s="79">
        <v>513.08199999999999</v>
      </c>
      <c r="Y12" s="79">
        <v>21.740000000000002</v>
      </c>
      <c r="Z12" s="79">
        <v>46.414999999999999</v>
      </c>
      <c r="AA12" s="136">
        <v>5.9739999999999993</v>
      </c>
      <c r="AB12" s="74" t="s">
        <v>538</v>
      </c>
      <c r="AC12" s="74" t="s">
        <v>538</v>
      </c>
      <c r="AD12" s="95"/>
      <c r="AE12" s="95"/>
      <c r="AF12" s="95"/>
      <c r="AK12" s="95"/>
      <c r="AL12" s="86"/>
      <c r="AM12" s="95"/>
      <c r="AN12" s="95"/>
    </row>
    <row r="13" spans="1:44">
      <c r="A13">
        <v>7</v>
      </c>
      <c r="B13">
        <v>12524</v>
      </c>
      <c r="H13" t="s">
        <v>257</v>
      </c>
      <c r="I13" t="s">
        <v>574</v>
      </c>
      <c r="J13" s="74"/>
      <c r="K13" t="s">
        <v>257</v>
      </c>
      <c r="L13" t="s">
        <v>257</v>
      </c>
      <c r="M13" t="s">
        <v>556</v>
      </c>
      <c r="Q13" s="94">
        <v>1.6973845617967314</v>
      </c>
      <c r="R13" s="94">
        <v>0.153</v>
      </c>
      <c r="S13" s="94">
        <v>0.47600000000000003</v>
      </c>
      <c r="T13" s="94">
        <v>0.30199999999999999</v>
      </c>
      <c r="U13" s="94">
        <v>0.20699999999999999</v>
      </c>
      <c r="V13" s="94">
        <v>0.14399999999999999</v>
      </c>
      <c r="W13" s="79">
        <v>97.22</v>
      </c>
      <c r="X13" s="79">
        <v>923</v>
      </c>
      <c r="Y13" s="79">
        <v>21.64</v>
      </c>
      <c r="Z13" s="79">
        <v>41.075000000000003</v>
      </c>
      <c r="AA13" s="136">
        <v>5.4799999999999995</v>
      </c>
      <c r="AB13" s="74" t="s">
        <v>538</v>
      </c>
      <c r="AC13" s="74" t="s">
        <v>538</v>
      </c>
      <c r="AD13" s="95"/>
      <c r="AE13" s="95"/>
      <c r="AF13" s="95"/>
      <c r="AK13" s="95"/>
      <c r="AL13" s="86"/>
      <c r="AM13" s="95"/>
      <c r="AN13" s="95"/>
    </row>
    <row r="14" spans="1:44">
      <c r="A14">
        <v>8</v>
      </c>
      <c r="B14">
        <v>12525</v>
      </c>
      <c r="H14" t="s">
        <v>257</v>
      </c>
      <c r="I14" t="s">
        <v>575</v>
      </c>
      <c r="J14" s="74"/>
      <c r="K14" t="s">
        <v>257</v>
      </c>
      <c r="L14" t="s">
        <v>257</v>
      </c>
      <c r="M14" t="s">
        <v>556</v>
      </c>
      <c r="Q14" s="94">
        <v>2.619472781970051</v>
      </c>
      <c r="R14" s="94">
        <v>0.11700000000000001</v>
      </c>
      <c r="S14" s="94">
        <v>0.61799999999999999</v>
      </c>
      <c r="T14" s="94">
        <v>0.35399999999999998</v>
      </c>
      <c r="U14" s="94">
        <v>0.22500000000000001</v>
      </c>
      <c r="V14" s="94">
        <v>0.16300000000000001</v>
      </c>
      <c r="W14" s="79">
        <v>90.17</v>
      </c>
      <c r="X14" s="79">
        <v>832</v>
      </c>
      <c r="Y14" s="79">
        <v>36.96</v>
      </c>
      <c r="Z14" s="79">
        <v>661.41499999999996</v>
      </c>
      <c r="AA14" s="136">
        <v>11.441000000000001</v>
      </c>
      <c r="AB14" s="74" t="s">
        <v>538</v>
      </c>
      <c r="AC14" s="74" t="s">
        <v>538</v>
      </c>
      <c r="AD14" s="95"/>
      <c r="AE14" s="95"/>
      <c r="AF14" s="95"/>
      <c r="AK14" s="95"/>
      <c r="AL14" s="86"/>
      <c r="AM14" s="95"/>
      <c r="AN14" s="95"/>
    </row>
    <row r="15" spans="1:44">
      <c r="A15">
        <v>9</v>
      </c>
      <c r="B15">
        <v>12526</v>
      </c>
      <c r="H15" t="s">
        <v>257</v>
      </c>
      <c r="I15" t="s">
        <v>576</v>
      </c>
      <c r="J15" s="74"/>
      <c r="K15" t="s">
        <v>257</v>
      </c>
      <c r="L15" t="s">
        <v>257</v>
      </c>
      <c r="M15" t="s">
        <v>556</v>
      </c>
      <c r="Q15" s="94">
        <v>1.7221077795579969</v>
      </c>
      <c r="R15" s="94">
        <v>0.19600000000000001</v>
      </c>
      <c r="S15" s="94">
        <v>0.68699999999999994</v>
      </c>
      <c r="T15" s="94">
        <v>0.39</v>
      </c>
      <c r="U15" s="94">
        <v>0.254</v>
      </c>
      <c r="V15" s="94">
        <v>0.22500000000000001</v>
      </c>
      <c r="W15" s="79">
        <v>174.60999999999999</v>
      </c>
      <c r="X15" s="79">
        <v>372.88200000000001</v>
      </c>
      <c r="Y15" s="79">
        <v>42.330000000000005</v>
      </c>
      <c r="Z15" s="79">
        <v>1096.615</v>
      </c>
      <c r="AA15" s="136">
        <v>32.540999999999997</v>
      </c>
      <c r="AB15" s="74" t="s">
        <v>538</v>
      </c>
      <c r="AC15" s="74" t="s">
        <v>538</v>
      </c>
      <c r="AD15" s="95"/>
      <c r="AE15" s="95"/>
      <c r="AF15" s="95"/>
      <c r="AK15" s="95"/>
      <c r="AL15" s="86"/>
      <c r="AM15" s="95"/>
      <c r="AN15" s="95"/>
    </row>
    <row r="16" spans="1:44">
      <c r="A16">
        <v>10</v>
      </c>
      <c r="B16">
        <v>12527</v>
      </c>
      <c r="H16" t="s">
        <v>257</v>
      </c>
      <c r="I16" t="s">
        <v>577</v>
      </c>
      <c r="J16" s="74"/>
      <c r="K16" t="s">
        <v>257</v>
      </c>
      <c r="L16" t="s">
        <v>257</v>
      </c>
      <c r="M16" t="s">
        <v>556</v>
      </c>
      <c r="Q16" s="94">
        <v>1.8936526816608994</v>
      </c>
      <c r="R16" s="94">
        <v>0.15</v>
      </c>
      <c r="S16" s="94">
        <v>0.49700000000000005</v>
      </c>
      <c r="T16" s="94">
        <v>0.32200000000000001</v>
      </c>
      <c r="U16" s="94">
        <v>0.17799999999999999</v>
      </c>
      <c r="V16" s="94">
        <v>0.2</v>
      </c>
      <c r="W16" s="79">
        <v>84.440000000000012</v>
      </c>
      <c r="X16" s="79">
        <v>572.78200000000004</v>
      </c>
      <c r="Y16" s="79">
        <v>37.65</v>
      </c>
      <c r="Z16" s="79">
        <v>803.41499999999996</v>
      </c>
      <c r="AA16" s="136">
        <v>12.641</v>
      </c>
      <c r="AB16" s="74" t="s">
        <v>538</v>
      </c>
      <c r="AC16" s="74" t="s">
        <v>538</v>
      </c>
      <c r="AD16" s="95"/>
      <c r="AE16" s="95"/>
      <c r="AF16" s="95"/>
      <c r="AK16" s="95"/>
      <c r="AL16" s="86"/>
      <c r="AM16" s="95"/>
      <c r="AN16" s="95"/>
    </row>
    <row r="17" spans="1:29">
      <c r="A17">
        <v>11</v>
      </c>
      <c r="H17" t="s">
        <v>257</v>
      </c>
      <c r="J17" s="74"/>
      <c r="K17" t="s">
        <v>257</v>
      </c>
      <c r="L17" t="s">
        <v>257</v>
      </c>
      <c r="M17" t="s">
        <v>556</v>
      </c>
      <c r="Q17" s="94"/>
      <c r="R17" s="94"/>
      <c r="S17" s="94"/>
      <c r="T17" s="94"/>
      <c r="U17" s="94"/>
      <c r="V17" s="94"/>
      <c r="W17" s="79"/>
      <c r="X17" s="79"/>
      <c r="Y17" s="79"/>
      <c r="Z17" s="79"/>
      <c r="AA17" s="79"/>
      <c r="AB17" s="74" t="s">
        <v>538</v>
      </c>
      <c r="AC17" s="74" t="s">
        <v>538</v>
      </c>
    </row>
    <row r="18" spans="1:29">
      <c r="A18">
        <v>12</v>
      </c>
      <c r="H18" t="s">
        <v>257</v>
      </c>
      <c r="J18" s="74"/>
      <c r="K18" t="s">
        <v>257</v>
      </c>
      <c r="L18" t="s">
        <v>257</v>
      </c>
      <c r="M18" t="s">
        <v>556</v>
      </c>
      <c r="Q18" s="94"/>
      <c r="R18" s="94"/>
      <c r="S18" s="94"/>
      <c r="T18" s="94"/>
      <c r="U18" s="94"/>
      <c r="V18" s="94"/>
      <c r="W18" s="79"/>
      <c r="X18" s="79"/>
      <c r="Y18" s="79"/>
      <c r="Z18" s="79"/>
      <c r="AA18" s="79"/>
      <c r="AB18" s="74" t="s">
        <v>538</v>
      </c>
      <c r="AC18" s="74" t="s">
        <v>538</v>
      </c>
    </row>
    <row r="19" spans="1:29">
      <c r="A19">
        <v>13</v>
      </c>
      <c r="H19" t="s">
        <v>257</v>
      </c>
      <c r="J19" s="74"/>
      <c r="K19" t="s">
        <v>257</v>
      </c>
      <c r="L19" t="s">
        <v>257</v>
      </c>
      <c r="M19" t="s">
        <v>556</v>
      </c>
      <c r="Q19" s="94"/>
      <c r="R19" s="94"/>
      <c r="S19" s="94"/>
      <c r="T19" s="94"/>
      <c r="U19" s="94"/>
      <c r="V19" s="94"/>
      <c r="W19" s="79"/>
      <c r="X19" s="79"/>
      <c r="Y19" s="79"/>
      <c r="Z19" s="79"/>
      <c r="AA19" s="79"/>
      <c r="AB19" s="74" t="s">
        <v>538</v>
      </c>
      <c r="AC19" s="74" t="s">
        <v>538</v>
      </c>
    </row>
    <row r="20" spans="1:29">
      <c r="A20">
        <v>14</v>
      </c>
      <c r="H20" t="s">
        <v>257</v>
      </c>
      <c r="J20" s="74"/>
      <c r="K20" t="s">
        <v>257</v>
      </c>
      <c r="L20" t="s">
        <v>257</v>
      </c>
      <c r="M20" t="s">
        <v>556</v>
      </c>
      <c r="Q20" s="94"/>
      <c r="R20" s="94"/>
      <c r="S20" s="94"/>
      <c r="T20" s="94"/>
      <c r="U20" s="94"/>
      <c r="V20" s="94"/>
      <c r="W20" s="79"/>
      <c r="X20" s="79"/>
      <c r="Y20" s="79"/>
      <c r="Z20" s="79"/>
      <c r="AA20" s="79"/>
      <c r="AB20" s="74" t="s">
        <v>538</v>
      </c>
      <c r="AC20" s="74" t="s">
        <v>538</v>
      </c>
    </row>
    <row r="21" spans="1:29">
      <c r="A21">
        <v>15</v>
      </c>
      <c r="J21" s="74"/>
      <c r="M21" t="s">
        <v>556</v>
      </c>
      <c r="Q21" s="94"/>
      <c r="R21" s="94"/>
      <c r="S21" s="94"/>
      <c r="T21" s="94"/>
      <c r="U21" s="94"/>
      <c r="V21" s="94"/>
      <c r="W21" s="79"/>
      <c r="X21" s="79"/>
      <c r="Y21" s="79"/>
      <c r="Z21" s="79"/>
      <c r="AA21" s="79"/>
      <c r="AB21" s="74" t="s">
        <v>538</v>
      </c>
      <c r="AC21" s="74" t="s">
        <v>538</v>
      </c>
    </row>
    <row r="22" spans="1:29">
      <c r="A22">
        <v>16</v>
      </c>
      <c r="H22" t="s">
        <v>257</v>
      </c>
      <c r="J22" s="74"/>
      <c r="K22" t="s">
        <v>257</v>
      </c>
      <c r="L22" t="s">
        <v>257</v>
      </c>
      <c r="M22" t="s">
        <v>556</v>
      </c>
      <c r="Q22" s="94"/>
      <c r="R22" s="94"/>
      <c r="S22" s="94"/>
      <c r="T22" s="94"/>
      <c r="U22" s="94"/>
      <c r="V22" s="94"/>
      <c r="W22" s="79"/>
      <c r="X22" s="79"/>
      <c r="Y22" s="79"/>
      <c r="Z22" s="79"/>
      <c r="AA22" s="79"/>
      <c r="AB22" s="74" t="s">
        <v>538</v>
      </c>
      <c r="AC22" s="74" t="s">
        <v>538</v>
      </c>
    </row>
    <row r="23" spans="1:29">
      <c r="A23">
        <v>17</v>
      </c>
      <c r="H23" t="s">
        <v>257</v>
      </c>
      <c r="J23" s="74"/>
      <c r="K23" t="s">
        <v>257</v>
      </c>
      <c r="L23" t="s">
        <v>257</v>
      </c>
      <c r="M23" t="s">
        <v>556</v>
      </c>
      <c r="Q23" s="94"/>
      <c r="R23" s="94"/>
      <c r="S23" s="94"/>
      <c r="T23" s="94"/>
      <c r="U23" s="94"/>
      <c r="V23" s="94"/>
      <c r="W23" s="79"/>
      <c r="X23" s="79"/>
      <c r="Y23" s="79"/>
      <c r="Z23" s="79"/>
      <c r="AA23" s="79"/>
      <c r="AB23" s="74" t="s">
        <v>538</v>
      </c>
      <c r="AC23" s="74" t="s">
        <v>538</v>
      </c>
    </row>
    <row r="24" spans="1:29">
      <c r="A24">
        <v>18</v>
      </c>
      <c r="H24" t="s">
        <v>257</v>
      </c>
      <c r="J24" s="74"/>
      <c r="K24" t="s">
        <v>257</v>
      </c>
      <c r="L24" t="s">
        <v>257</v>
      </c>
      <c r="M24" t="s">
        <v>556</v>
      </c>
      <c r="Q24" s="94"/>
      <c r="R24" s="94"/>
      <c r="S24" s="94"/>
      <c r="T24" s="94"/>
      <c r="U24" s="94"/>
      <c r="V24" s="94"/>
      <c r="W24" s="79"/>
      <c r="X24" s="79"/>
      <c r="Y24" s="79"/>
      <c r="Z24" s="79"/>
      <c r="AA24" s="79"/>
      <c r="AB24" s="74" t="s">
        <v>538</v>
      </c>
      <c r="AC24" s="74" t="s">
        <v>538</v>
      </c>
    </row>
    <row r="25" spans="1:29">
      <c r="A25">
        <v>19</v>
      </c>
      <c r="H25" t="s">
        <v>257</v>
      </c>
      <c r="J25" s="74"/>
      <c r="K25" t="s">
        <v>257</v>
      </c>
      <c r="L25" t="s">
        <v>257</v>
      </c>
      <c r="M25" t="s">
        <v>556</v>
      </c>
      <c r="Q25" s="94"/>
      <c r="R25" s="94"/>
      <c r="S25" s="94"/>
      <c r="T25" s="94"/>
      <c r="U25" s="94"/>
      <c r="V25" s="94"/>
      <c r="W25" s="79"/>
      <c r="X25" s="79"/>
      <c r="Y25" s="79"/>
      <c r="Z25" s="79"/>
      <c r="AA25" s="79"/>
      <c r="AB25" s="74" t="s">
        <v>538</v>
      </c>
      <c r="AC25" s="74" t="s">
        <v>538</v>
      </c>
    </row>
    <row r="26" spans="1:29">
      <c r="A26">
        <v>20</v>
      </c>
      <c r="H26" t="s">
        <v>257</v>
      </c>
      <c r="J26" s="74"/>
      <c r="K26" t="s">
        <v>257</v>
      </c>
      <c r="L26" t="s">
        <v>257</v>
      </c>
      <c r="M26" t="s">
        <v>556</v>
      </c>
      <c r="Q26" s="94"/>
      <c r="R26" s="94"/>
      <c r="S26" s="94"/>
      <c r="T26" s="94"/>
      <c r="U26" s="94"/>
      <c r="V26" s="94"/>
      <c r="W26" s="79"/>
      <c r="X26" s="79"/>
      <c r="Y26" s="79"/>
      <c r="Z26" s="79"/>
      <c r="AA26" s="79"/>
      <c r="AB26" s="74" t="s">
        <v>538</v>
      </c>
      <c r="AC26" s="74" t="s">
        <v>538</v>
      </c>
    </row>
    <row r="27" spans="1:29">
      <c r="A27">
        <v>21</v>
      </c>
      <c r="H27" t="s">
        <v>257</v>
      </c>
      <c r="J27" s="74"/>
      <c r="K27" t="s">
        <v>257</v>
      </c>
      <c r="L27" t="s">
        <v>257</v>
      </c>
      <c r="M27" t="s">
        <v>556</v>
      </c>
      <c r="Q27" s="94"/>
      <c r="R27" s="94"/>
      <c r="S27" s="94"/>
      <c r="T27" s="94"/>
      <c r="U27" s="94"/>
      <c r="V27" s="94"/>
      <c r="W27" s="79"/>
      <c r="X27" s="79"/>
      <c r="Y27" s="79"/>
      <c r="Z27" s="79"/>
      <c r="AA27" s="79"/>
      <c r="AB27" s="74" t="s">
        <v>538</v>
      </c>
      <c r="AC27" s="74" t="s">
        <v>538</v>
      </c>
    </row>
    <row r="28" spans="1:29">
      <c r="A28">
        <v>22</v>
      </c>
      <c r="H28" t="s">
        <v>257</v>
      </c>
      <c r="J28" s="74"/>
      <c r="K28" t="s">
        <v>257</v>
      </c>
      <c r="L28" t="s">
        <v>257</v>
      </c>
      <c r="M28" t="s">
        <v>556</v>
      </c>
      <c r="Q28" s="94"/>
      <c r="R28" s="94"/>
      <c r="S28" s="94"/>
      <c r="T28" s="94"/>
      <c r="U28" s="94"/>
      <c r="V28" s="94"/>
      <c r="W28" s="79"/>
      <c r="X28" s="79"/>
      <c r="Y28" s="79"/>
      <c r="Z28" s="79"/>
      <c r="AA28" s="79"/>
      <c r="AB28" s="74" t="s">
        <v>538</v>
      </c>
      <c r="AC28" s="74" t="s">
        <v>538</v>
      </c>
    </row>
    <row r="29" spans="1:29">
      <c r="A29">
        <v>23</v>
      </c>
      <c r="H29" t="s">
        <v>257</v>
      </c>
      <c r="J29" s="74"/>
      <c r="K29" t="s">
        <v>257</v>
      </c>
      <c r="L29" t="s">
        <v>257</v>
      </c>
      <c r="M29" t="s">
        <v>556</v>
      </c>
      <c r="Q29" s="94"/>
      <c r="R29" s="94"/>
      <c r="S29" s="94"/>
      <c r="T29" s="94"/>
      <c r="U29" s="94"/>
      <c r="V29" s="94"/>
      <c r="W29" s="79"/>
      <c r="X29" s="79"/>
      <c r="Y29" s="79"/>
      <c r="Z29" s="79"/>
      <c r="AA29" s="79"/>
      <c r="AB29" s="74" t="s">
        <v>538</v>
      </c>
      <c r="AC29" s="74" t="s">
        <v>538</v>
      </c>
    </row>
    <row r="30" spans="1:29">
      <c r="A30">
        <v>24</v>
      </c>
      <c r="H30" t="s">
        <v>257</v>
      </c>
      <c r="J30" s="74"/>
      <c r="K30" t="s">
        <v>257</v>
      </c>
      <c r="L30" t="s">
        <v>257</v>
      </c>
      <c r="M30" t="s">
        <v>556</v>
      </c>
      <c r="Q30" s="94"/>
      <c r="R30" s="94"/>
      <c r="S30" s="94"/>
      <c r="T30" s="94"/>
      <c r="U30" s="94"/>
      <c r="V30" s="94"/>
      <c r="W30" s="79"/>
      <c r="X30" s="79"/>
      <c r="Y30" s="79"/>
      <c r="Z30" s="79"/>
      <c r="AA30" s="79"/>
      <c r="AB30" s="74" t="s">
        <v>538</v>
      </c>
      <c r="AC30" s="74" t="s">
        <v>538</v>
      </c>
    </row>
    <row r="31" spans="1:29">
      <c r="A31">
        <v>25</v>
      </c>
      <c r="H31" t="s">
        <v>257</v>
      </c>
      <c r="J31" s="74"/>
      <c r="K31" t="s">
        <v>257</v>
      </c>
      <c r="L31" t="s">
        <v>257</v>
      </c>
      <c r="M31" t="s">
        <v>556</v>
      </c>
      <c r="Q31" s="94"/>
      <c r="R31" s="94"/>
      <c r="S31" s="94"/>
      <c r="T31" s="94"/>
      <c r="U31" s="94"/>
      <c r="V31" s="94"/>
      <c r="W31" s="79"/>
      <c r="X31" s="79"/>
      <c r="Y31" s="79"/>
      <c r="Z31" s="79"/>
      <c r="AA31" s="79"/>
      <c r="AB31" s="74" t="s">
        <v>538</v>
      </c>
      <c r="AC31" s="74" t="s">
        <v>538</v>
      </c>
    </row>
  </sheetData>
  <dataValidations count="1">
    <dataValidation type="list" allowBlank="1" showInputMessage="1" showErrorMessage="1" sqref="AB7:AB31">
      <formula1>$AR$2:$AR$5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'sufficiency ranges '!$A$4:$A$104</xm:f>
          </x14:formula1>
          <xm:sqref>J6:J31</xm:sqref>
        </x14:dataValidation>
        <x14:dataValidation type="list" allowBlank="1" showInputMessage="1" showErrorMessage="1">
          <x14:formula1>
            <xm:f>'P and K demand'!$A$7:$A$99</xm:f>
          </x14:formula1>
          <xm:sqref>AC6</xm:sqref>
        </x14:dataValidation>
        <x14:dataValidation type="list" allowBlank="1" showInputMessage="1" showErrorMessage="1">
          <x14:formula1>
            <xm:f>'P and K demand'!$A$5:$A$99</xm:f>
          </x14:formula1>
          <xm:sqref>AC7:AC31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6"/>
  <sheetViews>
    <sheetView tabSelected="1" workbookViewId="0"/>
  </sheetViews>
  <sheetFormatPr defaultRowHeight="15"/>
  <cols>
    <col min="1" max="1" width="10.5703125" customWidth="1"/>
    <col min="2" max="2" width="11.28515625" customWidth="1"/>
    <col min="3" max="3" width="11" customWidth="1"/>
    <col min="4" max="4" width="5" style="6" customWidth="1"/>
    <col min="5" max="5" width="3.28515625" customWidth="1"/>
    <col min="6" max="6" width="5" style="6" bestFit="1" customWidth="1"/>
    <col min="7" max="7" width="3.28515625" customWidth="1"/>
    <col min="8" max="8" width="5" style="6" bestFit="1" customWidth="1"/>
    <col min="9" max="9" width="3.28515625" customWidth="1"/>
    <col min="10" max="10" width="5" style="6" bestFit="1" customWidth="1"/>
    <col min="11" max="11" width="3.28515625" customWidth="1"/>
    <col min="12" max="12" width="5" style="6" bestFit="1" customWidth="1"/>
    <col min="13" max="13" width="3.28515625" customWidth="1"/>
    <col min="14" max="14" width="5" style="6" bestFit="1" customWidth="1"/>
    <col min="15" max="15" width="3.28515625" customWidth="1"/>
    <col min="16" max="16" width="5.42578125" style="86" bestFit="1" customWidth="1"/>
    <col min="17" max="17" width="3.28515625" customWidth="1"/>
    <col min="18" max="18" width="4.42578125" style="86" customWidth="1"/>
    <col min="19" max="19" width="3.28515625" customWidth="1"/>
    <col min="20" max="20" width="3.28515625" style="86" bestFit="1" customWidth="1"/>
    <col min="21" max="21" width="3.28515625" customWidth="1"/>
    <col min="22" max="22" width="5.5703125" style="86" bestFit="1" customWidth="1"/>
    <col min="23" max="23" width="3.28515625" customWidth="1"/>
    <col min="24" max="24" width="4.42578125" style="86" customWidth="1"/>
    <col min="25" max="25" width="3.28515625" customWidth="1"/>
    <col min="27" max="48" width="7.85546875" customWidth="1"/>
  </cols>
  <sheetData>
    <row r="1" spans="1:48" ht="18.75">
      <c r="A1" s="87" t="s">
        <v>248</v>
      </c>
      <c r="B1" s="61"/>
      <c r="T1" s="104"/>
      <c r="U1" s="61"/>
      <c r="X1" s="100" t="s">
        <v>530</v>
      </c>
    </row>
    <row r="2" spans="1:48" ht="15.75">
      <c r="A2" s="88" t="s">
        <v>210</v>
      </c>
      <c r="X2" s="100" t="s">
        <v>531</v>
      </c>
    </row>
    <row r="3" spans="1:48" ht="15.75">
      <c r="A3" s="88" t="s">
        <v>211</v>
      </c>
      <c r="X3" s="100" t="s">
        <v>532</v>
      </c>
    </row>
    <row r="4" spans="1:48">
      <c r="A4" s="19"/>
      <c r="T4" s="105"/>
      <c r="U4" s="53"/>
      <c r="AB4" s="50"/>
    </row>
    <row r="5" spans="1:48" ht="18.75">
      <c r="A5" s="127" t="s">
        <v>552</v>
      </c>
      <c r="B5" s="127"/>
      <c r="C5" s="127"/>
      <c r="D5" s="127"/>
      <c r="E5" s="127"/>
      <c r="F5" s="127"/>
      <c r="G5" s="127"/>
      <c r="H5" s="127"/>
      <c r="I5" s="127"/>
      <c r="J5" s="127"/>
      <c r="K5" s="127"/>
      <c r="L5" s="127"/>
      <c r="M5" s="127"/>
      <c r="N5" s="127"/>
      <c r="O5" s="127"/>
      <c r="P5" s="127"/>
      <c r="Q5" s="127"/>
      <c r="R5" s="127"/>
      <c r="S5" s="127"/>
      <c r="T5" s="127"/>
      <c r="U5" s="127"/>
      <c r="V5" s="127"/>
      <c r="W5" s="127"/>
      <c r="X5" s="127"/>
    </row>
    <row r="6" spans="1:48">
      <c r="A6" s="1" t="s">
        <v>226</v>
      </c>
      <c r="B6" s="89" t="str">
        <f>VLOOKUP($A$17,data!$B$7:$AN$31,4,TRUE)</f>
        <v>Christina Kranz</v>
      </c>
      <c r="U6" s="117" t="s">
        <v>212</v>
      </c>
      <c r="V6" s="129">
        <f>VLOOKUP($A$17,data!$B$7:$AN$31,3,TRUE)</f>
        <v>558618</v>
      </c>
      <c r="W6" s="129"/>
      <c r="X6" s="129"/>
    </row>
    <row r="7" spans="1:48">
      <c r="A7" s="1" t="s">
        <v>227</v>
      </c>
      <c r="B7" s="89" t="str">
        <f>VLOOKUP($A$17,data!$B$7:$AN$31,5,TRUE)</f>
        <v>UW-Madison Soil Science</v>
      </c>
      <c r="U7" s="117" t="s">
        <v>213</v>
      </c>
      <c r="V7" s="129">
        <f>VLOOKUP($A$17,data!$B$7:$AN$31,2,TRUE)</f>
        <v>6965</v>
      </c>
      <c r="W7" s="129"/>
      <c r="X7" s="129"/>
    </row>
    <row r="8" spans="1:48">
      <c r="A8" s="1" t="s">
        <v>247</v>
      </c>
      <c r="B8" s="89" t="str">
        <f>VLOOKUP($A$17,data!$B$7:$AN$31,6,TRUE)</f>
        <v>Madison WI  53706</v>
      </c>
      <c r="R8" s="106"/>
      <c r="T8" s="106"/>
      <c r="U8" s="118" t="s">
        <v>533</v>
      </c>
      <c r="V8" s="130">
        <v>43083</v>
      </c>
      <c r="W8" s="130"/>
      <c r="X8" s="130"/>
    </row>
    <row r="9" spans="1:48">
      <c r="R9" s="106"/>
      <c r="S9" s="108"/>
      <c r="T9" s="106"/>
      <c r="U9" s="107"/>
      <c r="V9" s="109"/>
    </row>
    <row r="10" spans="1:48" ht="18.75">
      <c r="A10" s="128" t="s">
        <v>523</v>
      </c>
      <c r="B10" s="128"/>
      <c r="C10" s="128"/>
      <c r="D10" s="128"/>
      <c r="E10" s="128"/>
      <c r="F10" s="128"/>
      <c r="G10" s="128"/>
      <c r="H10" s="128"/>
      <c r="I10" s="128"/>
      <c r="J10" s="128"/>
      <c r="K10" s="128"/>
      <c r="L10" s="128"/>
      <c r="M10" s="128"/>
      <c r="N10" s="128"/>
      <c r="O10" s="128"/>
      <c r="P10" s="128"/>
      <c r="Q10" s="128"/>
      <c r="R10" s="128"/>
      <c r="S10" s="128"/>
      <c r="T10" s="128"/>
      <c r="U10" s="128"/>
      <c r="V10" s="128"/>
      <c r="W10" s="128"/>
      <c r="X10" s="128"/>
      <c r="Y10" s="128"/>
    </row>
    <row r="11" spans="1:48">
      <c r="A11" s="113" t="s">
        <v>229</v>
      </c>
      <c r="B11" s="1" t="s">
        <v>194</v>
      </c>
      <c r="C11" s="1"/>
      <c r="D11" s="1"/>
      <c r="E11" s="3"/>
      <c r="F11" s="115"/>
      <c r="G11" s="114" t="s">
        <v>554</v>
      </c>
      <c r="H11" s="51"/>
      <c r="I11" s="51"/>
    </row>
    <row r="12" spans="1:48" ht="15.75">
      <c r="A12" s="89" t="str">
        <f>VLOOKUP($A$17,data!$B$7:$AN$31,7,TRUE)</f>
        <v>Dane</v>
      </c>
      <c r="B12" s="89" t="str">
        <f>VLOOKUP($A$17,data!$B$7:$AN$31,9,TRUE)</f>
        <v>White Pine</v>
      </c>
      <c r="C12" s="89"/>
      <c r="D12" s="89"/>
      <c r="E12" s="3"/>
      <c r="F12" s="115"/>
      <c r="G12" s="89" t="str">
        <f>VLOOKUP($A$17,data!$B$7:$AN$31,10,TRUE)</f>
        <v>Other</v>
      </c>
      <c r="K12" s="89"/>
      <c r="M12" s="115" t="s">
        <v>553</v>
      </c>
      <c r="O12" s="89" t="str">
        <f>VLOOKUP($A$17,data!$B$7:$AN$31,11,TRUE)</f>
        <v>Shoots</v>
      </c>
      <c r="P12" s="116"/>
      <c r="Q12" s="89"/>
      <c r="R12" s="116"/>
      <c r="S12" s="89"/>
      <c r="T12" s="116"/>
      <c r="U12" s="89"/>
      <c r="V12" s="116"/>
      <c r="AA12" s="119" t="s">
        <v>557</v>
      </c>
    </row>
    <row r="13" spans="1:48">
      <c r="A13" s="20"/>
      <c r="C13" s="19"/>
      <c r="G13" s="89"/>
    </row>
    <row r="14" spans="1:48" ht="18.75">
      <c r="A14" s="128" t="s">
        <v>551</v>
      </c>
      <c r="B14" s="128"/>
      <c r="C14" s="128"/>
      <c r="D14" s="128"/>
      <c r="E14" s="128"/>
      <c r="F14" s="128"/>
      <c r="G14" s="128"/>
      <c r="H14" s="128"/>
      <c r="I14" s="128"/>
      <c r="J14" s="128"/>
      <c r="K14" s="128"/>
      <c r="L14" s="128"/>
      <c r="M14" s="128"/>
      <c r="N14" s="128"/>
      <c r="O14" s="128"/>
      <c r="P14" s="128"/>
      <c r="Q14" s="128"/>
      <c r="R14" s="128"/>
      <c r="S14" s="128"/>
      <c r="T14" s="128"/>
      <c r="U14" s="128"/>
      <c r="V14" s="128"/>
      <c r="W14" s="128"/>
      <c r="X14" s="128"/>
      <c r="Y14" s="128"/>
      <c r="AA14" s="133" t="s">
        <v>207</v>
      </c>
      <c r="AB14" s="133"/>
      <c r="AC14" s="133" t="s">
        <v>206</v>
      </c>
      <c r="AD14" s="133"/>
      <c r="AE14" s="133" t="s">
        <v>205</v>
      </c>
      <c r="AF14" s="133"/>
      <c r="AG14" s="131" t="s">
        <v>204</v>
      </c>
      <c r="AH14" s="131"/>
      <c r="AI14" s="131" t="s">
        <v>203</v>
      </c>
      <c r="AJ14" s="131"/>
      <c r="AK14" s="131" t="s">
        <v>202</v>
      </c>
      <c r="AL14" s="131"/>
      <c r="AM14" s="131" t="s">
        <v>201</v>
      </c>
      <c r="AN14" s="131"/>
      <c r="AO14" s="131" t="s">
        <v>199</v>
      </c>
      <c r="AP14" s="131"/>
      <c r="AQ14" s="131" t="s">
        <v>200</v>
      </c>
      <c r="AR14" s="131"/>
      <c r="AS14" s="131" t="s">
        <v>198</v>
      </c>
      <c r="AT14" s="131"/>
      <c r="AU14" s="131" t="s">
        <v>197</v>
      </c>
      <c r="AV14" s="131"/>
    </row>
    <row r="15" spans="1:48" ht="15.75">
      <c r="A15" s="111"/>
      <c r="B15" s="111"/>
      <c r="C15" s="110"/>
      <c r="D15" s="132" t="s">
        <v>207</v>
      </c>
      <c r="E15" s="132"/>
      <c r="F15" s="132" t="s">
        <v>206</v>
      </c>
      <c r="G15" s="132"/>
      <c r="H15" s="132" t="s">
        <v>205</v>
      </c>
      <c r="I15" s="132"/>
      <c r="J15" s="132" t="s">
        <v>204</v>
      </c>
      <c r="K15" s="132"/>
      <c r="L15" s="132" t="s">
        <v>203</v>
      </c>
      <c r="M15" s="132"/>
      <c r="N15" s="132" t="s">
        <v>202</v>
      </c>
      <c r="O15" s="132"/>
      <c r="P15" s="132" t="s">
        <v>201</v>
      </c>
      <c r="Q15" s="132"/>
      <c r="R15" s="132" t="s">
        <v>199</v>
      </c>
      <c r="S15" s="132"/>
      <c r="T15" s="132" t="s">
        <v>200</v>
      </c>
      <c r="U15" s="132"/>
      <c r="V15" s="132" t="s">
        <v>198</v>
      </c>
      <c r="W15" s="132"/>
      <c r="X15" s="132" t="s">
        <v>197</v>
      </c>
      <c r="Y15" s="132"/>
      <c r="AA15" s="99" t="s">
        <v>191</v>
      </c>
      <c r="AB15" s="99" t="s">
        <v>190</v>
      </c>
      <c r="AC15" s="99" t="s">
        <v>191</v>
      </c>
      <c r="AD15" s="99" t="s">
        <v>190</v>
      </c>
      <c r="AE15" s="99" t="s">
        <v>191</v>
      </c>
      <c r="AF15" s="99" t="s">
        <v>190</v>
      </c>
      <c r="AG15" s="99" t="s">
        <v>191</v>
      </c>
      <c r="AH15" s="99" t="s">
        <v>190</v>
      </c>
      <c r="AI15" s="99" t="s">
        <v>191</v>
      </c>
      <c r="AJ15" s="99" t="s">
        <v>190</v>
      </c>
      <c r="AK15" s="99" t="s">
        <v>191</v>
      </c>
      <c r="AL15" s="99" t="s">
        <v>190</v>
      </c>
      <c r="AM15" s="99" t="s">
        <v>191</v>
      </c>
      <c r="AN15" s="99" t="s">
        <v>190</v>
      </c>
      <c r="AO15" s="99" t="s">
        <v>191</v>
      </c>
      <c r="AP15" s="99" t="s">
        <v>190</v>
      </c>
      <c r="AQ15" s="99" t="s">
        <v>191</v>
      </c>
      <c r="AR15" s="99" t="s">
        <v>190</v>
      </c>
      <c r="AS15" s="99" t="s">
        <v>191</v>
      </c>
      <c r="AT15" s="99" t="s">
        <v>190</v>
      </c>
      <c r="AU15" s="99" t="s">
        <v>191</v>
      </c>
      <c r="AV15" s="99" t="s">
        <v>190</v>
      </c>
    </row>
    <row r="16" spans="1:48" ht="15.75">
      <c r="A16" s="121" t="s">
        <v>547</v>
      </c>
      <c r="B16" s="121" t="s">
        <v>548</v>
      </c>
      <c r="C16" s="112" t="s">
        <v>555</v>
      </c>
      <c r="D16" s="126" t="s">
        <v>550</v>
      </c>
      <c r="E16" s="126"/>
      <c r="F16" s="126"/>
      <c r="G16" s="126"/>
      <c r="H16" s="126"/>
      <c r="I16" s="126"/>
      <c r="J16" s="126"/>
      <c r="K16" s="126"/>
      <c r="L16" s="126"/>
      <c r="M16" s="126"/>
      <c r="N16" s="126"/>
      <c r="O16" s="126"/>
      <c r="P16" s="126" t="s">
        <v>549</v>
      </c>
      <c r="Q16" s="126"/>
      <c r="R16" s="126"/>
      <c r="S16" s="126"/>
      <c r="T16" s="126"/>
      <c r="U16" s="126"/>
      <c r="V16" s="126"/>
      <c r="W16" s="126"/>
      <c r="X16" s="126"/>
      <c r="Y16" s="126"/>
      <c r="AA16" s="25">
        <v>4</v>
      </c>
      <c r="AB16" s="25">
        <v>5</v>
      </c>
      <c r="AC16" s="25">
        <v>6</v>
      </c>
      <c r="AD16" s="25">
        <v>7</v>
      </c>
      <c r="AE16" s="25">
        <v>8</v>
      </c>
      <c r="AF16" s="25">
        <v>9</v>
      </c>
      <c r="AG16" s="25">
        <v>10</v>
      </c>
      <c r="AH16" s="25">
        <v>11</v>
      </c>
      <c r="AI16" s="25">
        <v>12</v>
      </c>
      <c r="AJ16" s="25">
        <v>13</v>
      </c>
      <c r="AK16" s="25">
        <v>14</v>
      </c>
      <c r="AL16" s="25">
        <v>15</v>
      </c>
      <c r="AM16" s="25">
        <v>16</v>
      </c>
      <c r="AN16" s="25">
        <v>17</v>
      </c>
      <c r="AO16" s="25">
        <v>20</v>
      </c>
      <c r="AP16" s="25">
        <v>21</v>
      </c>
      <c r="AQ16" s="25">
        <v>18</v>
      </c>
      <c r="AR16" s="25">
        <v>19</v>
      </c>
      <c r="AS16" s="25">
        <v>22</v>
      </c>
      <c r="AT16" s="25">
        <v>23</v>
      </c>
      <c r="AU16" s="25">
        <v>24</v>
      </c>
      <c r="AV16" s="25">
        <v>25</v>
      </c>
    </row>
    <row r="17" spans="1:48" ht="15.75">
      <c r="A17" s="120">
        <v>12518</v>
      </c>
      <c r="B17" s="120" t="str">
        <f>VLOOKUP($A17,data!$B$7:$AN$31,8,TRUE)</f>
        <v>CS-PB-S</v>
      </c>
      <c r="C17" s="101" t="str">
        <f>VLOOKUP($A17,data!$B$7:$AN$31,12,TRUE)</f>
        <v>Normal</v>
      </c>
      <c r="D17" s="102">
        <f>data!Q7</f>
        <v>2.2522686409307244</v>
      </c>
      <c r="E17" s="61" t="str">
        <f>IF(D17&lt;AA17,"L",IF(D17&gt;AB17,"H"," "))</f>
        <v xml:space="preserve"> </v>
      </c>
      <c r="F17" s="102">
        <f>data!R7</f>
        <v>0.13800000000000001</v>
      </c>
      <c r="G17" s="61" t="str">
        <f>IF(F17&lt;AC17,"L",IF(F17&gt;AD17,"H"," "))</f>
        <v xml:space="preserve"> </v>
      </c>
      <c r="H17" s="102">
        <f>data!S7</f>
        <v>0.44800000000000001</v>
      </c>
      <c r="I17" s="61" t="str">
        <f>IF(H17&lt;AE17,"L",IF(H17&gt;AF17,"H"," "))</f>
        <v xml:space="preserve"> </v>
      </c>
      <c r="J17" s="102">
        <f>data!T7</f>
        <v>0.35399999999999998</v>
      </c>
      <c r="K17" s="61" t="str">
        <f>IF(J17&lt;AG17,"L",IF(J17&gt;AH17,"H"," "))</f>
        <v xml:space="preserve"> </v>
      </c>
      <c r="L17" s="102">
        <f>data!U7</f>
        <v>0.216</v>
      </c>
      <c r="M17" s="61" t="str">
        <f>IF(L17&lt;AI17,"L",IF(L17&gt;AJ17,"H"," "))</f>
        <v xml:space="preserve"> </v>
      </c>
      <c r="N17" s="102">
        <f>data!V7</f>
        <v>0.14199999999999999</v>
      </c>
      <c r="O17" s="61" t="str">
        <f>IF(N17&lt;AK17,"L",IF(N17&gt;AL17,"H"," "))</f>
        <v>H</v>
      </c>
      <c r="P17" s="103">
        <f>data!W7</f>
        <v>96.050000000000011</v>
      </c>
      <c r="Q17" s="61" t="str">
        <f>IF(P17&lt;AM17,"L",IF(P17&gt;AN17,"H"," "))</f>
        <v>H</v>
      </c>
      <c r="R17" s="103">
        <f>data!X7</f>
        <v>698.48199999999997</v>
      </c>
      <c r="S17" s="61" t="str">
        <f t="shared" ref="S17:S26" si="0">IF(R17&lt;AQ17,"L",IF(R17&gt;AR17,"H"," "))</f>
        <v>H</v>
      </c>
      <c r="T17" s="103">
        <f>data!Y7</f>
        <v>23.43</v>
      </c>
      <c r="U17" s="61" t="str">
        <f t="shared" ref="U17:U26" si="1">IF(T17&lt;AO17,"L",IF(T17&gt;AP17,"H"," "))</f>
        <v>L</v>
      </c>
      <c r="V17" s="103">
        <f>data!Z7</f>
        <v>51.435000000000002</v>
      </c>
      <c r="W17" s="61" t="str">
        <f t="shared" ref="W17:W26" si="2">IF(V17&lt;AS17,"L",IF(V17&gt;AT17,"H"," "))</f>
        <v xml:space="preserve"> </v>
      </c>
      <c r="X17" s="103">
        <f>data!AA7</f>
        <v>5.9349999999999996</v>
      </c>
      <c r="Y17" s="61" t="str">
        <f t="shared" ref="Y17:Y26" si="3">IF(X17&lt;AU17,"L",IF(X17&gt;AV17,"H"," "))</f>
        <v xml:space="preserve"> </v>
      </c>
      <c r="AA17">
        <f>VLOOKUP($B$12,'sufficiency ranges '!$A$4:$AC$104,AA$16,FALSE)</f>
        <v>1.1599999999999999</v>
      </c>
      <c r="AB17">
        <f>VLOOKUP($B$12,'sufficiency ranges '!$A$4:$AC$104,AB$16,FALSE)</f>
        <v>3.2</v>
      </c>
      <c r="AC17" s="95">
        <f>VLOOKUP($B$12,'sufficiency ranges '!$A$4:$AC$104,AC$16,FALSE)</f>
        <v>0.12</v>
      </c>
      <c r="AD17" s="95">
        <f>VLOOKUP($B$12,'sufficiency ranges '!$A$4:$AC$104,AD$16,FALSE)</f>
        <v>0.56000000000000005</v>
      </c>
      <c r="AE17">
        <f>VLOOKUP($B$12,'sufficiency ranges '!$A$4:$AC$104,AE$16,FALSE)</f>
        <v>0.32</v>
      </c>
      <c r="AF17">
        <f>VLOOKUP($B$12,'sufficiency ranges '!$A$4:$AC$104,AF$16,FALSE)</f>
        <v>1.49</v>
      </c>
      <c r="AG17">
        <f>VLOOKUP($B$12,'sufficiency ranges '!$A$4:$AC$104,AG$16,FALSE)</f>
        <v>0.17</v>
      </c>
      <c r="AH17">
        <f>VLOOKUP($B$12,'sufficiency ranges '!$A$4:$AC$104,AH$16,FALSE)</f>
        <v>1.2</v>
      </c>
      <c r="AI17">
        <f>VLOOKUP($B$12,'sufficiency ranges '!$A$4:$AC$104,AI$16,FALSE)</f>
        <v>0.05</v>
      </c>
      <c r="AJ17">
        <f>VLOOKUP($B$12,'sufficiency ranges '!$A$4:$AC$104,AJ$16,FALSE)</f>
        <v>0.23</v>
      </c>
      <c r="AK17">
        <f>VLOOKUP($B$12,'sufficiency ranges '!$A$4:$AC$104,AK$16,FALSE)</f>
        <v>7.0000000000000007E-2</v>
      </c>
      <c r="AL17">
        <f>VLOOKUP($B$12,'sufficiency ranges '!$A$4:$AC$104,AL$16,FALSE)</f>
        <v>0.08</v>
      </c>
      <c r="AM17">
        <f>VLOOKUP($B$12,'sufficiency ranges '!$A$4:$AC$104,AM$16,FALSE)</f>
        <v>52</v>
      </c>
      <c r="AN17">
        <f>VLOOKUP($B$12,'sufficiency ranges '!$A$4:$AC$104,AN$16,FALSE)</f>
        <v>82</v>
      </c>
      <c r="AO17">
        <f>VLOOKUP($B$12,'sufficiency ranges '!$A$4:$AC$104,AO$16,FALSE)</f>
        <v>134</v>
      </c>
      <c r="AP17">
        <f>VLOOKUP($B$12,'sufficiency ranges '!$A$4:$AC$104,AP$16,FALSE)</f>
        <v>457</v>
      </c>
      <c r="AQ17">
        <f>VLOOKUP($B$12,'sufficiency ranges '!$A$4:$AC$104,AQ$16,FALSE)</f>
        <v>15</v>
      </c>
      <c r="AR17">
        <f>VLOOKUP($B$12,'sufficiency ranges '!$A$4:$AC$104,AR$16,FALSE)</f>
        <v>34</v>
      </c>
      <c r="AS17">
        <f>VLOOKUP($B$12,'sufficiency ranges '!$A$4:$AC$104,AS$16,FALSE)</f>
        <v>42</v>
      </c>
      <c r="AT17">
        <f>VLOOKUP($B$12,'sufficiency ranges '!$A$4:$AC$104,AT$16,FALSE)</f>
        <v>267</v>
      </c>
      <c r="AU17">
        <f>VLOOKUP($B$12,'sufficiency ranges '!$A$4:$AC$104,AU$16,FALSE)</f>
        <v>2</v>
      </c>
      <c r="AV17">
        <f>VLOOKUP($B$12,'sufficiency ranges '!$A$4:$AC$104,AV$16,FALSE)</f>
        <v>14</v>
      </c>
    </row>
    <row r="18" spans="1:48" ht="15.75">
      <c r="A18" s="120">
        <v>12519</v>
      </c>
      <c r="B18" s="120" t="str">
        <f>VLOOKUP($A18,data!$B$7:$AN$31,8,TRUE)</f>
        <v>CS-LB-S</v>
      </c>
      <c r="C18" s="101" t="str">
        <f>VLOOKUP($A18,data!$B$7:$AN$31,12,TRUE)</f>
        <v>Normal</v>
      </c>
      <c r="D18" s="102">
        <f>data!Q8</f>
        <v>1.8953268567709574</v>
      </c>
      <c r="E18" s="61" t="str">
        <f t="shared" ref="E18:E26" si="4">IF(D18&lt;AA18,"L",IF(D18&gt;AB18,"H"," "))</f>
        <v xml:space="preserve"> </v>
      </c>
      <c r="F18" s="102">
        <f>data!R8</f>
        <v>0.14899999999999999</v>
      </c>
      <c r="G18" s="61" t="str">
        <f t="shared" ref="G18:G26" si="5">IF(F18&lt;AC18,"L",IF(F18&gt;AD18,"H"," "))</f>
        <v xml:space="preserve"> </v>
      </c>
      <c r="H18" s="102">
        <f>data!S8</f>
        <v>0.41000000000000003</v>
      </c>
      <c r="I18" s="61" t="str">
        <f t="shared" ref="I18:I26" si="6">IF(H18&lt;AE18,"L",IF(H18&gt;AF18,"H"," "))</f>
        <v xml:space="preserve"> </v>
      </c>
      <c r="J18" s="102">
        <f>data!T8</f>
        <v>0.30399999999999999</v>
      </c>
      <c r="K18" s="61" t="str">
        <f t="shared" ref="K18:K26" si="7">IF(J18&lt;AG18,"L",IF(J18&gt;AH18,"H"," "))</f>
        <v xml:space="preserve"> </v>
      </c>
      <c r="L18" s="102">
        <f>data!U8</f>
        <v>0.20199999999999999</v>
      </c>
      <c r="M18" s="61" t="str">
        <f t="shared" ref="M18:M26" si="8">IF(L18&lt;AI18,"L",IF(L18&gt;AJ18,"H"," "))</f>
        <v xml:space="preserve"> </v>
      </c>
      <c r="N18" s="102">
        <f>data!V8</f>
        <v>0.14299999999999999</v>
      </c>
      <c r="O18" s="61" t="str">
        <f t="shared" ref="O18:O26" si="9">IF(N18&lt;AK18,"L",IF(N18&gt;AL18,"H"," "))</f>
        <v>H</v>
      </c>
      <c r="P18" s="103">
        <f>data!W8</f>
        <v>99.26</v>
      </c>
      <c r="Q18" s="61" t="str">
        <f t="shared" ref="Q18:Q26" si="10">IF(P18&lt;AM18,"L",IF(P18&gt;AN18,"H"," "))</f>
        <v>H</v>
      </c>
      <c r="R18" s="103">
        <f>data!X8</f>
        <v>858</v>
      </c>
      <c r="S18" s="61" t="str">
        <f t="shared" si="0"/>
        <v>H</v>
      </c>
      <c r="T18" s="103">
        <f>data!Y8</f>
        <v>56.37</v>
      </c>
      <c r="U18" s="61" t="str">
        <f t="shared" si="1"/>
        <v>L</v>
      </c>
      <c r="V18" s="103">
        <f>data!Z8</f>
        <v>41.265000000000001</v>
      </c>
      <c r="W18" s="61" t="str">
        <f t="shared" si="2"/>
        <v>L</v>
      </c>
      <c r="X18" s="103">
        <f>data!AA8</f>
        <v>5.4429999999999996</v>
      </c>
      <c r="Y18" s="61" t="str">
        <f t="shared" si="3"/>
        <v xml:space="preserve"> </v>
      </c>
      <c r="AA18">
        <f>VLOOKUP($B$12,'sufficiency ranges '!$A$4:$AC$104,AA$16,FALSE)</f>
        <v>1.1599999999999999</v>
      </c>
      <c r="AB18">
        <f>VLOOKUP($B$12,'sufficiency ranges '!$A$4:$AC$104,AB$16,FALSE)</f>
        <v>3.2</v>
      </c>
      <c r="AC18">
        <f>VLOOKUP($B$12,'sufficiency ranges '!$A$4:$AC$104,AC$16,FALSE)</f>
        <v>0.12</v>
      </c>
      <c r="AD18">
        <f>VLOOKUP($B$12,'sufficiency ranges '!$A$4:$AC$104,AD$16,FALSE)</f>
        <v>0.56000000000000005</v>
      </c>
      <c r="AE18">
        <f>VLOOKUP($B$12,'sufficiency ranges '!$A$4:$AC$104,AE$16,FALSE)</f>
        <v>0.32</v>
      </c>
      <c r="AF18">
        <f>VLOOKUP($B$12,'sufficiency ranges '!$A$4:$AC$104,AF$16,FALSE)</f>
        <v>1.49</v>
      </c>
      <c r="AG18">
        <f>VLOOKUP($B$12,'sufficiency ranges '!$A$4:$AC$104,AG$16,FALSE)</f>
        <v>0.17</v>
      </c>
      <c r="AH18">
        <f>VLOOKUP($B$12,'sufficiency ranges '!$A$4:$AC$104,AH$16,FALSE)</f>
        <v>1.2</v>
      </c>
      <c r="AI18">
        <f>VLOOKUP($B$12,'sufficiency ranges '!$A$4:$AC$104,AI$16,FALSE)</f>
        <v>0.05</v>
      </c>
      <c r="AJ18">
        <f>VLOOKUP($B$12,'sufficiency ranges '!$A$4:$AC$104,AJ$16,FALSE)</f>
        <v>0.23</v>
      </c>
      <c r="AK18">
        <f>VLOOKUP($B$12,'sufficiency ranges '!$A$4:$AC$104,AK$16,FALSE)</f>
        <v>7.0000000000000007E-2</v>
      </c>
      <c r="AL18">
        <f>VLOOKUP($B$12,'sufficiency ranges '!$A$4:$AC$104,AL$16,FALSE)</f>
        <v>0.08</v>
      </c>
      <c r="AM18">
        <f>VLOOKUP($B$12,'sufficiency ranges '!$A$4:$AC$104,AM$16,FALSE)</f>
        <v>52</v>
      </c>
      <c r="AN18">
        <f>VLOOKUP($B$12,'sufficiency ranges '!$A$4:$AC$104,AN$16,FALSE)</f>
        <v>82</v>
      </c>
      <c r="AO18">
        <f>VLOOKUP($B$12,'sufficiency ranges '!$A$4:$AC$104,AO$16,FALSE)</f>
        <v>134</v>
      </c>
      <c r="AP18">
        <f>VLOOKUP($B$12,'sufficiency ranges '!$A$4:$AC$104,AP$16,FALSE)</f>
        <v>457</v>
      </c>
      <c r="AQ18">
        <f>VLOOKUP($B$12,'sufficiency ranges '!$A$4:$AC$104,AQ$16,FALSE)</f>
        <v>15</v>
      </c>
      <c r="AR18">
        <f>VLOOKUP($B$12,'sufficiency ranges '!$A$4:$AC$104,AR$16,FALSE)</f>
        <v>34</v>
      </c>
      <c r="AS18">
        <f>VLOOKUP($B$12,'sufficiency ranges '!$A$4:$AC$104,AS$16,FALSE)</f>
        <v>42</v>
      </c>
      <c r="AT18">
        <f>VLOOKUP($B$12,'sufficiency ranges '!$A$4:$AC$104,AT$16,FALSE)</f>
        <v>267</v>
      </c>
      <c r="AU18">
        <f>VLOOKUP($B$12,'sufficiency ranges '!$A$4:$AC$104,AU$16,FALSE)</f>
        <v>2</v>
      </c>
      <c r="AV18">
        <f>VLOOKUP($B$12,'sufficiency ranges '!$A$4:$AC$104,AV$16,FALSE)</f>
        <v>14</v>
      </c>
    </row>
    <row r="19" spans="1:48" ht="15.75">
      <c r="A19" s="120">
        <v>12520</v>
      </c>
      <c r="B19" s="120" t="str">
        <f>VLOOKUP($A19,data!$B$7:$AN$31,8,TRUE)</f>
        <v>CS-PB-R</v>
      </c>
      <c r="C19" s="101" t="str">
        <f>VLOOKUP($A19,data!$B$7:$AN$31,12,TRUE)</f>
        <v>Normal</v>
      </c>
      <c r="D19" s="102">
        <f>data!Q9</f>
        <v>1.2703969921486231</v>
      </c>
      <c r="E19" s="61" t="str">
        <f>IF(D19&lt;AA19,"L",IF(D19&gt;AB19,"H"," "))</f>
        <v xml:space="preserve"> </v>
      </c>
      <c r="F19" s="102">
        <f>data!R9</f>
        <v>0.17399999999999999</v>
      </c>
      <c r="G19" s="61" t="str">
        <f t="shared" si="5"/>
        <v xml:space="preserve"> </v>
      </c>
      <c r="H19" s="102">
        <f>data!S9</f>
        <v>0.44500000000000001</v>
      </c>
      <c r="I19" s="61" t="str">
        <f t="shared" si="6"/>
        <v xml:space="preserve"> </v>
      </c>
      <c r="J19" s="102">
        <f>data!T9</f>
        <v>0.309</v>
      </c>
      <c r="K19" s="61" t="str">
        <f t="shared" si="7"/>
        <v xml:space="preserve"> </v>
      </c>
      <c r="L19" s="102">
        <f>data!U9</f>
        <v>0.22</v>
      </c>
      <c r="M19" s="61" t="str">
        <f t="shared" si="8"/>
        <v xml:space="preserve"> </v>
      </c>
      <c r="N19" s="102">
        <f>data!V9</f>
        <v>0.19400000000000001</v>
      </c>
      <c r="O19" s="61" t="str">
        <f t="shared" si="9"/>
        <v>H</v>
      </c>
      <c r="P19" s="103">
        <f>data!W9</f>
        <v>206.91</v>
      </c>
      <c r="Q19" s="61" t="str">
        <f t="shared" si="10"/>
        <v>H</v>
      </c>
      <c r="R19" s="103">
        <f>data!X9</f>
        <v>452.68200000000002</v>
      </c>
      <c r="S19" s="61" t="str">
        <f t="shared" si="0"/>
        <v>H</v>
      </c>
      <c r="T19" s="103">
        <f>data!Y9</f>
        <v>38.07</v>
      </c>
      <c r="U19" s="61" t="str">
        <f t="shared" si="1"/>
        <v>L</v>
      </c>
      <c r="V19" s="103">
        <f>data!Z9</f>
        <v>1060.615</v>
      </c>
      <c r="W19" s="61" t="str">
        <f t="shared" si="2"/>
        <v>H</v>
      </c>
      <c r="X19" s="103">
        <f>data!AA9</f>
        <v>22.760999999999999</v>
      </c>
      <c r="Y19" s="61" t="str">
        <f t="shared" si="3"/>
        <v>H</v>
      </c>
      <c r="AA19">
        <f>VLOOKUP($B$12,'sufficiency ranges '!$A$4:$AC$104,AA$16,FALSE)</f>
        <v>1.1599999999999999</v>
      </c>
      <c r="AB19">
        <f>VLOOKUP($B$12,'sufficiency ranges '!$A$4:$AC$104,AB$16,FALSE)</f>
        <v>3.2</v>
      </c>
      <c r="AC19">
        <f>VLOOKUP($B$12,'sufficiency ranges '!$A$4:$AC$104,AC$16,FALSE)</f>
        <v>0.12</v>
      </c>
      <c r="AD19">
        <f>VLOOKUP($B$12,'sufficiency ranges '!$A$4:$AC$104,AD$16,FALSE)</f>
        <v>0.56000000000000005</v>
      </c>
      <c r="AE19">
        <f>VLOOKUP($B$12,'sufficiency ranges '!$A$4:$AC$104,AE$16,FALSE)</f>
        <v>0.32</v>
      </c>
      <c r="AF19">
        <f>VLOOKUP($B$12,'sufficiency ranges '!$A$4:$AC$104,AF$16,FALSE)</f>
        <v>1.49</v>
      </c>
      <c r="AG19">
        <f>VLOOKUP($B$12,'sufficiency ranges '!$A$4:$AC$104,AG$16,FALSE)</f>
        <v>0.17</v>
      </c>
      <c r="AH19">
        <f>VLOOKUP($B$12,'sufficiency ranges '!$A$4:$AC$104,AH$16,FALSE)</f>
        <v>1.2</v>
      </c>
      <c r="AI19">
        <f>VLOOKUP($B$12,'sufficiency ranges '!$A$4:$AC$104,AI$16,FALSE)</f>
        <v>0.05</v>
      </c>
      <c r="AJ19">
        <f>VLOOKUP($B$12,'sufficiency ranges '!$A$4:$AC$104,AJ$16,FALSE)</f>
        <v>0.23</v>
      </c>
      <c r="AK19">
        <f>VLOOKUP($B$12,'sufficiency ranges '!$A$4:$AC$104,AK$16,FALSE)</f>
        <v>7.0000000000000007E-2</v>
      </c>
      <c r="AL19">
        <f>VLOOKUP($B$12,'sufficiency ranges '!$A$4:$AC$104,AL$16,FALSE)</f>
        <v>0.08</v>
      </c>
      <c r="AM19">
        <f>VLOOKUP($B$12,'sufficiency ranges '!$A$4:$AC$104,AM$16,FALSE)</f>
        <v>52</v>
      </c>
      <c r="AN19">
        <f>VLOOKUP($B$12,'sufficiency ranges '!$A$4:$AC$104,AN$16,FALSE)</f>
        <v>82</v>
      </c>
      <c r="AO19">
        <f>VLOOKUP($B$12,'sufficiency ranges '!$A$4:$AC$104,AO$16,FALSE)</f>
        <v>134</v>
      </c>
      <c r="AP19">
        <f>VLOOKUP($B$12,'sufficiency ranges '!$A$4:$AC$104,AP$16,FALSE)</f>
        <v>457</v>
      </c>
      <c r="AQ19">
        <f>VLOOKUP($B$12,'sufficiency ranges '!$A$4:$AC$104,AQ$16,FALSE)</f>
        <v>15</v>
      </c>
      <c r="AR19">
        <f>VLOOKUP($B$12,'sufficiency ranges '!$A$4:$AC$104,AR$16,FALSE)</f>
        <v>34</v>
      </c>
      <c r="AS19">
        <f>VLOOKUP($B$12,'sufficiency ranges '!$A$4:$AC$104,AS$16,FALSE)</f>
        <v>42</v>
      </c>
      <c r="AT19">
        <f>VLOOKUP($B$12,'sufficiency ranges '!$A$4:$AC$104,AT$16,FALSE)</f>
        <v>267</v>
      </c>
      <c r="AU19">
        <f>VLOOKUP($B$12,'sufficiency ranges '!$A$4:$AC$104,AU$16,FALSE)</f>
        <v>2</v>
      </c>
      <c r="AV19">
        <f>VLOOKUP($B$12,'sufficiency ranges '!$A$4:$AC$104,AV$16,FALSE)</f>
        <v>14</v>
      </c>
    </row>
    <row r="20" spans="1:48" ht="15.75">
      <c r="A20" s="120">
        <v>12521</v>
      </c>
      <c r="B20" s="120" t="str">
        <f>VLOOKUP($A20,data!$B$7:$AN$31,8,TRUE)</f>
        <v>CS-LB-R</v>
      </c>
      <c r="C20" s="101" t="str">
        <f>VLOOKUP($A20,data!$B$7:$AN$31,12,TRUE)</f>
        <v>Normal</v>
      </c>
      <c r="D20" s="102">
        <f>data!Q10</f>
        <v>1.6968768011226474</v>
      </c>
      <c r="E20" s="61" t="str">
        <f t="shared" si="4"/>
        <v xml:space="preserve"> </v>
      </c>
      <c r="F20" s="102">
        <f>data!R10</f>
        <v>0.13900000000000001</v>
      </c>
      <c r="G20" s="61" t="str">
        <f t="shared" si="5"/>
        <v xml:space="preserve"> </v>
      </c>
      <c r="H20" s="102">
        <f>data!S10</f>
        <v>0.46100000000000002</v>
      </c>
      <c r="I20" s="61" t="str">
        <f t="shared" si="6"/>
        <v xml:space="preserve"> </v>
      </c>
      <c r="J20" s="102">
        <f>data!T10</f>
        <v>0.32700000000000001</v>
      </c>
      <c r="K20" s="61" t="str">
        <f t="shared" si="7"/>
        <v xml:space="preserve"> </v>
      </c>
      <c r="L20" s="102">
        <f>data!U10</f>
        <v>0.161</v>
      </c>
      <c r="M20" s="61" t="str">
        <f t="shared" si="8"/>
        <v xml:space="preserve"> </v>
      </c>
      <c r="N20" s="102">
        <f>data!V10</f>
        <v>0.16800000000000001</v>
      </c>
      <c r="O20" s="61" t="str">
        <f t="shared" si="9"/>
        <v>H</v>
      </c>
      <c r="P20" s="103">
        <f>data!W10</f>
        <v>78.81</v>
      </c>
      <c r="Q20" s="61" t="str">
        <f t="shared" si="10"/>
        <v xml:space="preserve"> </v>
      </c>
      <c r="R20" s="103">
        <f>data!X10</f>
        <v>488.08199999999999</v>
      </c>
      <c r="S20" s="61" t="str">
        <f t="shared" si="0"/>
        <v>H</v>
      </c>
      <c r="T20" s="103">
        <f>data!Y10</f>
        <v>32.830000000000005</v>
      </c>
      <c r="U20" s="61" t="str">
        <f t="shared" si="1"/>
        <v>L</v>
      </c>
      <c r="V20" s="103">
        <f>data!Z10</f>
        <v>642.71500000000003</v>
      </c>
      <c r="W20" s="61" t="str">
        <f t="shared" si="2"/>
        <v>H</v>
      </c>
      <c r="X20" s="103">
        <f>data!AA10</f>
        <v>12.371</v>
      </c>
      <c r="Y20" s="61" t="str">
        <f t="shared" si="3"/>
        <v xml:space="preserve"> </v>
      </c>
      <c r="AA20">
        <f>VLOOKUP($B$12,'sufficiency ranges '!$A$4:$AC$104,AA$16,FALSE)</f>
        <v>1.1599999999999999</v>
      </c>
      <c r="AB20">
        <f>VLOOKUP($B$12,'sufficiency ranges '!$A$4:$AC$104,AB$16,FALSE)</f>
        <v>3.2</v>
      </c>
      <c r="AC20">
        <f>VLOOKUP($B$12,'sufficiency ranges '!$A$4:$AC$104,AC$16,FALSE)</f>
        <v>0.12</v>
      </c>
      <c r="AD20">
        <f>VLOOKUP($B$12,'sufficiency ranges '!$A$4:$AC$104,AD$16,FALSE)</f>
        <v>0.56000000000000005</v>
      </c>
      <c r="AE20">
        <f>VLOOKUP($B$12,'sufficiency ranges '!$A$4:$AC$104,AE$16,FALSE)</f>
        <v>0.32</v>
      </c>
      <c r="AF20">
        <f>VLOOKUP($B$12,'sufficiency ranges '!$A$4:$AC$104,AF$16,FALSE)</f>
        <v>1.49</v>
      </c>
      <c r="AG20">
        <f>VLOOKUP($B$12,'sufficiency ranges '!$A$4:$AC$104,AG$16,FALSE)</f>
        <v>0.17</v>
      </c>
      <c r="AH20">
        <f>VLOOKUP($B$12,'sufficiency ranges '!$A$4:$AC$104,AH$16,FALSE)</f>
        <v>1.2</v>
      </c>
      <c r="AI20">
        <f>VLOOKUP($B$12,'sufficiency ranges '!$A$4:$AC$104,AI$16,FALSE)</f>
        <v>0.05</v>
      </c>
      <c r="AJ20">
        <f>VLOOKUP($B$12,'sufficiency ranges '!$A$4:$AC$104,AJ$16,FALSE)</f>
        <v>0.23</v>
      </c>
      <c r="AK20">
        <f>VLOOKUP($B$12,'sufficiency ranges '!$A$4:$AC$104,AK$16,FALSE)</f>
        <v>7.0000000000000007E-2</v>
      </c>
      <c r="AL20">
        <f>VLOOKUP($B$12,'sufficiency ranges '!$A$4:$AC$104,AL$16,FALSE)</f>
        <v>0.08</v>
      </c>
      <c r="AM20">
        <f>VLOOKUP($B$12,'sufficiency ranges '!$A$4:$AC$104,AM$16,FALSE)</f>
        <v>52</v>
      </c>
      <c r="AN20">
        <f>VLOOKUP($B$12,'sufficiency ranges '!$A$4:$AC$104,AN$16,FALSE)</f>
        <v>82</v>
      </c>
      <c r="AO20">
        <f>VLOOKUP($B$12,'sufficiency ranges '!$A$4:$AC$104,AO$16,FALSE)</f>
        <v>134</v>
      </c>
      <c r="AP20">
        <f>VLOOKUP($B$12,'sufficiency ranges '!$A$4:$AC$104,AP$16,FALSE)</f>
        <v>457</v>
      </c>
      <c r="AQ20">
        <f>VLOOKUP($B$12,'sufficiency ranges '!$A$4:$AC$104,AQ$16,FALSE)</f>
        <v>15</v>
      </c>
      <c r="AR20">
        <f>VLOOKUP($B$12,'sufficiency ranges '!$A$4:$AC$104,AR$16,FALSE)</f>
        <v>34</v>
      </c>
      <c r="AS20">
        <f>VLOOKUP($B$12,'sufficiency ranges '!$A$4:$AC$104,AS$16,FALSE)</f>
        <v>42</v>
      </c>
      <c r="AT20">
        <f>VLOOKUP($B$12,'sufficiency ranges '!$A$4:$AC$104,AT$16,FALSE)</f>
        <v>267</v>
      </c>
      <c r="AU20">
        <f>VLOOKUP($B$12,'sufficiency ranges '!$A$4:$AC$104,AU$16,FALSE)</f>
        <v>2</v>
      </c>
      <c r="AV20">
        <f>VLOOKUP($B$12,'sufficiency ranges '!$A$4:$AC$104,AV$16,FALSE)</f>
        <v>14</v>
      </c>
    </row>
    <row r="21" spans="1:48" ht="15.75">
      <c r="A21" s="120">
        <v>12522</v>
      </c>
      <c r="B21" s="120" t="str">
        <f>VLOOKUP($A21,data!$B$7:$AN$31,8,TRUE)</f>
        <v>NWS-PrB-S</v>
      </c>
      <c r="C21" s="101" t="str">
        <f>VLOOKUP($A21,data!$B$7:$AN$31,12,TRUE)</f>
        <v>Normal</v>
      </c>
      <c r="D21" s="102">
        <f>data!Q11</f>
        <v>2.5525499091072863</v>
      </c>
      <c r="E21" s="61" t="str">
        <f t="shared" si="4"/>
        <v xml:space="preserve"> </v>
      </c>
      <c r="F21" s="102">
        <f>data!R11</f>
        <v>0.13200000000000001</v>
      </c>
      <c r="G21" s="61" t="str">
        <f t="shared" si="5"/>
        <v xml:space="preserve"> </v>
      </c>
      <c r="H21" s="102">
        <f>data!S11</f>
        <v>0.71699999999999997</v>
      </c>
      <c r="I21" s="61" t="str">
        <f t="shared" si="6"/>
        <v xml:space="preserve"> </v>
      </c>
      <c r="J21" s="102">
        <f>data!T11</f>
        <v>0.437</v>
      </c>
      <c r="K21" s="61" t="str">
        <f t="shared" si="7"/>
        <v xml:space="preserve"> </v>
      </c>
      <c r="L21" s="102">
        <f>data!U11</f>
        <v>0.23399999999999999</v>
      </c>
      <c r="M21" s="61" t="str">
        <f t="shared" si="8"/>
        <v>H</v>
      </c>
      <c r="N21" s="102">
        <f>data!V11</f>
        <v>0.156</v>
      </c>
      <c r="O21" s="61" t="str">
        <f t="shared" si="9"/>
        <v>H</v>
      </c>
      <c r="P21" s="103">
        <f>data!W11</f>
        <v>97.460000000000008</v>
      </c>
      <c r="Q21" s="61" t="str">
        <f t="shared" si="10"/>
        <v>H</v>
      </c>
      <c r="R21" s="103">
        <f>data!X11</f>
        <v>881</v>
      </c>
      <c r="S21" s="61" t="str">
        <f t="shared" si="0"/>
        <v>H</v>
      </c>
      <c r="T21" s="103">
        <f>data!Y11</f>
        <v>20.730000000000004</v>
      </c>
      <c r="U21" s="61" t="str">
        <f t="shared" si="1"/>
        <v>L</v>
      </c>
      <c r="V21" s="103">
        <f>data!Z11</f>
        <v>57.675000000000004</v>
      </c>
      <c r="W21" s="61" t="str">
        <f t="shared" si="2"/>
        <v xml:space="preserve"> </v>
      </c>
      <c r="X21" s="103">
        <f>data!AA11</f>
        <v>6.0329999999999995</v>
      </c>
      <c r="Y21" s="61" t="str">
        <f t="shared" si="3"/>
        <v xml:space="preserve"> </v>
      </c>
      <c r="AA21">
        <f>VLOOKUP($B$12,'sufficiency ranges '!$A$4:$AC$104,AA$16,FALSE)</f>
        <v>1.1599999999999999</v>
      </c>
      <c r="AB21">
        <f>VLOOKUP($B$12,'sufficiency ranges '!$A$4:$AC$104,AB$16,FALSE)</f>
        <v>3.2</v>
      </c>
      <c r="AC21">
        <f>VLOOKUP($B$12,'sufficiency ranges '!$A$4:$AC$104,AC$16,FALSE)</f>
        <v>0.12</v>
      </c>
      <c r="AD21">
        <f>VLOOKUP($B$12,'sufficiency ranges '!$A$4:$AC$104,AD$16,FALSE)</f>
        <v>0.56000000000000005</v>
      </c>
      <c r="AE21">
        <f>VLOOKUP($B$12,'sufficiency ranges '!$A$4:$AC$104,AE$16,FALSE)</f>
        <v>0.32</v>
      </c>
      <c r="AF21">
        <f>VLOOKUP($B$12,'sufficiency ranges '!$A$4:$AC$104,AF$16,FALSE)</f>
        <v>1.49</v>
      </c>
      <c r="AG21">
        <f>VLOOKUP($B$12,'sufficiency ranges '!$A$4:$AC$104,AG$16,FALSE)</f>
        <v>0.17</v>
      </c>
      <c r="AH21">
        <f>VLOOKUP($B$12,'sufficiency ranges '!$A$4:$AC$104,AH$16,FALSE)</f>
        <v>1.2</v>
      </c>
      <c r="AI21">
        <f>VLOOKUP($B$12,'sufficiency ranges '!$A$4:$AC$104,AI$16,FALSE)</f>
        <v>0.05</v>
      </c>
      <c r="AJ21">
        <f>VLOOKUP($B$12,'sufficiency ranges '!$A$4:$AC$104,AJ$16,FALSE)</f>
        <v>0.23</v>
      </c>
      <c r="AK21">
        <f>VLOOKUP($B$12,'sufficiency ranges '!$A$4:$AC$104,AK$16,FALSE)</f>
        <v>7.0000000000000007E-2</v>
      </c>
      <c r="AL21">
        <f>VLOOKUP($B$12,'sufficiency ranges '!$A$4:$AC$104,AL$16,FALSE)</f>
        <v>0.08</v>
      </c>
      <c r="AM21">
        <f>VLOOKUP($B$12,'sufficiency ranges '!$A$4:$AC$104,AM$16,FALSE)</f>
        <v>52</v>
      </c>
      <c r="AN21">
        <f>VLOOKUP($B$12,'sufficiency ranges '!$A$4:$AC$104,AN$16,FALSE)</f>
        <v>82</v>
      </c>
      <c r="AO21">
        <f>VLOOKUP($B$12,'sufficiency ranges '!$A$4:$AC$104,AO$16,FALSE)</f>
        <v>134</v>
      </c>
      <c r="AP21">
        <f>VLOOKUP($B$12,'sufficiency ranges '!$A$4:$AC$104,AP$16,FALSE)</f>
        <v>457</v>
      </c>
      <c r="AQ21">
        <f>VLOOKUP($B$12,'sufficiency ranges '!$A$4:$AC$104,AQ$16,FALSE)</f>
        <v>15</v>
      </c>
      <c r="AR21">
        <f>VLOOKUP($B$12,'sufficiency ranges '!$A$4:$AC$104,AR$16,FALSE)</f>
        <v>34</v>
      </c>
      <c r="AS21">
        <f>VLOOKUP($B$12,'sufficiency ranges '!$A$4:$AC$104,AS$16,FALSE)</f>
        <v>42</v>
      </c>
      <c r="AT21">
        <f>VLOOKUP($B$12,'sufficiency ranges '!$A$4:$AC$104,AT$16,FALSE)</f>
        <v>267</v>
      </c>
      <c r="AU21">
        <f>VLOOKUP($B$12,'sufficiency ranges '!$A$4:$AC$104,AU$16,FALSE)</f>
        <v>2</v>
      </c>
      <c r="AV21">
        <f>VLOOKUP($B$12,'sufficiency ranges '!$A$4:$AC$104,AV$16,FALSE)</f>
        <v>14</v>
      </c>
    </row>
    <row r="22" spans="1:48" ht="15.75">
      <c r="A22" s="120">
        <v>12523</v>
      </c>
      <c r="B22" s="120" t="str">
        <f>VLOOKUP($A22,data!$B$7:$AN$31,8,TRUE)</f>
        <v>NWS-PB-S</v>
      </c>
      <c r="C22" s="101" t="str">
        <f>VLOOKUP($A22,data!$B$7:$AN$31,12,TRUE)</f>
        <v>Normal</v>
      </c>
      <c r="D22" s="102">
        <f>data!Q12</f>
        <v>2.2260771973861258</v>
      </c>
      <c r="E22" s="61" t="str">
        <f t="shared" si="4"/>
        <v xml:space="preserve"> </v>
      </c>
      <c r="F22" s="102">
        <f>data!R12</f>
        <v>0.152</v>
      </c>
      <c r="G22" s="61" t="str">
        <f t="shared" si="5"/>
        <v xml:space="preserve"> </v>
      </c>
      <c r="H22" s="102">
        <f>data!S12</f>
        <v>0.46900000000000003</v>
      </c>
      <c r="I22" s="61" t="str">
        <f t="shared" si="6"/>
        <v xml:space="preserve"> </v>
      </c>
      <c r="J22" s="102">
        <f>data!T12</f>
        <v>0.36099999999999999</v>
      </c>
      <c r="K22" s="61" t="str">
        <f t="shared" si="7"/>
        <v xml:space="preserve"> </v>
      </c>
      <c r="L22" s="102">
        <f>data!U12</f>
        <v>0.23499999999999999</v>
      </c>
      <c r="M22" s="61" t="str">
        <f t="shared" si="8"/>
        <v>H</v>
      </c>
      <c r="N22" s="102">
        <f>data!V12</f>
        <v>0.15</v>
      </c>
      <c r="O22" s="61" t="str">
        <f t="shared" si="9"/>
        <v>H</v>
      </c>
      <c r="P22" s="103">
        <f>data!W12</f>
        <v>100.81</v>
      </c>
      <c r="Q22" s="61" t="str">
        <f t="shared" si="10"/>
        <v>H</v>
      </c>
      <c r="R22" s="103">
        <f>data!X12</f>
        <v>513.08199999999999</v>
      </c>
      <c r="S22" s="61" t="str">
        <f t="shared" si="0"/>
        <v>H</v>
      </c>
      <c r="T22" s="103">
        <f>data!Y12</f>
        <v>21.740000000000002</v>
      </c>
      <c r="U22" s="61" t="str">
        <f t="shared" si="1"/>
        <v>L</v>
      </c>
      <c r="V22" s="103">
        <f>data!Z12</f>
        <v>46.414999999999999</v>
      </c>
      <c r="W22" s="61" t="str">
        <f t="shared" si="2"/>
        <v xml:space="preserve"> </v>
      </c>
      <c r="X22" s="103">
        <f>data!AA12</f>
        <v>5.9739999999999993</v>
      </c>
      <c r="Y22" s="61" t="str">
        <f t="shared" si="3"/>
        <v xml:space="preserve"> </v>
      </c>
      <c r="AA22">
        <f>VLOOKUP($B$12,'sufficiency ranges '!$A$4:$AC$104,AA$16,FALSE)</f>
        <v>1.1599999999999999</v>
      </c>
      <c r="AB22">
        <f>VLOOKUP($B$12,'sufficiency ranges '!$A$4:$AC$104,AB$16,FALSE)</f>
        <v>3.2</v>
      </c>
      <c r="AC22">
        <f>VLOOKUP($B$12,'sufficiency ranges '!$A$4:$AC$104,AC$16,FALSE)</f>
        <v>0.12</v>
      </c>
      <c r="AD22">
        <f>VLOOKUP($B$12,'sufficiency ranges '!$A$4:$AC$104,AD$16,FALSE)</f>
        <v>0.56000000000000005</v>
      </c>
      <c r="AE22">
        <f>VLOOKUP($B$12,'sufficiency ranges '!$A$4:$AC$104,AE$16,FALSE)</f>
        <v>0.32</v>
      </c>
      <c r="AF22">
        <f>VLOOKUP($B$12,'sufficiency ranges '!$A$4:$AC$104,AF$16,FALSE)</f>
        <v>1.49</v>
      </c>
      <c r="AG22">
        <f>VLOOKUP($B$12,'sufficiency ranges '!$A$4:$AC$104,AG$16,FALSE)</f>
        <v>0.17</v>
      </c>
      <c r="AH22">
        <f>VLOOKUP($B$12,'sufficiency ranges '!$A$4:$AC$104,AH$16,FALSE)</f>
        <v>1.2</v>
      </c>
      <c r="AI22">
        <f>VLOOKUP($B$12,'sufficiency ranges '!$A$4:$AC$104,AI$16,FALSE)</f>
        <v>0.05</v>
      </c>
      <c r="AJ22">
        <f>VLOOKUP($B$12,'sufficiency ranges '!$A$4:$AC$104,AJ$16,FALSE)</f>
        <v>0.23</v>
      </c>
      <c r="AK22">
        <f>VLOOKUP($B$12,'sufficiency ranges '!$A$4:$AC$104,AK$16,FALSE)</f>
        <v>7.0000000000000007E-2</v>
      </c>
      <c r="AL22">
        <f>VLOOKUP($B$12,'sufficiency ranges '!$A$4:$AC$104,AL$16,FALSE)</f>
        <v>0.08</v>
      </c>
      <c r="AM22">
        <f>VLOOKUP($B$12,'sufficiency ranges '!$A$4:$AC$104,AM$16,FALSE)</f>
        <v>52</v>
      </c>
      <c r="AN22">
        <f>VLOOKUP($B$12,'sufficiency ranges '!$A$4:$AC$104,AN$16,FALSE)</f>
        <v>82</v>
      </c>
      <c r="AO22">
        <f>VLOOKUP($B$12,'sufficiency ranges '!$A$4:$AC$104,AO$16,FALSE)</f>
        <v>134</v>
      </c>
      <c r="AP22">
        <f>VLOOKUP($B$12,'sufficiency ranges '!$A$4:$AC$104,AP$16,FALSE)</f>
        <v>457</v>
      </c>
      <c r="AQ22">
        <f>VLOOKUP($B$12,'sufficiency ranges '!$A$4:$AC$104,AQ$16,FALSE)</f>
        <v>15</v>
      </c>
      <c r="AR22">
        <f>VLOOKUP($B$12,'sufficiency ranges '!$A$4:$AC$104,AR$16,FALSE)</f>
        <v>34</v>
      </c>
      <c r="AS22">
        <f>VLOOKUP($B$12,'sufficiency ranges '!$A$4:$AC$104,AS$16,FALSE)</f>
        <v>42</v>
      </c>
      <c r="AT22">
        <f>VLOOKUP($B$12,'sufficiency ranges '!$A$4:$AC$104,AT$16,FALSE)</f>
        <v>267</v>
      </c>
      <c r="AU22">
        <f>VLOOKUP($B$12,'sufficiency ranges '!$A$4:$AC$104,AU$16,FALSE)</f>
        <v>2</v>
      </c>
      <c r="AV22">
        <f>VLOOKUP($B$12,'sufficiency ranges '!$A$4:$AC$104,AV$16,FALSE)</f>
        <v>14</v>
      </c>
    </row>
    <row r="23" spans="1:48" ht="15.75">
      <c r="A23" s="120">
        <v>12524</v>
      </c>
      <c r="B23" s="120" t="str">
        <f>VLOOKUP($A23,data!$B$7:$AN$31,8,TRUE)</f>
        <v>NWS-LB-S</v>
      </c>
      <c r="C23" s="101" t="str">
        <f>VLOOKUP($A23,data!$B$7:$AN$31,12,TRUE)</f>
        <v>Normal</v>
      </c>
      <c r="D23" s="102">
        <f>data!Q13</f>
        <v>1.6973845617967314</v>
      </c>
      <c r="E23" s="61" t="str">
        <f t="shared" si="4"/>
        <v xml:space="preserve"> </v>
      </c>
      <c r="F23" s="102">
        <f>data!R13</f>
        <v>0.153</v>
      </c>
      <c r="G23" s="61" t="str">
        <f t="shared" si="5"/>
        <v xml:space="preserve"> </v>
      </c>
      <c r="H23" s="102">
        <f>data!S13</f>
        <v>0.47600000000000003</v>
      </c>
      <c r="I23" s="61" t="str">
        <f t="shared" si="6"/>
        <v xml:space="preserve"> </v>
      </c>
      <c r="J23" s="102">
        <f>data!T13</f>
        <v>0.30199999999999999</v>
      </c>
      <c r="K23" s="61" t="str">
        <f t="shared" si="7"/>
        <v xml:space="preserve"> </v>
      </c>
      <c r="L23" s="102">
        <f>data!U13</f>
        <v>0.20699999999999999</v>
      </c>
      <c r="M23" s="61" t="str">
        <f t="shared" si="8"/>
        <v xml:space="preserve"> </v>
      </c>
      <c r="N23" s="102">
        <f>data!V13</f>
        <v>0.14399999999999999</v>
      </c>
      <c r="O23" s="61" t="str">
        <f t="shared" si="9"/>
        <v>H</v>
      </c>
      <c r="P23" s="103">
        <f>data!W13</f>
        <v>97.22</v>
      </c>
      <c r="Q23" s="61" t="str">
        <f t="shared" si="10"/>
        <v>H</v>
      </c>
      <c r="R23" s="103">
        <f>data!X13</f>
        <v>923</v>
      </c>
      <c r="S23" s="61" t="str">
        <f t="shared" si="0"/>
        <v>H</v>
      </c>
      <c r="T23" s="103">
        <f>data!Y13</f>
        <v>21.64</v>
      </c>
      <c r="U23" s="61" t="str">
        <f t="shared" si="1"/>
        <v>L</v>
      </c>
      <c r="V23" s="103">
        <f>data!Z13</f>
        <v>41.075000000000003</v>
      </c>
      <c r="W23" s="61" t="str">
        <f t="shared" si="2"/>
        <v>L</v>
      </c>
      <c r="X23" s="103">
        <f>data!AA13</f>
        <v>5.4799999999999995</v>
      </c>
      <c r="Y23" s="61" t="str">
        <f t="shared" si="3"/>
        <v xml:space="preserve"> </v>
      </c>
      <c r="AA23">
        <f>VLOOKUP($B$12,'sufficiency ranges '!$A$4:$AC$104,AA$16,FALSE)</f>
        <v>1.1599999999999999</v>
      </c>
      <c r="AB23">
        <f>VLOOKUP($B$12,'sufficiency ranges '!$A$4:$AC$104,AB$16,FALSE)</f>
        <v>3.2</v>
      </c>
      <c r="AC23">
        <f>VLOOKUP($B$12,'sufficiency ranges '!$A$4:$AC$104,AC$16,FALSE)</f>
        <v>0.12</v>
      </c>
      <c r="AD23">
        <f>VLOOKUP($B$12,'sufficiency ranges '!$A$4:$AC$104,AD$16,FALSE)</f>
        <v>0.56000000000000005</v>
      </c>
      <c r="AE23">
        <f>VLOOKUP($B$12,'sufficiency ranges '!$A$4:$AC$104,AE$16,FALSE)</f>
        <v>0.32</v>
      </c>
      <c r="AF23">
        <f>VLOOKUP($B$12,'sufficiency ranges '!$A$4:$AC$104,AF$16,FALSE)</f>
        <v>1.49</v>
      </c>
      <c r="AG23">
        <f>VLOOKUP($B$12,'sufficiency ranges '!$A$4:$AC$104,AG$16,FALSE)</f>
        <v>0.17</v>
      </c>
      <c r="AH23">
        <f>VLOOKUP($B$12,'sufficiency ranges '!$A$4:$AC$104,AH$16,FALSE)</f>
        <v>1.2</v>
      </c>
      <c r="AI23">
        <f>VLOOKUP($B$12,'sufficiency ranges '!$A$4:$AC$104,AI$16,FALSE)</f>
        <v>0.05</v>
      </c>
      <c r="AJ23">
        <f>VLOOKUP($B$12,'sufficiency ranges '!$A$4:$AC$104,AJ$16,FALSE)</f>
        <v>0.23</v>
      </c>
      <c r="AK23">
        <f>VLOOKUP($B$12,'sufficiency ranges '!$A$4:$AC$104,AK$16,FALSE)</f>
        <v>7.0000000000000007E-2</v>
      </c>
      <c r="AL23">
        <f>VLOOKUP($B$12,'sufficiency ranges '!$A$4:$AC$104,AL$16,FALSE)</f>
        <v>0.08</v>
      </c>
      <c r="AM23">
        <f>VLOOKUP($B$12,'sufficiency ranges '!$A$4:$AC$104,AM$16,FALSE)</f>
        <v>52</v>
      </c>
      <c r="AN23">
        <f>VLOOKUP($B$12,'sufficiency ranges '!$A$4:$AC$104,AN$16,FALSE)</f>
        <v>82</v>
      </c>
      <c r="AO23">
        <f>VLOOKUP($B$12,'sufficiency ranges '!$A$4:$AC$104,AO$16,FALSE)</f>
        <v>134</v>
      </c>
      <c r="AP23">
        <f>VLOOKUP($B$12,'sufficiency ranges '!$A$4:$AC$104,AP$16,FALSE)</f>
        <v>457</v>
      </c>
      <c r="AQ23">
        <f>VLOOKUP($B$12,'sufficiency ranges '!$A$4:$AC$104,AQ$16,FALSE)</f>
        <v>15</v>
      </c>
      <c r="AR23">
        <f>VLOOKUP($B$12,'sufficiency ranges '!$A$4:$AC$104,AR$16,FALSE)</f>
        <v>34</v>
      </c>
      <c r="AS23">
        <f>VLOOKUP($B$12,'sufficiency ranges '!$A$4:$AC$104,AS$16,FALSE)</f>
        <v>42</v>
      </c>
      <c r="AT23">
        <f>VLOOKUP($B$12,'sufficiency ranges '!$A$4:$AC$104,AT$16,FALSE)</f>
        <v>267</v>
      </c>
      <c r="AU23">
        <f>VLOOKUP($B$12,'sufficiency ranges '!$A$4:$AC$104,AU$16,FALSE)</f>
        <v>2</v>
      </c>
      <c r="AV23">
        <f>VLOOKUP($B$12,'sufficiency ranges '!$A$4:$AC$104,AV$16,FALSE)</f>
        <v>14</v>
      </c>
    </row>
    <row r="24" spans="1:48" ht="15.75">
      <c r="A24" s="120">
        <v>12525</v>
      </c>
      <c r="B24" s="120" t="str">
        <f>VLOOKUP($A24,data!$B$7:$AN$31,8,TRUE)</f>
        <v>NWS-PrB-R</v>
      </c>
      <c r="C24" s="101" t="str">
        <f>VLOOKUP($A24,data!$B$7:$AN$31,12,TRUE)</f>
        <v>Normal</v>
      </c>
      <c r="D24" s="102">
        <f>data!Q14</f>
        <v>2.619472781970051</v>
      </c>
      <c r="E24" s="61" t="str">
        <f t="shared" si="4"/>
        <v xml:space="preserve"> </v>
      </c>
      <c r="F24" s="102">
        <f>data!R14</f>
        <v>0.11700000000000001</v>
      </c>
      <c r="G24" s="61" t="str">
        <f t="shared" si="5"/>
        <v>L</v>
      </c>
      <c r="H24" s="102">
        <f>data!S14</f>
        <v>0.61799999999999999</v>
      </c>
      <c r="I24" s="61" t="str">
        <f t="shared" si="6"/>
        <v xml:space="preserve"> </v>
      </c>
      <c r="J24" s="102">
        <f>data!T14</f>
        <v>0.35399999999999998</v>
      </c>
      <c r="K24" s="61" t="str">
        <f t="shared" si="7"/>
        <v xml:space="preserve"> </v>
      </c>
      <c r="L24" s="102">
        <f>data!U14</f>
        <v>0.22500000000000001</v>
      </c>
      <c r="M24" s="61" t="str">
        <f t="shared" si="8"/>
        <v xml:space="preserve"> </v>
      </c>
      <c r="N24" s="102">
        <f>data!V14</f>
        <v>0.16300000000000001</v>
      </c>
      <c r="O24" s="61" t="str">
        <f t="shared" si="9"/>
        <v>H</v>
      </c>
      <c r="P24" s="103">
        <f>data!W14</f>
        <v>90.17</v>
      </c>
      <c r="Q24" s="61" t="str">
        <f t="shared" si="10"/>
        <v>H</v>
      </c>
      <c r="R24" s="103">
        <f>data!X14</f>
        <v>832</v>
      </c>
      <c r="S24" s="61" t="str">
        <f t="shared" si="0"/>
        <v>H</v>
      </c>
      <c r="T24" s="103">
        <f>data!Y14</f>
        <v>36.96</v>
      </c>
      <c r="U24" s="61" t="str">
        <f t="shared" si="1"/>
        <v>L</v>
      </c>
      <c r="V24" s="103">
        <f>data!Z14</f>
        <v>661.41499999999996</v>
      </c>
      <c r="W24" s="61" t="str">
        <f t="shared" si="2"/>
        <v>H</v>
      </c>
      <c r="X24" s="103">
        <f>data!AA14</f>
        <v>11.441000000000001</v>
      </c>
      <c r="Y24" s="61" t="str">
        <f t="shared" si="3"/>
        <v xml:space="preserve"> </v>
      </c>
      <c r="AA24">
        <f>VLOOKUP($B$12,'sufficiency ranges '!$A$4:$AC$104,AA$16,FALSE)</f>
        <v>1.1599999999999999</v>
      </c>
      <c r="AB24">
        <f>VLOOKUP($B$12,'sufficiency ranges '!$A$4:$AC$104,AB$16,FALSE)</f>
        <v>3.2</v>
      </c>
      <c r="AC24">
        <f>VLOOKUP($B$12,'sufficiency ranges '!$A$4:$AC$104,AC$16,FALSE)</f>
        <v>0.12</v>
      </c>
      <c r="AD24">
        <f>VLOOKUP($B$12,'sufficiency ranges '!$A$4:$AC$104,AD$16,FALSE)</f>
        <v>0.56000000000000005</v>
      </c>
      <c r="AE24">
        <f>VLOOKUP($B$12,'sufficiency ranges '!$A$4:$AC$104,AE$16,FALSE)</f>
        <v>0.32</v>
      </c>
      <c r="AF24">
        <f>VLOOKUP($B$12,'sufficiency ranges '!$A$4:$AC$104,AF$16,FALSE)</f>
        <v>1.49</v>
      </c>
      <c r="AG24">
        <f>VLOOKUP($B$12,'sufficiency ranges '!$A$4:$AC$104,AG$16,FALSE)</f>
        <v>0.17</v>
      </c>
      <c r="AH24">
        <f>VLOOKUP($B$12,'sufficiency ranges '!$A$4:$AC$104,AH$16,FALSE)</f>
        <v>1.2</v>
      </c>
      <c r="AI24">
        <f>VLOOKUP($B$12,'sufficiency ranges '!$A$4:$AC$104,AI$16,FALSE)</f>
        <v>0.05</v>
      </c>
      <c r="AJ24">
        <f>VLOOKUP($B$12,'sufficiency ranges '!$A$4:$AC$104,AJ$16,FALSE)</f>
        <v>0.23</v>
      </c>
      <c r="AK24">
        <f>VLOOKUP($B$12,'sufficiency ranges '!$A$4:$AC$104,AK$16,FALSE)</f>
        <v>7.0000000000000007E-2</v>
      </c>
      <c r="AL24">
        <f>VLOOKUP($B$12,'sufficiency ranges '!$A$4:$AC$104,AL$16,FALSE)</f>
        <v>0.08</v>
      </c>
      <c r="AM24">
        <f>VLOOKUP($B$12,'sufficiency ranges '!$A$4:$AC$104,AM$16,FALSE)</f>
        <v>52</v>
      </c>
      <c r="AN24">
        <f>VLOOKUP($B$12,'sufficiency ranges '!$A$4:$AC$104,AN$16,FALSE)</f>
        <v>82</v>
      </c>
      <c r="AO24">
        <f>VLOOKUP($B$12,'sufficiency ranges '!$A$4:$AC$104,AO$16,FALSE)</f>
        <v>134</v>
      </c>
      <c r="AP24">
        <f>VLOOKUP($B$12,'sufficiency ranges '!$A$4:$AC$104,AP$16,FALSE)</f>
        <v>457</v>
      </c>
      <c r="AQ24">
        <f>VLOOKUP($B$12,'sufficiency ranges '!$A$4:$AC$104,AQ$16,FALSE)</f>
        <v>15</v>
      </c>
      <c r="AR24">
        <f>VLOOKUP($B$12,'sufficiency ranges '!$A$4:$AC$104,AR$16,FALSE)</f>
        <v>34</v>
      </c>
      <c r="AS24">
        <f>VLOOKUP($B$12,'sufficiency ranges '!$A$4:$AC$104,AS$16,FALSE)</f>
        <v>42</v>
      </c>
      <c r="AT24">
        <f>VLOOKUP($B$12,'sufficiency ranges '!$A$4:$AC$104,AT$16,FALSE)</f>
        <v>267</v>
      </c>
      <c r="AU24">
        <f>VLOOKUP($B$12,'sufficiency ranges '!$A$4:$AC$104,AU$16,FALSE)</f>
        <v>2</v>
      </c>
      <c r="AV24">
        <f>VLOOKUP($B$12,'sufficiency ranges '!$A$4:$AC$104,AV$16,FALSE)</f>
        <v>14</v>
      </c>
    </row>
    <row r="25" spans="1:48" ht="15.75">
      <c r="A25" s="120">
        <v>12526</v>
      </c>
      <c r="B25" s="120" t="str">
        <f>VLOOKUP($A25,data!$B$7:$AN$31,8,TRUE)</f>
        <v>NWS-PB-R</v>
      </c>
      <c r="C25" s="101" t="str">
        <f>VLOOKUP($A25,data!$B$7:$AN$31,12,TRUE)</f>
        <v>Normal</v>
      </c>
      <c r="D25" s="102">
        <f>data!Q15</f>
        <v>1.7221077795579969</v>
      </c>
      <c r="E25" s="61" t="str">
        <f t="shared" si="4"/>
        <v xml:space="preserve"> </v>
      </c>
      <c r="F25" s="102">
        <f>data!R15</f>
        <v>0.19600000000000001</v>
      </c>
      <c r="G25" s="61" t="str">
        <f t="shared" si="5"/>
        <v xml:space="preserve"> </v>
      </c>
      <c r="H25" s="102">
        <f>data!S15</f>
        <v>0.68699999999999994</v>
      </c>
      <c r="I25" s="61" t="str">
        <f t="shared" si="6"/>
        <v xml:space="preserve"> </v>
      </c>
      <c r="J25" s="102">
        <f>data!T15</f>
        <v>0.39</v>
      </c>
      <c r="K25" s="61" t="str">
        <f t="shared" si="7"/>
        <v xml:space="preserve"> </v>
      </c>
      <c r="L25" s="102">
        <f>data!U15</f>
        <v>0.254</v>
      </c>
      <c r="M25" s="61" t="str">
        <f t="shared" si="8"/>
        <v>H</v>
      </c>
      <c r="N25" s="102">
        <f>data!V15</f>
        <v>0.22500000000000001</v>
      </c>
      <c r="O25" s="61" t="str">
        <f t="shared" si="9"/>
        <v>H</v>
      </c>
      <c r="P25" s="103">
        <f>data!W15</f>
        <v>174.60999999999999</v>
      </c>
      <c r="Q25" s="61" t="str">
        <f t="shared" si="10"/>
        <v>H</v>
      </c>
      <c r="R25" s="103">
        <f>data!X15</f>
        <v>372.88200000000001</v>
      </c>
      <c r="S25" s="61" t="str">
        <f t="shared" si="0"/>
        <v>H</v>
      </c>
      <c r="T25" s="103">
        <f>data!Y15</f>
        <v>42.330000000000005</v>
      </c>
      <c r="U25" s="61" t="str">
        <f t="shared" si="1"/>
        <v>L</v>
      </c>
      <c r="V25" s="103">
        <f>data!Z15</f>
        <v>1096.615</v>
      </c>
      <c r="W25" s="61" t="str">
        <f t="shared" si="2"/>
        <v>H</v>
      </c>
      <c r="X25" s="103">
        <f>data!AA15</f>
        <v>32.540999999999997</v>
      </c>
      <c r="Y25" s="61" t="str">
        <f t="shared" si="3"/>
        <v>H</v>
      </c>
      <c r="AA25">
        <f>VLOOKUP($B$12,'sufficiency ranges '!$A$4:$AC$104,AA$16,FALSE)</f>
        <v>1.1599999999999999</v>
      </c>
      <c r="AB25">
        <f>VLOOKUP($B$12,'sufficiency ranges '!$A$4:$AC$104,AB$16,FALSE)</f>
        <v>3.2</v>
      </c>
      <c r="AC25">
        <f>VLOOKUP($B$12,'sufficiency ranges '!$A$4:$AC$104,AC$16,FALSE)</f>
        <v>0.12</v>
      </c>
      <c r="AD25">
        <f>VLOOKUP($B$12,'sufficiency ranges '!$A$4:$AC$104,AD$16,FALSE)</f>
        <v>0.56000000000000005</v>
      </c>
      <c r="AE25">
        <f>VLOOKUP($B$12,'sufficiency ranges '!$A$4:$AC$104,AE$16,FALSE)</f>
        <v>0.32</v>
      </c>
      <c r="AF25">
        <f>VLOOKUP($B$12,'sufficiency ranges '!$A$4:$AC$104,AF$16,FALSE)</f>
        <v>1.49</v>
      </c>
      <c r="AG25">
        <f>VLOOKUP($B$12,'sufficiency ranges '!$A$4:$AC$104,AG$16,FALSE)</f>
        <v>0.17</v>
      </c>
      <c r="AH25">
        <f>VLOOKUP($B$12,'sufficiency ranges '!$A$4:$AC$104,AH$16,FALSE)</f>
        <v>1.2</v>
      </c>
      <c r="AI25">
        <f>VLOOKUP($B$12,'sufficiency ranges '!$A$4:$AC$104,AI$16,FALSE)</f>
        <v>0.05</v>
      </c>
      <c r="AJ25">
        <f>VLOOKUP($B$12,'sufficiency ranges '!$A$4:$AC$104,AJ$16,FALSE)</f>
        <v>0.23</v>
      </c>
      <c r="AK25">
        <f>VLOOKUP($B$12,'sufficiency ranges '!$A$4:$AC$104,AK$16,FALSE)</f>
        <v>7.0000000000000007E-2</v>
      </c>
      <c r="AL25">
        <f>VLOOKUP($B$12,'sufficiency ranges '!$A$4:$AC$104,AL$16,FALSE)</f>
        <v>0.08</v>
      </c>
      <c r="AM25">
        <f>VLOOKUP($B$12,'sufficiency ranges '!$A$4:$AC$104,AM$16,FALSE)</f>
        <v>52</v>
      </c>
      <c r="AN25">
        <f>VLOOKUP($B$12,'sufficiency ranges '!$A$4:$AC$104,AN$16,FALSE)</f>
        <v>82</v>
      </c>
      <c r="AO25">
        <f>VLOOKUP($B$12,'sufficiency ranges '!$A$4:$AC$104,AO$16,FALSE)</f>
        <v>134</v>
      </c>
      <c r="AP25">
        <f>VLOOKUP($B$12,'sufficiency ranges '!$A$4:$AC$104,AP$16,FALSE)</f>
        <v>457</v>
      </c>
      <c r="AQ25">
        <f>VLOOKUP($B$12,'sufficiency ranges '!$A$4:$AC$104,AQ$16,FALSE)</f>
        <v>15</v>
      </c>
      <c r="AR25">
        <f>VLOOKUP($B$12,'sufficiency ranges '!$A$4:$AC$104,AR$16,FALSE)</f>
        <v>34</v>
      </c>
      <c r="AS25">
        <f>VLOOKUP($B$12,'sufficiency ranges '!$A$4:$AC$104,AS$16,FALSE)</f>
        <v>42</v>
      </c>
      <c r="AT25">
        <f>VLOOKUP($B$12,'sufficiency ranges '!$A$4:$AC$104,AT$16,FALSE)</f>
        <v>267</v>
      </c>
      <c r="AU25">
        <f>VLOOKUP($B$12,'sufficiency ranges '!$A$4:$AC$104,AU$16,FALSE)</f>
        <v>2</v>
      </c>
      <c r="AV25">
        <f>VLOOKUP($B$12,'sufficiency ranges '!$A$4:$AC$104,AV$16,FALSE)</f>
        <v>14</v>
      </c>
    </row>
    <row r="26" spans="1:48" ht="15.75">
      <c r="A26" s="120">
        <v>12527</v>
      </c>
      <c r="B26" s="120" t="str">
        <f>VLOOKUP($A26,data!$B$7:$AN$31,8,TRUE)</f>
        <v>NWS-LB-R</v>
      </c>
      <c r="C26" s="101" t="str">
        <f>VLOOKUP($A26,data!$B$7:$AN$31,12,TRUE)</f>
        <v>Normal</v>
      </c>
      <c r="D26" s="102">
        <f>data!Q16</f>
        <v>1.8936526816608994</v>
      </c>
      <c r="E26" s="61" t="str">
        <f t="shared" si="4"/>
        <v xml:space="preserve"> </v>
      </c>
      <c r="F26" s="102">
        <f>data!R16</f>
        <v>0.15</v>
      </c>
      <c r="G26" s="61" t="str">
        <f t="shared" si="5"/>
        <v xml:space="preserve"> </v>
      </c>
      <c r="H26" s="102">
        <f>data!S16</f>
        <v>0.49700000000000005</v>
      </c>
      <c r="I26" s="61" t="str">
        <f t="shared" si="6"/>
        <v xml:space="preserve"> </v>
      </c>
      <c r="J26" s="102">
        <f>data!T16</f>
        <v>0.32200000000000001</v>
      </c>
      <c r="K26" s="61" t="str">
        <f t="shared" si="7"/>
        <v xml:space="preserve"> </v>
      </c>
      <c r="L26" s="102">
        <f>data!U16</f>
        <v>0.17799999999999999</v>
      </c>
      <c r="M26" s="61" t="str">
        <f t="shared" si="8"/>
        <v xml:space="preserve"> </v>
      </c>
      <c r="N26" s="102">
        <f>data!V16</f>
        <v>0.2</v>
      </c>
      <c r="O26" s="61" t="str">
        <f t="shared" si="9"/>
        <v>H</v>
      </c>
      <c r="P26" s="103">
        <f>data!W16</f>
        <v>84.440000000000012</v>
      </c>
      <c r="Q26" s="61" t="str">
        <f t="shared" si="10"/>
        <v>H</v>
      </c>
      <c r="R26" s="103">
        <f>data!X16</f>
        <v>572.78200000000004</v>
      </c>
      <c r="S26" s="61" t="str">
        <f t="shared" si="0"/>
        <v>H</v>
      </c>
      <c r="T26" s="103">
        <f>data!Y16</f>
        <v>37.65</v>
      </c>
      <c r="U26" s="61" t="str">
        <f t="shared" si="1"/>
        <v>L</v>
      </c>
      <c r="V26" s="103">
        <f>data!Z16</f>
        <v>803.41499999999996</v>
      </c>
      <c r="W26" s="61" t="str">
        <f t="shared" si="2"/>
        <v>H</v>
      </c>
      <c r="X26" s="103">
        <f>data!AA16</f>
        <v>12.641</v>
      </c>
      <c r="Y26" s="61" t="str">
        <f t="shared" si="3"/>
        <v xml:space="preserve"> </v>
      </c>
      <c r="AA26">
        <f>VLOOKUP($B$12,'sufficiency ranges '!$A$4:$AC$104,AA$16,FALSE)</f>
        <v>1.1599999999999999</v>
      </c>
      <c r="AB26">
        <f>VLOOKUP($B$12,'sufficiency ranges '!$A$4:$AC$104,AB$16,FALSE)</f>
        <v>3.2</v>
      </c>
      <c r="AC26">
        <f>VLOOKUP($B$12,'sufficiency ranges '!$A$4:$AC$104,AC$16,FALSE)</f>
        <v>0.12</v>
      </c>
      <c r="AD26">
        <f>VLOOKUP($B$12,'sufficiency ranges '!$A$4:$AC$104,AD$16,FALSE)</f>
        <v>0.56000000000000005</v>
      </c>
      <c r="AE26">
        <f>VLOOKUP($B$12,'sufficiency ranges '!$A$4:$AC$104,AE$16,FALSE)</f>
        <v>0.32</v>
      </c>
      <c r="AF26">
        <f>VLOOKUP($B$12,'sufficiency ranges '!$A$4:$AC$104,AF$16,FALSE)</f>
        <v>1.49</v>
      </c>
      <c r="AG26">
        <f>VLOOKUP($B$12,'sufficiency ranges '!$A$4:$AC$104,AG$16,FALSE)</f>
        <v>0.17</v>
      </c>
      <c r="AH26">
        <f>VLOOKUP($B$12,'sufficiency ranges '!$A$4:$AC$104,AH$16,FALSE)</f>
        <v>1.2</v>
      </c>
      <c r="AI26">
        <f>VLOOKUP($B$12,'sufficiency ranges '!$A$4:$AC$104,AI$16,FALSE)</f>
        <v>0.05</v>
      </c>
      <c r="AJ26">
        <f>VLOOKUP($B$12,'sufficiency ranges '!$A$4:$AC$104,AJ$16,FALSE)</f>
        <v>0.23</v>
      </c>
      <c r="AK26">
        <f>VLOOKUP($B$12,'sufficiency ranges '!$A$4:$AC$104,AK$16,FALSE)</f>
        <v>7.0000000000000007E-2</v>
      </c>
      <c r="AL26">
        <f>VLOOKUP($B$12,'sufficiency ranges '!$A$4:$AC$104,AL$16,FALSE)</f>
        <v>0.08</v>
      </c>
      <c r="AM26">
        <f>VLOOKUP($B$12,'sufficiency ranges '!$A$4:$AC$104,AM$16,FALSE)</f>
        <v>52</v>
      </c>
      <c r="AN26">
        <f>VLOOKUP($B$12,'sufficiency ranges '!$A$4:$AC$104,AN$16,FALSE)</f>
        <v>82</v>
      </c>
      <c r="AO26">
        <f>VLOOKUP($B$12,'sufficiency ranges '!$A$4:$AC$104,AO$16,FALSE)</f>
        <v>134</v>
      </c>
      <c r="AP26">
        <f>VLOOKUP($B$12,'sufficiency ranges '!$A$4:$AC$104,AP$16,FALSE)</f>
        <v>457</v>
      </c>
      <c r="AQ26">
        <f>VLOOKUP($B$12,'sufficiency ranges '!$A$4:$AC$104,AQ$16,FALSE)</f>
        <v>15</v>
      </c>
      <c r="AR26">
        <f>VLOOKUP($B$12,'sufficiency ranges '!$A$4:$AC$104,AR$16,FALSE)</f>
        <v>34</v>
      </c>
      <c r="AS26">
        <f>VLOOKUP($B$12,'sufficiency ranges '!$A$4:$AC$104,AS$16,FALSE)</f>
        <v>42</v>
      </c>
      <c r="AT26">
        <f>VLOOKUP($B$12,'sufficiency ranges '!$A$4:$AC$104,AT$16,FALSE)</f>
        <v>267</v>
      </c>
      <c r="AU26">
        <f>VLOOKUP($B$12,'sufficiency ranges '!$A$4:$AC$104,AU$16,FALSE)</f>
        <v>2</v>
      </c>
      <c r="AV26">
        <f>VLOOKUP($B$12,'sufficiency ranges '!$A$4:$AC$104,AV$16,FALSE)</f>
        <v>14</v>
      </c>
    </row>
  </sheetData>
  <mergeCells count="30">
    <mergeCell ref="AE14:AF14"/>
    <mergeCell ref="AG14:AH14"/>
    <mergeCell ref="R15:S15"/>
    <mergeCell ref="T15:U15"/>
    <mergeCell ref="V15:W15"/>
    <mergeCell ref="X15:Y15"/>
    <mergeCell ref="AU14:AV14"/>
    <mergeCell ref="D15:E15"/>
    <mergeCell ref="F15:G15"/>
    <mergeCell ref="H15:I15"/>
    <mergeCell ref="J15:K15"/>
    <mergeCell ref="L15:M15"/>
    <mergeCell ref="N15:O15"/>
    <mergeCell ref="P15:Q15"/>
    <mergeCell ref="AI14:AJ14"/>
    <mergeCell ref="AK14:AL14"/>
    <mergeCell ref="AM14:AN14"/>
    <mergeCell ref="AQ14:AR14"/>
    <mergeCell ref="AO14:AP14"/>
    <mergeCell ref="AS14:AT14"/>
    <mergeCell ref="AA14:AB14"/>
    <mergeCell ref="AC14:AD14"/>
    <mergeCell ref="P16:Y16"/>
    <mergeCell ref="D16:O16"/>
    <mergeCell ref="A5:X5"/>
    <mergeCell ref="A14:Y14"/>
    <mergeCell ref="A10:Y10"/>
    <mergeCell ref="V6:X6"/>
    <mergeCell ref="V7:X7"/>
    <mergeCell ref="V8:X8"/>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75"/>
  <sheetViews>
    <sheetView zoomScale="110" zoomScaleNormal="110" workbookViewId="0">
      <selection activeCell="B29" sqref="B29:E30"/>
    </sheetView>
  </sheetViews>
  <sheetFormatPr defaultRowHeight="15"/>
  <cols>
    <col min="1" max="1" width="2.140625" style="10" customWidth="1"/>
    <col min="2" max="2" width="12.28515625" customWidth="1"/>
    <col min="3" max="3" width="15.42578125" customWidth="1"/>
    <col min="4" max="4" width="7.140625" bestFit="1" customWidth="1"/>
    <col min="5" max="5" width="14.7109375" customWidth="1"/>
    <col min="6" max="6" width="11.7109375" customWidth="1"/>
    <col min="7" max="7" width="12.85546875" customWidth="1"/>
    <col min="8" max="8" width="9.140625" customWidth="1"/>
    <col min="9" max="9" width="2.42578125" style="23" customWidth="1"/>
    <col min="10" max="17" width="9.140625" style="45" customWidth="1"/>
    <col min="18" max="18" width="9.5703125" style="45" customWidth="1"/>
    <col min="19" max="19" width="19.7109375" style="45" customWidth="1"/>
    <col min="20" max="43" width="9.140625" style="45" customWidth="1"/>
  </cols>
  <sheetData>
    <row r="1" spans="1:21" ht="18.75">
      <c r="A1" s="87" t="s">
        <v>248</v>
      </c>
      <c r="B1" s="61"/>
      <c r="C1" s="61"/>
      <c r="D1" s="61"/>
      <c r="E1" s="62"/>
      <c r="F1" s="61"/>
      <c r="H1" s="73" t="s">
        <v>530</v>
      </c>
    </row>
    <row r="2" spans="1:21" ht="15.75">
      <c r="A2" s="88" t="s">
        <v>210</v>
      </c>
      <c r="E2" s="53"/>
      <c r="H2" s="73" t="s">
        <v>531</v>
      </c>
    </row>
    <row r="3" spans="1:21" ht="15.75">
      <c r="A3" s="88" t="s">
        <v>211</v>
      </c>
      <c r="E3" s="53"/>
      <c r="H3" s="73" t="s">
        <v>532</v>
      </c>
    </row>
    <row r="4" spans="1:21" ht="6.75" customHeight="1">
      <c r="A4" s="85"/>
      <c r="B4" s="19"/>
      <c r="F4" s="53"/>
    </row>
    <row r="5" spans="1:21" ht="15.75">
      <c r="B5" s="57" t="s">
        <v>523</v>
      </c>
      <c r="C5" s="58"/>
      <c r="D5" s="58"/>
      <c r="E5" s="58"/>
      <c r="F5" s="58"/>
      <c r="G5" s="58"/>
      <c r="H5" s="58"/>
    </row>
    <row r="6" spans="1:21">
      <c r="A6" s="23">
        <v>4</v>
      </c>
      <c r="B6" s="1" t="s">
        <v>226</v>
      </c>
      <c r="C6" s="89" t="e">
        <f>VLOOKUP($H$8,data!$B$7:$AN$31,A6,TRUE)</f>
        <v>#N/A</v>
      </c>
      <c r="D6" s="19"/>
      <c r="E6" s="19"/>
      <c r="G6" s="3" t="s">
        <v>212</v>
      </c>
      <c r="H6" s="90" t="e">
        <f>VLOOKUP($H$8,data!$B$7:$AN$31,3,TRUE)</f>
        <v>#N/A</v>
      </c>
    </row>
    <row r="7" spans="1:21">
      <c r="A7" s="23">
        <v>5</v>
      </c>
      <c r="B7" s="1" t="s">
        <v>227</v>
      </c>
      <c r="C7" s="89" t="e">
        <f>VLOOKUP($H$8,data!$B$7:$AN$31,A7,TRUE)</f>
        <v>#N/A</v>
      </c>
      <c r="D7" s="19"/>
      <c r="E7" s="19"/>
      <c r="G7" s="3" t="s">
        <v>213</v>
      </c>
      <c r="H7" s="90" t="e">
        <f>VLOOKUP($H$8,data!$B$7:$AN$31,2,TRUE)</f>
        <v>#N/A</v>
      </c>
    </row>
    <row r="8" spans="1:21">
      <c r="A8" s="23">
        <v>6</v>
      </c>
      <c r="B8" s="1" t="s">
        <v>247</v>
      </c>
      <c r="C8" s="89" t="e">
        <f>VLOOKUP($H$8,data!$B$7:$AN$31,A8,TRUE)</f>
        <v>#N/A</v>
      </c>
      <c r="D8" s="19"/>
      <c r="E8" s="19"/>
      <c r="G8" s="91" t="s">
        <v>241</v>
      </c>
      <c r="H8" s="92">
        <v>5</v>
      </c>
    </row>
    <row r="9" spans="1:21">
      <c r="G9" s="91" t="s">
        <v>533</v>
      </c>
      <c r="H9" s="93"/>
    </row>
    <row r="10" spans="1:21">
      <c r="B10" s="20" t="s">
        <v>245</v>
      </c>
      <c r="C10" s="24" t="e">
        <f>VLOOKUP($H$8,data!$B$7:$AN$31,8,TRUE)</f>
        <v>#N/A</v>
      </c>
      <c r="D10" s="19"/>
      <c r="E10" s="19"/>
    </row>
    <row r="11" spans="1:21">
      <c r="B11" s="21" t="s">
        <v>221</v>
      </c>
      <c r="C11" s="19" t="e">
        <f>VLOOKUP($H$8,data!$B$7:$AN$31,9,TRUE)</f>
        <v>#N/A</v>
      </c>
      <c r="D11" s="19"/>
      <c r="E11" s="19"/>
      <c r="G11" s="21" t="s">
        <v>540</v>
      </c>
      <c r="H11" s="24" t="e">
        <f>VLOOKUP($H$8,data!$B$7:$AN$31,7,TRUE)</f>
        <v>#N/A</v>
      </c>
    </row>
    <row r="12" spans="1:21">
      <c r="B12" s="20" t="s">
        <v>242</v>
      </c>
      <c r="C12" s="19" t="e">
        <f>VLOOKUP($H$8,data!$B$7:$AN$31,10,TRUE)</f>
        <v>#N/A</v>
      </c>
      <c r="D12" s="19"/>
      <c r="E12" s="19"/>
      <c r="G12" s="21" t="s">
        <v>541</v>
      </c>
      <c r="H12" s="24" t="e">
        <f>VLOOKUP($H$8,data!$B$7:$AN$31,12,TRUE)</f>
        <v>#N/A</v>
      </c>
    </row>
    <row r="13" spans="1:21">
      <c r="B13" s="20" t="s">
        <v>243</v>
      </c>
      <c r="C13" s="19" t="e">
        <f>VLOOKUP($H$8,data!$B$7:$AN$31,11,TRUE)</f>
        <v>#N/A</v>
      </c>
      <c r="D13" s="19"/>
      <c r="E13" s="19"/>
      <c r="F13" s="19"/>
      <c r="G13" s="21" t="s">
        <v>244</v>
      </c>
      <c r="H13" s="24" t="e">
        <f>VLOOKUP($H$8,data!$B$7:$AN$31,13,TRUE)</f>
        <v>#N/A</v>
      </c>
    </row>
    <row r="14" spans="1:21" ht="5.25" customHeight="1">
      <c r="B14" s="22"/>
      <c r="C14" s="22"/>
      <c r="D14" s="22"/>
      <c r="E14" s="22"/>
      <c r="F14" s="19"/>
      <c r="G14" s="19"/>
    </row>
    <row r="15" spans="1:21" ht="18.75">
      <c r="B15" s="59" t="s">
        <v>224</v>
      </c>
      <c r="C15" s="54"/>
      <c r="D15" s="54"/>
      <c r="E15" s="55"/>
      <c r="F15" s="54"/>
      <c r="G15" s="54"/>
      <c r="H15" s="54"/>
      <c r="T15" s="134" t="s">
        <v>217</v>
      </c>
      <c r="U15" s="134"/>
    </row>
    <row r="16" spans="1:21" ht="15.75">
      <c r="B16" s="16" t="s">
        <v>219</v>
      </c>
      <c r="C16" s="16" t="s">
        <v>214</v>
      </c>
      <c r="D16" s="16" t="s">
        <v>223</v>
      </c>
      <c r="E16" s="16" t="s">
        <v>218</v>
      </c>
      <c r="T16" s="45" t="s">
        <v>216</v>
      </c>
      <c r="U16" s="45" t="s">
        <v>191</v>
      </c>
    </row>
    <row r="17" spans="1:27" ht="15.75">
      <c r="A17" s="10">
        <v>16</v>
      </c>
      <c r="B17" s="5" t="s">
        <v>215</v>
      </c>
      <c r="C17" s="8" t="e">
        <f>VLOOKUP($H$8,data!$B$7:$AA$31,A17,TRUE)</f>
        <v>#N/A</v>
      </c>
      <c r="D17" s="11" t="s">
        <v>209</v>
      </c>
      <c r="E17" s="8" t="e">
        <f t="shared" ref="E17:E27" si="0">IF(C17&lt;T17,"Low",IF(C17&lt;U17,"Sufficient","High"))</f>
        <v>#N/A</v>
      </c>
      <c r="I17" s="23" t="e">
        <f>IF(((C17*Z17)+AA17)&lt;0,0,((C17*Z17)+AA17))</f>
        <v>#N/A</v>
      </c>
      <c r="Q17" s="45">
        <v>4</v>
      </c>
      <c r="R17" s="46">
        <v>5</v>
      </c>
      <c r="S17" s="45" t="s">
        <v>207</v>
      </c>
      <c r="T17" s="45" t="e">
        <f>VLOOKUP($C$11,'sufficiency ranges '!$A$4:$AC$104,Q17,TRUE)</f>
        <v>#N/A</v>
      </c>
      <c r="U17" s="45" t="e">
        <f>VLOOKUP($C$11,'sufficiency ranges '!$A$4:$AC$104,R17,TRUE)</f>
        <v>#N/A</v>
      </c>
      <c r="W17" s="45">
        <v>1</v>
      </c>
      <c r="X17" s="45">
        <v>2</v>
      </c>
      <c r="Z17" s="45" t="e">
        <f>SLOPE(W17:X17,T17:U17)</f>
        <v>#N/A</v>
      </c>
      <c r="AA17" s="45" t="e">
        <f>INTERCEPT(W17:X17,T17:U17)</f>
        <v>#N/A</v>
      </c>
    </row>
    <row r="18" spans="1:27" ht="15.75">
      <c r="A18" s="10">
        <v>17</v>
      </c>
      <c r="B18" s="9" t="s">
        <v>206</v>
      </c>
      <c r="C18" s="8" t="e">
        <f>VLOOKUP($H$8,data!$B$7:$AA$31,A18,TRUE)</f>
        <v>#N/A</v>
      </c>
      <c r="D18" s="11" t="s">
        <v>209</v>
      </c>
      <c r="E18" s="8" t="e">
        <f t="shared" si="0"/>
        <v>#N/A</v>
      </c>
      <c r="F18" s="6"/>
      <c r="G18" s="6"/>
      <c r="I18" s="23" t="e">
        <f t="shared" ref="I18:I27" si="1">IF(((C18*Z18)+AA18)&lt;0,0,((C18*Z18)+AA18))</f>
        <v>#N/A</v>
      </c>
      <c r="Q18" s="45">
        <v>6</v>
      </c>
      <c r="R18" s="46">
        <v>7</v>
      </c>
      <c r="S18" s="45" t="s">
        <v>206</v>
      </c>
      <c r="T18" s="45" t="e">
        <f>VLOOKUP($C$11,'sufficiency ranges '!$A$4:$AC$104,Q18,TRUE)</f>
        <v>#N/A</v>
      </c>
      <c r="U18" s="45" t="e">
        <f>VLOOKUP($C$11,'sufficiency ranges '!$A$4:$AC$104,R18,TRUE)</f>
        <v>#N/A</v>
      </c>
      <c r="W18" s="45">
        <v>1</v>
      </c>
      <c r="X18" s="45">
        <v>2</v>
      </c>
      <c r="Z18" s="45" t="e">
        <f t="shared" ref="Z18:Z27" si="2">SLOPE(W18:X18,T18:U18)</f>
        <v>#N/A</v>
      </c>
      <c r="AA18" s="45" t="e">
        <f t="shared" ref="AA18:AA27" si="3">INTERCEPT(W18:X18,T18:U18)</f>
        <v>#N/A</v>
      </c>
    </row>
    <row r="19" spans="1:27" ht="15.75">
      <c r="A19" s="10">
        <v>18</v>
      </c>
      <c r="B19" s="9" t="s">
        <v>205</v>
      </c>
      <c r="C19" s="8" t="e">
        <f>VLOOKUP($H$8,data!$B$7:$AA$31,A19,TRUE)</f>
        <v>#N/A</v>
      </c>
      <c r="D19" s="11" t="s">
        <v>209</v>
      </c>
      <c r="E19" s="8" t="e">
        <f t="shared" si="0"/>
        <v>#N/A</v>
      </c>
      <c r="F19" s="6"/>
      <c r="G19" s="6"/>
      <c r="I19" s="23" t="e">
        <f t="shared" si="1"/>
        <v>#N/A</v>
      </c>
      <c r="Q19" s="45">
        <v>8</v>
      </c>
      <c r="R19" s="46">
        <v>9</v>
      </c>
      <c r="T19" s="45" t="e">
        <f>VLOOKUP($C$11,'sufficiency ranges '!$A$4:$AC$104,Q19,TRUE)</f>
        <v>#N/A</v>
      </c>
      <c r="U19" s="45" t="e">
        <f>VLOOKUP($C$11,'sufficiency ranges '!$A$4:$AC$104,R19,TRUE)</f>
        <v>#N/A</v>
      </c>
      <c r="W19" s="45">
        <v>1</v>
      </c>
      <c r="X19" s="45">
        <v>2</v>
      </c>
      <c r="Z19" s="45" t="e">
        <f t="shared" si="2"/>
        <v>#N/A</v>
      </c>
      <c r="AA19" s="45" t="e">
        <f t="shared" si="3"/>
        <v>#N/A</v>
      </c>
    </row>
    <row r="20" spans="1:27" ht="15.75">
      <c r="A20" s="10">
        <v>19</v>
      </c>
      <c r="B20" s="9" t="s">
        <v>204</v>
      </c>
      <c r="C20" s="8" t="e">
        <f>VLOOKUP($H$8,data!$B$7:$AA$31,A20,TRUE)</f>
        <v>#N/A</v>
      </c>
      <c r="D20" s="11" t="s">
        <v>209</v>
      </c>
      <c r="E20" s="8" t="e">
        <f t="shared" si="0"/>
        <v>#N/A</v>
      </c>
      <c r="F20" s="6"/>
      <c r="G20" s="6"/>
      <c r="I20" s="23" t="e">
        <f t="shared" si="1"/>
        <v>#N/A</v>
      </c>
      <c r="Q20" s="45">
        <v>10</v>
      </c>
      <c r="R20" s="46">
        <v>11</v>
      </c>
      <c r="T20" s="45" t="e">
        <f>VLOOKUP($C$11,'sufficiency ranges '!$A$4:$AC$104,Q20,TRUE)</f>
        <v>#N/A</v>
      </c>
      <c r="U20" s="45" t="e">
        <f>VLOOKUP($C$11,'sufficiency ranges '!$A$4:$AC$104,R20,TRUE)</f>
        <v>#N/A</v>
      </c>
      <c r="W20" s="45">
        <v>1</v>
      </c>
      <c r="X20" s="45">
        <v>2</v>
      </c>
      <c r="Z20" s="45" t="e">
        <f t="shared" si="2"/>
        <v>#N/A</v>
      </c>
      <c r="AA20" s="45" t="e">
        <f t="shared" si="3"/>
        <v>#N/A</v>
      </c>
    </row>
    <row r="21" spans="1:27" ht="15.75">
      <c r="A21" s="10">
        <v>20</v>
      </c>
      <c r="B21" s="9" t="s">
        <v>203</v>
      </c>
      <c r="C21" s="8" t="e">
        <f>VLOOKUP($H$8,data!$B$7:$AA$31,A21,TRUE)</f>
        <v>#N/A</v>
      </c>
      <c r="D21" s="11" t="s">
        <v>209</v>
      </c>
      <c r="E21" s="8" t="e">
        <f t="shared" si="0"/>
        <v>#N/A</v>
      </c>
      <c r="F21" s="6"/>
      <c r="G21" s="6"/>
      <c r="I21" s="23" t="e">
        <f t="shared" si="1"/>
        <v>#N/A</v>
      </c>
      <c r="Q21" s="45">
        <v>12</v>
      </c>
      <c r="R21" s="46">
        <v>13</v>
      </c>
      <c r="T21" s="45" t="e">
        <f>VLOOKUP($C$11,'sufficiency ranges '!$A$4:$AC$104,Q21,TRUE)</f>
        <v>#N/A</v>
      </c>
      <c r="U21" s="45" t="e">
        <f>VLOOKUP($C$11,'sufficiency ranges '!$A$4:$AC$104,R21,TRUE)</f>
        <v>#N/A</v>
      </c>
      <c r="W21" s="45">
        <v>1</v>
      </c>
      <c r="X21" s="45">
        <v>2</v>
      </c>
      <c r="Z21" s="45" t="e">
        <f t="shared" si="2"/>
        <v>#N/A</v>
      </c>
      <c r="AA21" s="45" t="e">
        <f t="shared" si="3"/>
        <v>#N/A</v>
      </c>
    </row>
    <row r="22" spans="1:27" ht="15.75">
      <c r="A22" s="10">
        <v>21</v>
      </c>
      <c r="B22" s="9" t="s">
        <v>202</v>
      </c>
      <c r="C22" s="8" t="e">
        <f>VLOOKUP($H$8,data!$B$7:$AA$31,A22,TRUE)</f>
        <v>#N/A</v>
      </c>
      <c r="D22" s="11" t="s">
        <v>209</v>
      </c>
      <c r="E22" s="8" t="e">
        <f t="shared" si="0"/>
        <v>#N/A</v>
      </c>
      <c r="F22" s="6"/>
      <c r="G22" s="6"/>
      <c r="I22" s="23" t="e">
        <f t="shared" si="1"/>
        <v>#N/A</v>
      </c>
      <c r="Q22" s="45">
        <v>14</v>
      </c>
      <c r="R22" s="46">
        <v>15</v>
      </c>
      <c r="T22" s="45" t="e">
        <f>VLOOKUP($C$11,'sufficiency ranges '!$A$4:$AC$104,Q22,TRUE)</f>
        <v>#N/A</v>
      </c>
      <c r="U22" s="45" t="e">
        <f>VLOOKUP($C$11,'sufficiency ranges '!$A$4:$AC$104,R22,TRUE)</f>
        <v>#N/A</v>
      </c>
      <c r="W22" s="45">
        <v>1</v>
      </c>
      <c r="X22" s="45">
        <v>2</v>
      </c>
      <c r="Z22" s="45" t="e">
        <f t="shared" si="2"/>
        <v>#N/A</v>
      </c>
      <c r="AA22" s="45" t="e">
        <f t="shared" si="3"/>
        <v>#N/A</v>
      </c>
    </row>
    <row r="23" spans="1:27" ht="15.75">
      <c r="A23" s="10">
        <v>22</v>
      </c>
      <c r="B23" s="9" t="s">
        <v>201</v>
      </c>
      <c r="C23" s="12" t="e">
        <f>VLOOKUP($H$8,data!$B$7:$AA$31,A23,TRUE)</f>
        <v>#N/A</v>
      </c>
      <c r="D23" s="11" t="s">
        <v>222</v>
      </c>
      <c r="E23" s="8" t="e">
        <f t="shared" si="0"/>
        <v>#N/A</v>
      </c>
      <c r="F23" s="6"/>
      <c r="G23" s="6"/>
      <c r="I23" s="23" t="e">
        <f t="shared" si="1"/>
        <v>#N/A</v>
      </c>
      <c r="Q23" s="45">
        <v>16</v>
      </c>
      <c r="R23" s="46">
        <v>17</v>
      </c>
      <c r="T23" s="45" t="e">
        <f>VLOOKUP($C$11,'sufficiency ranges '!$A$4:$AC$104,Q23,TRUE)</f>
        <v>#N/A</v>
      </c>
      <c r="U23" s="45" t="e">
        <f>VLOOKUP($C$11,'sufficiency ranges '!$A$4:$AC$104,R23,TRUE)</f>
        <v>#N/A</v>
      </c>
      <c r="W23" s="45">
        <v>1</v>
      </c>
      <c r="X23" s="45">
        <v>2</v>
      </c>
      <c r="Z23" s="45" t="e">
        <f t="shared" si="2"/>
        <v>#N/A</v>
      </c>
      <c r="AA23" s="45" t="e">
        <f t="shared" si="3"/>
        <v>#N/A</v>
      </c>
    </row>
    <row r="24" spans="1:27" ht="15.75">
      <c r="A24" s="10">
        <v>23</v>
      </c>
      <c r="B24" s="9" t="s">
        <v>199</v>
      </c>
      <c r="C24" s="12" t="e">
        <f>VLOOKUP($H$8,data!$B$7:$AA$31,A24,TRUE)</f>
        <v>#N/A</v>
      </c>
      <c r="D24" s="11" t="s">
        <v>222</v>
      </c>
      <c r="E24" s="8" t="e">
        <f t="shared" si="0"/>
        <v>#N/A</v>
      </c>
      <c r="F24" s="6"/>
      <c r="G24" s="6"/>
      <c r="I24" s="23" t="e">
        <f t="shared" si="1"/>
        <v>#N/A</v>
      </c>
      <c r="Q24" s="45">
        <v>20</v>
      </c>
      <c r="R24" s="46">
        <v>21</v>
      </c>
      <c r="T24" s="45" t="e">
        <f>VLOOKUP($C$11,'sufficiency ranges '!$A$4:$AC$104,Q24,TRUE)</f>
        <v>#N/A</v>
      </c>
      <c r="U24" s="45" t="e">
        <f>VLOOKUP($C$11,'sufficiency ranges '!$A$4:$AC$104,R24,TRUE)</f>
        <v>#N/A</v>
      </c>
      <c r="W24" s="45">
        <v>1</v>
      </c>
      <c r="X24" s="45">
        <v>2</v>
      </c>
      <c r="Z24" s="45" t="e">
        <f t="shared" si="2"/>
        <v>#N/A</v>
      </c>
      <c r="AA24" s="45" t="e">
        <f t="shared" si="3"/>
        <v>#N/A</v>
      </c>
    </row>
    <row r="25" spans="1:27" ht="15.75">
      <c r="A25" s="10">
        <v>24</v>
      </c>
      <c r="B25" s="9" t="s">
        <v>200</v>
      </c>
      <c r="C25" s="12" t="e">
        <f>VLOOKUP($H$8,data!$B$7:$AA$31,A25,TRUE)</f>
        <v>#N/A</v>
      </c>
      <c r="D25" s="11" t="s">
        <v>222</v>
      </c>
      <c r="E25" s="8" t="e">
        <f t="shared" si="0"/>
        <v>#N/A</v>
      </c>
      <c r="F25" s="6"/>
      <c r="G25" s="6"/>
      <c r="I25" s="23" t="e">
        <f t="shared" si="1"/>
        <v>#N/A</v>
      </c>
      <c r="Q25" s="45">
        <v>18</v>
      </c>
      <c r="R25" s="46">
        <v>19</v>
      </c>
      <c r="T25" s="45" t="e">
        <f>VLOOKUP($C$11,'sufficiency ranges '!$A$4:$AC$104,Q25,TRUE)</f>
        <v>#N/A</v>
      </c>
      <c r="U25" s="45" t="e">
        <f>VLOOKUP($C$11,'sufficiency ranges '!$A$4:$AC$104,R25,TRUE)</f>
        <v>#N/A</v>
      </c>
      <c r="W25" s="45">
        <v>1</v>
      </c>
      <c r="X25" s="45">
        <v>2</v>
      </c>
      <c r="Z25" s="45" t="e">
        <f t="shared" si="2"/>
        <v>#N/A</v>
      </c>
      <c r="AA25" s="45" t="e">
        <f t="shared" si="3"/>
        <v>#N/A</v>
      </c>
    </row>
    <row r="26" spans="1:27" ht="15.75">
      <c r="A26" s="10">
        <v>25</v>
      </c>
      <c r="B26" s="9" t="s">
        <v>198</v>
      </c>
      <c r="C26" s="12" t="e">
        <f>VLOOKUP($H$8,data!$B$7:$AA$31,A26,TRUE)</f>
        <v>#N/A</v>
      </c>
      <c r="D26" s="11" t="s">
        <v>222</v>
      </c>
      <c r="E26" s="8" t="e">
        <f t="shared" si="0"/>
        <v>#N/A</v>
      </c>
      <c r="F26" s="6"/>
      <c r="G26" s="6"/>
      <c r="I26" s="23" t="e">
        <f t="shared" si="1"/>
        <v>#N/A</v>
      </c>
      <c r="Q26" s="45">
        <v>22</v>
      </c>
      <c r="R26" s="46">
        <v>23</v>
      </c>
      <c r="T26" s="45" t="e">
        <f>VLOOKUP($C$11,'sufficiency ranges '!$A$4:$AC$104,Q26,TRUE)</f>
        <v>#N/A</v>
      </c>
      <c r="U26" s="45" t="e">
        <f>VLOOKUP($C$11,'sufficiency ranges '!$A$4:$AC$104,R26,TRUE)</f>
        <v>#N/A</v>
      </c>
      <c r="W26" s="45">
        <v>1</v>
      </c>
      <c r="X26" s="45">
        <v>2</v>
      </c>
      <c r="Z26" s="45" t="e">
        <f t="shared" si="2"/>
        <v>#N/A</v>
      </c>
      <c r="AA26" s="45" t="e">
        <f t="shared" si="3"/>
        <v>#N/A</v>
      </c>
    </row>
    <row r="27" spans="1:27" ht="15.75">
      <c r="A27" s="10">
        <v>26</v>
      </c>
      <c r="B27" s="13" t="s">
        <v>197</v>
      </c>
      <c r="C27" s="18" t="e">
        <f>VLOOKUP($H$8,data!$B$7:$AA$31,A27,TRUE)</f>
        <v>#N/A</v>
      </c>
      <c r="D27" s="14" t="s">
        <v>222</v>
      </c>
      <c r="E27" s="15" t="e">
        <f t="shared" si="0"/>
        <v>#N/A</v>
      </c>
      <c r="F27" s="6"/>
      <c r="G27" s="6"/>
      <c r="I27" s="23" t="e">
        <f t="shared" si="1"/>
        <v>#N/A</v>
      </c>
      <c r="Q27" s="45">
        <v>24</v>
      </c>
      <c r="R27" s="46">
        <v>25</v>
      </c>
      <c r="T27" s="45" t="e">
        <f>VLOOKUP($C$11,'sufficiency ranges '!$A$4:$AC$104,Q27,TRUE)</f>
        <v>#N/A</v>
      </c>
      <c r="U27" s="45" t="e">
        <f>VLOOKUP($C$11,'sufficiency ranges '!$A$4:$AC$104,R27,TRUE)</f>
        <v>#N/A</v>
      </c>
      <c r="W27" s="45">
        <v>1</v>
      </c>
      <c r="X27" s="45">
        <v>2</v>
      </c>
      <c r="Z27" s="45" t="e">
        <f t="shared" si="2"/>
        <v>#N/A</v>
      </c>
      <c r="AA27" s="45" t="e">
        <f t="shared" si="3"/>
        <v>#N/A</v>
      </c>
    </row>
    <row r="28" spans="1:27" ht="17.25" customHeight="1">
      <c r="B28" s="17" t="s">
        <v>225</v>
      </c>
      <c r="C28" s="7"/>
      <c r="D28" s="7"/>
      <c r="E28" s="7"/>
      <c r="F28" s="6"/>
      <c r="G28" s="6"/>
      <c r="I28" s="23">
        <f t="shared" ref="I28" si="4">C28*Z28+AA28</f>
        <v>0</v>
      </c>
    </row>
    <row r="29" spans="1:27">
      <c r="B29" s="50" t="s">
        <v>522</v>
      </c>
      <c r="C29" s="51"/>
      <c r="D29" s="51"/>
      <c r="E29" s="52" t="e">
        <f>VLOOKUP($C$11,'sufficiency ranges '!$A$4:$C$104,2,TRUE)</f>
        <v>#N/A</v>
      </c>
      <c r="G29" s="6"/>
    </row>
    <row r="30" spans="1:27">
      <c r="B30" s="50" t="s">
        <v>521</v>
      </c>
      <c r="E30" s="52" t="e">
        <f>VLOOKUP($C$11,'sufficiency ranges '!$A$4:$C$104,3,TRUE)</f>
        <v>#N/A</v>
      </c>
    </row>
    <row r="31" spans="1:27" ht="6.75" customHeight="1">
      <c r="B31" s="50"/>
      <c r="F31" s="52"/>
      <c r="I31" s="81"/>
      <c r="J31" s="49"/>
      <c r="K31" s="49"/>
    </row>
    <row r="32" spans="1:27" ht="15.75">
      <c r="B32" s="60" t="s">
        <v>252</v>
      </c>
      <c r="C32" s="56"/>
      <c r="D32" s="56"/>
      <c r="E32" s="56"/>
      <c r="F32" s="54"/>
      <c r="G32" s="54"/>
      <c r="H32" s="54"/>
      <c r="I32" s="81"/>
      <c r="J32" s="49"/>
      <c r="K32" s="49"/>
    </row>
    <row r="33" spans="1:35">
      <c r="B33" s="41" t="s">
        <v>513</v>
      </c>
      <c r="C33" s="42" t="e">
        <f>VLOOKUP($H$8,data!$B$7:$AN$31,27,TRUE)</f>
        <v>#N/A</v>
      </c>
      <c r="D33" s="41" t="s">
        <v>221</v>
      </c>
      <c r="E33" s="42" t="e">
        <f>VLOOKUP($H$8,data!$B$7:$AN$31,28,TRUE)</f>
        <v>#N/A</v>
      </c>
      <c r="F33" s="26"/>
      <c r="G33" s="26"/>
      <c r="H33" s="26"/>
      <c r="I33" s="81"/>
      <c r="J33" s="49"/>
      <c r="K33" s="49"/>
      <c r="AI33" s="45" t="s">
        <v>257</v>
      </c>
    </row>
    <row r="34" spans="1:35" ht="9.75" customHeight="1">
      <c r="B34" s="44"/>
      <c r="C34" s="10" t="e">
        <f>IF(C33="Organic",9,8)</f>
        <v>#N/A</v>
      </c>
      <c r="L34" s="45" t="s">
        <v>214</v>
      </c>
    </row>
    <row r="35" spans="1:35" ht="8.1" hidden="1" customHeight="1">
      <c r="B35" s="44"/>
    </row>
    <row r="36" spans="1:35">
      <c r="B36" s="1" t="s">
        <v>219</v>
      </c>
      <c r="C36" s="1" t="s">
        <v>214</v>
      </c>
      <c r="D36" s="1" t="s">
        <v>223</v>
      </c>
      <c r="N36" s="47" t="s">
        <v>423</v>
      </c>
      <c r="P36" s="48" t="e">
        <f>VLOOKUP(E33,'P and K demand'!A7:I99,7,TRUE)</f>
        <v>#N/A</v>
      </c>
      <c r="W36" s="45" t="s">
        <v>206</v>
      </c>
      <c r="AF36" s="84" t="s">
        <v>538</v>
      </c>
    </row>
    <row r="37" spans="1:35" ht="15.75">
      <c r="A37" s="10">
        <v>29</v>
      </c>
      <c r="B37" s="26" t="s">
        <v>249</v>
      </c>
      <c r="C37" s="26" t="e">
        <f t="shared" ref="C37:C47" si="5">IF(L37=0," ",L37)</f>
        <v>#N/A</v>
      </c>
      <c r="D37" s="26"/>
      <c r="E37" s="26" t="e">
        <f>"Target pH = "&amp;VLOOKUP(E33,'P and K demand'!$A$5:$I$99,C34,FALSE)</f>
        <v>#N/A</v>
      </c>
      <c r="F37" s="43"/>
      <c r="K37" s="45" t="s">
        <v>249</v>
      </c>
      <c r="L37" s="63" t="e">
        <f>VLOOKUP($H$8,data!$B$7:AS$37,A37,TRUE)</f>
        <v>#N/A</v>
      </c>
      <c r="V37" s="45" t="s">
        <v>472</v>
      </c>
      <c r="W37" s="98" t="s">
        <v>426</v>
      </c>
      <c r="X37" s="98" t="s">
        <v>427</v>
      </c>
      <c r="Y37" s="98" t="s">
        <v>428</v>
      </c>
      <c r="Z37" s="98" t="s">
        <v>429</v>
      </c>
      <c r="AA37" s="98" t="s">
        <v>430</v>
      </c>
      <c r="AF37" s="45" t="s">
        <v>528</v>
      </c>
    </row>
    <row r="38" spans="1:35" ht="15.75">
      <c r="A38" s="10">
        <v>30</v>
      </c>
      <c r="B38" t="s">
        <v>546</v>
      </c>
      <c r="C38" s="40" t="e">
        <f t="shared" si="5"/>
        <v>#N/A</v>
      </c>
      <c r="K38" s="45" t="s">
        <v>545</v>
      </c>
      <c r="L38" s="63" t="e">
        <f>VLOOKUP($H$8,data!$B$7:AT$37,30,TRUE)</f>
        <v>#N/A</v>
      </c>
      <c r="N38" s="98" t="s">
        <v>426</v>
      </c>
      <c r="O38" s="98" t="s">
        <v>516</v>
      </c>
      <c r="P38" s="98" t="s">
        <v>518</v>
      </c>
      <c r="Q38" s="98" t="s">
        <v>519</v>
      </c>
      <c r="R38" s="98" t="s">
        <v>512</v>
      </c>
      <c r="S38" s="98" t="s">
        <v>520</v>
      </c>
      <c r="V38" s="45">
        <v>1</v>
      </c>
      <c r="W38" s="45" t="e">
        <f>IF($C$33="Sandy",'P and K tables'!K12,IF($C$33="Loamy",'P and K tables'!K18,IF($C$33="Organic",'P and K tables'!K12," ")))</f>
        <v>#N/A</v>
      </c>
      <c r="X38" s="45" t="e">
        <f>IF($C$33="Sandy",'P and K tables'!L12,IF($C$33="Loamy",'P and K tables'!L18,IF($C$33="Organic",'P and K tables'!L12," ")))</f>
        <v>#N/A</v>
      </c>
      <c r="Y38" s="45" t="e">
        <f>IF($C$33="Sandy",'P and K tables'!M12,IF($C$33="Loamy",'P and K tables'!M18,IF($C$33="Organic",'P and K tables'!M12," ")))</f>
        <v>#N/A</v>
      </c>
      <c r="Z38" s="45" t="e">
        <f>IF($C$33="Sandy",'P and K tables'!N12,IF($C$33="Loamy",'P and K tables'!N18,IF($C$33="Organic",'P and K tables'!N12," ")))</f>
        <v>#N/A</v>
      </c>
      <c r="AA38" s="45" t="e">
        <f>IF($C$33="Sandy",'P and K tables'!O12,IF($C$33="Loamy",'P and K tables'!O18,IF($C$33="Organic",'P and K tables'!O12," ")))</f>
        <v>#N/A</v>
      </c>
      <c r="AF38" s="45" t="s">
        <v>445</v>
      </c>
    </row>
    <row r="39" spans="1:35" ht="15.75">
      <c r="A39" s="10">
        <v>31</v>
      </c>
      <c r="B39" t="s">
        <v>250</v>
      </c>
      <c r="C39" t="e">
        <f t="shared" si="5"/>
        <v>#N/A</v>
      </c>
      <c r="D39" t="e">
        <f>IF(C39&gt;0.01,"%"," ")</f>
        <v>#N/A</v>
      </c>
      <c r="K39" s="45" t="s">
        <v>250</v>
      </c>
      <c r="L39" s="63" t="e">
        <f>VLOOKUP($H$8,data!$B$7:AS$37,A39,TRUE)</f>
        <v>#N/A</v>
      </c>
      <c r="N39" s="45" t="e">
        <f>IF($P$36=1,W38,IF($P$36=2,W39,IF($P$36=3,W40,IF($P$36=4,W41,"error"))))</f>
        <v>#N/A</v>
      </c>
      <c r="O39" s="45" t="e">
        <f>IF($P$36=1,X38,IF($P$36=2,X39,IF($P$36=3,X40,IF($P$36=4,X41,"error"))))</f>
        <v>#N/A</v>
      </c>
      <c r="P39" s="45" t="e">
        <f>IF($P$36=1,Y38,IF($P$36=2,Y39,IF($P$36=3,Y40,IF($P$36=4,Y41,"error"))))</f>
        <v>#N/A</v>
      </c>
      <c r="Q39" s="45" t="e">
        <f>IF($P$36=1,Z38,IF($P$36=2,Z39,IF($P$36=3,Z40,IF($P$36=4,Z41,"error"))))</f>
        <v>#N/A</v>
      </c>
      <c r="S39" s="45" t="e">
        <f>IF($P$36=1,AA38,IF($P$36=2,AA39,IF($P$36=3,AA40,IF($P$36=4,AA41,"error"))))</f>
        <v>#N/A</v>
      </c>
      <c r="V39" s="45">
        <v>2</v>
      </c>
      <c r="W39" s="45" t="e">
        <f>IF($C$33="Sandy",'P and K tables'!K13,IF($C$33="Loamy",'P and K tables'!K19,IF($C$33="Organic",'P and K tables'!K13," ")))</f>
        <v>#N/A</v>
      </c>
      <c r="X39" s="45" t="e">
        <f>IF($C$33="Sandy",'P and K tables'!L13,IF($C$33="Loamy",'P and K tables'!L19,IF($C$33="Organic",'P and K tables'!L13," ")))</f>
        <v>#N/A</v>
      </c>
      <c r="Y39" s="45" t="e">
        <f>IF($C$33="Sandy",'P and K tables'!M13,IF($C$33="Loamy",'P and K tables'!M19,IF($C$33="Organic",'P and K tables'!M13," ")))</f>
        <v>#N/A</v>
      </c>
      <c r="Z39" s="45" t="e">
        <f>IF($C$33="Sandy",'P and K tables'!N13,IF($C$33="Loamy",'P and K tables'!N19,IF($C$33="Organic",'P and K tables'!N13," ")))</f>
        <v>#N/A</v>
      </c>
      <c r="AA39" s="45" t="e">
        <f>IF($C$33="Sandy",'P and K tables'!O13,IF($C$33="Loamy",'P and K tables'!O19,IF($C$33="Organic",'P and K tables'!O13," ")))</f>
        <v>#N/A</v>
      </c>
      <c r="AF39" s="45" t="s">
        <v>526</v>
      </c>
    </row>
    <row r="40" spans="1:35" ht="15.75">
      <c r="A40" s="10">
        <v>32</v>
      </c>
      <c r="B40" t="s">
        <v>251</v>
      </c>
      <c r="C40" t="e">
        <f t="shared" si="5"/>
        <v>#N/A</v>
      </c>
      <c r="D40" t="e">
        <f>IF(C40&gt;0.01,"ppm"," ")</f>
        <v>#N/A</v>
      </c>
      <c r="E40" t="e">
        <f>IF(C40=" "," ",IF(C40&lt;N39,$N$38,IF(C40&lt;O39,$O$38,IF(C40&lt;P39,$P$38,IF(C40&lt;Q39,$Q$38,IF(C40&gt;S39,$S$38))))))</f>
        <v>#N/A</v>
      </c>
      <c r="K40" s="45" t="s">
        <v>251</v>
      </c>
      <c r="L40" s="63" t="e">
        <f>VLOOKUP($H$8,data!$B$7:AS$37,A40,TRUE)</f>
        <v>#N/A</v>
      </c>
      <c r="N40" s="45" t="e">
        <f t="shared" ref="N40:S40" si="6">IF($P$36=1,W45,IF($P$36=2,W46,IF($P$36=3,W47,IF($P$36=4,W48,"error"))))</f>
        <v>#N/A</v>
      </c>
      <c r="O40" s="45" t="e">
        <f t="shared" si="6"/>
        <v>#N/A</v>
      </c>
      <c r="P40" s="45" t="e">
        <f t="shared" si="6"/>
        <v>#N/A</v>
      </c>
      <c r="Q40" s="45" t="e">
        <f t="shared" si="6"/>
        <v>#N/A</v>
      </c>
      <c r="R40" s="45" t="e">
        <f t="shared" si="6"/>
        <v>#N/A</v>
      </c>
      <c r="S40" s="45" t="e">
        <f t="shared" si="6"/>
        <v>#N/A</v>
      </c>
      <c r="V40" s="45">
        <v>3</v>
      </c>
      <c r="W40" s="45" t="e">
        <f>IF($C$33="Sandy",'P and K tables'!K14,IF($C$33="Loamy",'P and K tables'!K20,IF($C$33="Organic",'P and K tables'!K14," ")))</f>
        <v>#N/A</v>
      </c>
      <c r="X40" s="45" t="e">
        <f>IF($C$33="Sandy",'P and K tables'!L14,IF($C$33="Loamy",'P and K tables'!L20,IF($C$33="Organic",'P and K tables'!L14," ")))</f>
        <v>#N/A</v>
      </c>
      <c r="Y40" s="45" t="e">
        <f>IF($C$33="Sandy",'P and K tables'!M14,IF($C$33="Loamy",'P and K tables'!M20,IF($C$33="Organic",'P and K tables'!M14," ")))</f>
        <v>#N/A</v>
      </c>
      <c r="Z40" s="45" t="e">
        <f>IF($C$33="Sandy",'P and K tables'!N14,IF($C$33="Loamy",'P and K tables'!N20,IF($C$33="Organic",'P and K tables'!N14," ")))</f>
        <v>#N/A</v>
      </c>
      <c r="AA40" s="45" t="e">
        <f>IF($C$33="Sandy",'P and K tables'!O14,IF($C$33="Loamy",'P and K tables'!O20,IF($C$33="Organic",'P and K tables'!O14," ")))</f>
        <v>#N/A</v>
      </c>
    </row>
    <row r="41" spans="1:35" ht="15.75">
      <c r="A41" s="10">
        <v>33</v>
      </c>
      <c r="B41" t="s">
        <v>205</v>
      </c>
      <c r="C41" t="e">
        <f t="shared" si="5"/>
        <v>#N/A</v>
      </c>
      <c r="D41" t="e">
        <f>IF(C41&gt;0.01,"ppm"," ")</f>
        <v>#N/A</v>
      </c>
      <c r="E41" t="e">
        <f>IF(C41=" "," ",IF(C41&lt;N40,$N$38,IF(C41&lt;O40,$O$38,IF(C41&lt;P40,$P$38,IF(C41&lt;Q40,$Q$38,IF(C41&lt;R40,R38,IF(C41&gt;S40,$S$38)))))))</f>
        <v>#N/A</v>
      </c>
      <c r="K41" s="45" t="s">
        <v>205</v>
      </c>
      <c r="L41" s="63" t="e">
        <f>VLOOKUP($H$8,data!$B$7:AS$37,A41,TRUE)</f>
        <v>#N/A</v>
      </c>
      <c r="M41" s="72"/>
      <c r="N41" s="45" t="e">
        <f>IF($C$33="Sandy",V52,IF($C$33="Loamy",V60,IF($C$33="Organic",V70," ")))</f>
        <v>#N/A</v>
      </c>
      <c r="O41" s="45" t="e">
        <f t="shared" ref="O41:Q46" si="7">IF($C$33="Sandy",W52,IF($C$33="Loamy",W60,IF($C$33="Organic",W70," ")))</f>
        <v>#N/A</v>
      </c>
      <c r="P41" s="45" t="e">
        <f t="shared" si="7"/>
        <v>#N/A</v>
      </c>
      <c r="V41" s="45">
        <v>4</v>
      </c>
      <c r="W41" s="45" t="e">
        <f>IF($C$33="Sandy",'P and K tables'!K15,IF($C$33="Loamy",'P and K tables'!K21,IF($C$33="Organic",'P and K tables'!K15," ")))</f>
        <v>#N/A</v>
      </c>
      <c r="X41" s="45" t="e">
        <f>IF($C$33="Sandy",'P and K tables'!L15,IF($C$33="Loamy",'P and K tables'!L21,IF($C$33="Organic",'P and K tables'!L15," ")))</f>
        <v>#N/A</v>
      </c>
      <c r="Y41" s="45" t="e">
        <f>IF($C$33="Sandy",'P and K tables'!M15,IF($C$33="Loamy",'P and K tables'!M21,IF($C$33="Organic",'P and K tables'!M15," ")))</f>
        <v>#N/A</v>
      </c>
      <c r="Z41" s="45" t="e">
        <f>IF($C$33="Sandy",'P and K tables'!N15,IF($C$33="Loamy",'P and K tables'!N21,IF($C$33="Organic",'P and K tables'!N15," ")))</f>
        <v>#N/A</v>
      </c>
      <c r="AA41" s="45" t="e">
        <f>IF($C$33="Sandy",'P and K tables'!O15,IF($C$33="Loamy",'P and K tables'!O21,IF($C$33="Organic",'P and K tables'!O15," ")))</f>
        <v>#N/A</v>
      </c>
    </row>
    <row r="42" spans="1:35" ht="15.75">
      <c r="A42" s="10">
        <v>34</v>
      </c>
      <c r="B42" t="s">
        <v>204</v>
      </c>
      <c r="C42" t="e">
        <f t="shared" si="5"/>
        <v>#N/A</v>
      </c>
      <c r="D42" t="e">
        <f t="shared" ref="D42:D47" si="8">IF(L42=0," ","ppm")</f>
        <v>#N/A</v>
      </c>
      <c r="E42" t="e">
        <f>IF(C42=" "," ",IF(C42&lt;N41,$N$38,IF(C42&lt;O41,$O$38,IF(C42&lt;P41,$P$38,IF(C42&gt;P41,$Q$38, " ")))))</f>
        <v>#N/A</v>
      </c>
      <c r="K42" s="45" t="s">
        <v>204</v>
      </c>
      <c r="L42" s="63" t="e">
        <f>VLOOKUP($H$8,data!$B$7:AS$37,A42,TRUE)</f>
        <v>#N/A</v>
      </c>
      <c r="M42" s="71"/>
      <c r="N42" s="45" t="e">
        <f t="shared" ref="N42:N46" si="9">IF($C$33="Sandy",V53,IF($C$33="Loamy",V61,IF($C$33="Organic",V71," ")))</f>
        <v>#N/A</v>
      </c>
      <c r="O42" s="45" t="e">
        <f t="shared" si="7"/>
        <v>#N/A</v>
      </c>
      <c r="P42" s="45" t="e">
        <f t="shared" si="7"/>
        <v>#N/A</v>
      </c>
    </row>
    <row r="43" spans="1:35" ht="15.75">
      <c r="A43" s="10">
        <v>35</v>
      </c>
      <c r="B43" t="s">
        <v>203</v>
      </c>
      <c r="C43" t="e">
        <f t="shared" si="5"/>
        <v>#N/A</v>
      </c>
      <c r="D43" t="e">
        <f t="shared" si="8"/>
        <v>#N/A</v>
      </c>
      <c r="E43" t="e">
        <f>IF(C43=" "," ",IF(C43&lt;N42,$N$38,IF(C43&lt;O42,$O$38,IF(C43&lt;P42,$P$38,IF(C43&gt;P42,$Q$38, " ")))))</f>
        <v>#N/A</v>
      </c>
      <c r="K43" s="45" t="s">
        <v>203</v>
      </c>
      <c r="L43" s="63" t="e">
        <f>VLOOKUP($H$8,data!$B$7:AS$37,A43,TRUE)</f>
        <v>#N/A</v>
      </c>
      <c r="M43" s="71"/>
      <c r="N43" s="45" t="e">
        <f t="shared" si="9"/>
        <v>#N/A</v>
      </c>
      <c r="O43" s="45" t="e">
        <f t="shared" si="7"/>
        <v>#N/A</v>
      </c>
      <c r="P43" s="45" t="e">
        <f t="shared" si="7"/>
        <v>#N/A</v>
      </c>
      <c r="Q43" s="45" t="e">
        <f t="shared" si="7"/>
        <v>#N/A</v>
      </c>
      <c r="W43" s="45" t="s">
        <v>205</v>
      </c>
    </row>
    <row r="44" spans="1:35" ht="15.75">
      <c r="A44" s="10">
        <v>36</v>
      </c>
      <c r="B44" t="s">
        <v>200</v>
      </c>
      <c r="C44" t="e">
        <f t="shared" si="5"/>
        <v>#N/A</v>
      </c>
      <c r="D44" t="e">
        <f t="shared" si="8"/>
        <v>#N/A</v>
      </c>
      <c r="E44" t="e">
        <f>IF(C44=" "," ",IF(C44&lt;N43,$N$38,IF(C44&lt;O43,$O$38,IF(C44&lt;P43,$P$38,IF(C44&lt;Q43,$Q$38,IF(C44&gt;Q43,$R$38," "))))))</f>
        <v>#N/A</v>
      </c>
      <c r="J44" s="49"/>
      <c r="K44" s="45" t="s">
        <v>200</v>
      </c>
      <c r="L44" s="63" t="e">
        <f>VLOOKUP($H$8,data!$B$7:AS$37,A44,TRUE)</f>
        <v>#N/A</v>
      </c>
      <c r="M44" s="71"/>
      <c r="N44" s="45" t="e">
        <f t="shared" si="9"/>
        <v>#N/A</v>
      </c>
      <c r="O44" s="45" t="e">
        <f t="shared" si="7"/>
        <v>#N/A</v>
      </c>
      <c r="P44" s="45" t="e">
        <f t="shared" si="7"/>
        <v>#N/A</v>
      </c>
      <c r="Q44" s="45" t="e">
        <f t="shared" si="7"/>
        <v>#N/A</v>
      </c>
      <c r="V44" s="45" t="s">
        <v>472</v>
      </c>
      <c r="W44" s="98" t="s">
        <v>426</v>
      </c>
      <c r="X44" s="98" t="s">
        <v>427</v>
      </c>
      <c r="Y44" s="98" t="s">
        <v>428</v>
      </c>
      <c r="Z44" s="98" t="s">
        <v>429</v>
      </c>
      <c r="AA44" s="98" t="s">
        <v>512</v>
      </c>
      <c r="AB44" s="98" t="s">
        <v>430</v>
      </c>
      <c r="AG44" s="49"/>
      <c r="AH44" s="49"/>
    </row>
    <row r="45" spans="1:35" ht="15.75">
      <c r="A45" s="10">
        <v>37</v>
      </c>
      <c r="B45" t="s">
        <v>199</v>
      </c>
      <c r="C45" t="e">
        <f t="shared" si="5"/>
        <v>#N/A</v>
      </c>
      <c r="D45" t="e">
        <f t="shared" si="8"/>
        <v>#N/A</v>
      </c>
      <c r="E45" t="e">
        <f>IF(C45=" "," ",IF(C45&lt;N44,$N$38,IF(C45&lt;O44,$O$38,IF(C45&lt;P44,$P$38,IF(C45&lt;Q44,$Q$38,IF(C45&gt;Q44,$R$38," "))))))</f>
        <v>#N/A</v>
      </c>
      <c r="J45" s="49"/>
      <c r="K45" s="49" t="s">
        <v>199</v>
      </c>
      <c r="L45" s="63" t="e">
        <f>VLOOKUP($H$8,data!$B$7:AS$37,A45,TRUE)</f>
        <v>#N/A</v>
      </c>
      <c r="M45" s="71"/>
      <c r="N45" s="45" t="e">
        <f>IF($C$33="Sandy",V56,IF($C$33="Loamy",V64,IF($C$33="Organic",V74," ")))</f>
        <v>#N/A</v>
      </c>
      <c r="O45" s="45" t="e">
        <f t="shared" si="7"/>
        <v>#N/A</v>
      </c>
      <c r="P45" s="45" t="e">
        <f t="shared" si="7"/>
        <v>#N/A</v>
      </c>
      <c r="Q45" s="45" t="e">
        <f t="shared" si="7"/>
        <v>#N/A</v>
      </c>
      <c r="V45" s="45">
        <v>1</v>
      </c>
      <c r="W45" s="45" t="e">
        <f>IF($C$33="Sandy",'P and K tables'!K32,IF($C$33="Loamy",'P and K tables'!K39,IF($C$33="Organic",'P and K tables'!K32," ")))</f>
        <v>#N/A</v>
      </c>
      <c r="X45" s="45" t="e">
        <f>IF($C$33="Sandy",'P and K tables'!L32,IF($C$33="Loamy",'P and K tables'!L39,IF($C$33="Organic",'P and K tables'!L32," ")))</f>
        <v>#N/A</v>
      </c>
      <c r="Y45" s="45" t="e">
        <f>IF($C$33="Sandy",'P and K tables'!M32,IF($C$33="Loamy",'P and K tables'!M39,IF($C$33="Organic",'P and K tables'!M32," ")))</f>
        <v>#N/A</v>
      </c>
      <c r="Z45" s="45" t="e">
        <f>IF($C$33="Sandy",'P and K tables'!N32,IF($C$33="Loamy",'P and K tables'!N39,IF($C$33="Organic",'P and K tables'!N32," ")))</f>
        <v>#N/A</v>
      </c>
      <c r="AA45" s="45" t="e">
        <f>IF($C$33="Sandy",'P and K tables'!O32,IF($C$33="Loamy",'P and K tables'!O39,IF($C$33="Organic",'P and K tables'!O32," ")))</f>
        <v>#N/A</v>
      </c>
      <c r="AB45" s="45" t="e">
        <f>IF($C$33="Sandy",'P and K tables'!P32,IF($C$33="Loamy",'P and K tables'!P39,IF($C$33="Organic",'P and K tables'!P32," ")))</f>
        <v>#N/A</v>
      </c>
      <c r="AG45" s="49"/>
      <c r="AH45" s="49"/>
    </row>
    <row r="46" spans="1:35" ht="15.75">
      <c r="A46" s="10">
        <v>38</v>
      </c>
      <c r="B46" t="s">
        <v>201</v>
      </c>
      <c r="C46" t="e">
        <f t="shared" si="5"/>
        <v>#N/A</v>
      </c>
      <c r="D46" t="e">
        <f t="shared" si="8"/>
        <v>#N/A</v>
      </c>
      <c r="E46" t="e">
        <f>IF(C46=" "," ",IF(C46&lt;N45,$N$38,IF(C46&lt;O45,$O$38,IF(C46&lt;P45,$P$38,IF(C46&lt;Q45,$Q$38,IF(C46&gt;Q45,$R$38," "))))))</f>
        <v>#N/A</v>
      </c>
      <c r="J46" s="49"/>
      <c r="K46" s="49" t="s">
        <v>201</v>
      </c>
      <c r="L46" s="63" t="e">
        <f>VLOOKUP($H$8,data!$B$7:AS$37,A46,TRUE)</f>
        <v>#N/A</v>
      </c>
      <c r="M46" s="71"/>
      <c r="N46" s="45" t="e">
        <f t="shared" si="9"/>
        <v>#N/A</v>
      </c>
      <c r="O46" s="45" t="e">
        <f t="shared" si="7"/>
        <v>#N/A</v>
      </c>
      <c r="P46" s="45" t="e">
        <f t="shared" si="7"/>
        <v>#N/A</v>
      </c>
      <c r="Q46" s="45" t="e">
        <f t="shared" si="7"/>
        <v>#N/A</v>
      </c>
      <c r="V46" s="45">
        <v>2</v>
      </c>
      <c r="W46" s="45" t="e">
        <f>IF($C$33="Sandy",'P and K tables'!K33,IF($C$33="Loamy",'P and K tables'!K40,IF($C$33="Organic",'P and K tables'!K33," ")))</f>
        <v>#N/A</v>
      </c>
      <c r="X46" s="45" t="e">
        <f>IF($C$33="Sandy",'P and K tables'!L33,IF($C$33="Loamy",'P and K tables'!L40,IF($C$33="Organic",'P and K tables'!L33," ")))</f>
        <v>#N/A</v>
      </c>
      <c r="Y46" s="45" t="e">
        <f>IF($C$33="Sandy",'P and K tables'!M33,IF($C$33="Loamy",'P and K tables'!M40,IF($C$33="Organic",'P and K tables'!M33," ")))</f>
        <v>#N/A</v>
      </c>
      <c r="Z46" s="45" t="e">
        <f>IF($C$33="Sandy",'P and K tables'!N33,IF($C$33="Loamy",'P and K tables'!N40,IF($C$33="Organic",'P and K tables'!N33," ")))</f>
        <v>#N/A</v>
      </c>
      <c r="AA46" s="45" t="e">
        <f>IF($C$33="Sandy",'P and K tables'!O33,IF($C$33="Loamy",'P and K tables'!O40,IF($C$33="Organic",'P and K tables'!O33," ")))</f>
        <v>#N/A</v>
      </c>
      <c r="AB46" s="45" t="e">
        <f>IF($C$33="Sandy",'P and K tables'!P33,IF($C$33="Loamy",'P and K tables'!P40,IF($C$33="Organic",'P and K tables'!P33," ")))</f>
        <v>#N/A</v>
      </c>
      <c r="AG46" s="49"/>
      <c r="AH46" s="49"/>
    </row>
    <row r="47" spans="1:35" ht="15.75">
      <c r="A47" s="10">
        <v>39</v>
      </c>
      <c r="B47" s="25" t="s">
        <v>259</v>
      </c>
      <c r="C47" s="25" t="e">
        <f t="shared" si="5"/>
        <v>#N/A</v>
      </c>
      <c r="D47" s="25" t="e">
        <f t="shared" si="8"/>
        <v>#N/A</v>
      </c>
      <c r="E47" s="25" t="e">
        <f>IF(C47=" "," ",IF(C47&lt;N46,$N$38,IF(C47&lt;O46,$O$38,IF(C47&lt;P46,$P$38,IF(C47&lt;Q46,$Q$38,IF(C47&gt;Q46,$R$38," "))))))</f>
        <v>#N/A</v>
      </c>
      <c r="F47" s="25"/>
      <c r="G47" s="25"/>
      <c r="H47" s="25"/>
      <c r="I47" s="81"/>
      <c r="J47" s="49"/>
      <c r="K47" s="49" t="s">
        <v>259</v>
      </c>
      <c r="L47" s="63" t="e">
        <f>VLOOKUP($H$8,data!$B$7:AS$37,A47,TRUE)</f>
        <v>#N/A</v>
      </c>
      <c r="V47" s="45">
        <v>3</v>
      </c>
      <c r="W47" s="45" t="e">
        <f>IF($C$33="Sandy",'P and K tables'!K34,IF($C$33="Loamy",'P and K tables'!K41,IF($C$33="Organic",'P and K tables'!K34," ")))</f>
        <v>#N/A</v>
      </c>
      <c r="X47" s="45" t="e">
        <f>IF($C$33="Sandy",'P and K tables'!L34,IF($C$33="Loamy",'P and K tables'!L41,IF($C$33="Organic",'P and K tables'!L34," ")))</f>
        <v>#N/A</v>
      </c>
      <c r="Y47" s="45" t="e">
        <f>IF($C$33="Sandy",'P and K tables'!M34,IF($C$33="Loamy",'P and K tables'!M41,IF($C$33="Organic",'P and K tables'!M34," ")))</f>
        <v>#N/A</v>
      </c>
      <c r="Z47" s="45" t="e">
        <f>IF($C$33="Sandy",'P and K tables'!N34,IF($C$33="Loamy",'P and K tables'!N41,IF($C$33="Organic",'P and K tables'!N34," ")))</f>
        <v>#N/A</v>
      </c>
      <c r="AA47" s="45" t="e">
        <f>IF($C$33="Sandy",'P and K tables'!O34,IF($C$33="Loamy",'P and K tables'!O41,IF($C$33="Organic",'P and K tables'!O34," ")))</f>
        <v>#N/A</v>
      </c>
      <c r="AB47" s="45" t="e">
        <f>IF($C$33="Sandy",'P and K tables'!P34,IF($C$33="Loamy",'P and K tables'!P41,IF($C$33="Organic",'P and K tables'!P34," ")))</f>
        <v>#N/A</v>
      </c>
      <c r="AG47" s="49"/>
      <c r="AH47" s="49"/>
    </row>
    <row r="48" spans="1:35">
      <c r="V48" s="45">
        <v>4</v>
      </c>
      <c r="W48" s="45" t="e">
        <f>IF($C$33="Sandy",'P and K tables'!K35,IF($C$33="Loamy",'P and K tables'!K42,IF($C$33="Organic",'P and K tables'!K35," ")))</f>
        <v>#N/A</v>
      </c>
      <c r="X48" s="45" t="e">
        <f>IF($C$33="Sandy",'P and K tables'!L35,IF($C$33="Loamy",'P and K tables'!L42,IF($C$33="Organic",'P and K tables'!L35," ")))</f>
        <v>#N/A</v>
      </c>
      <c r="Y48" s="45" t="e">
        <f>IF($C$33="Sandy",'P and K tables'!M35,IF($C$33="Loamy",'P and K tables'!M42,IF($C$33="Organic",'P and K tables'!M35," ")))</f>
        <v>#N/A</v>
      </c>
      <c r="Z48" s="45" t="e">
        <f>IF($C$33="Sandy",'P and K tables'!N35,IF($C$33="Loamy",'P and K tables'!N42,IF($C$33="Organic",'P and K tables'!N35," ")))</f>
        <v>#N/A</v>
      </c>
      <c r="AA48" s="45" t="e">
        <f>IF($C$33="Sandy",'P and K tables'!O35,IF($C$33="Loamy",'P and K tables'!O42,IF($C$33="Organic",'P and K tables'!O35," ")))</f>
        <v>#N/A</v>
      </c>
      <c r="AB48" s="45" t="e">
        <f>IF($C$33="Sandy",'P and K tables'!P35,IF($C$33="Loamy",'P and K tables'!P42,IF($C$33="Organic",'P and K tables'!P35," ")))</f>
        <v>#N/A</v>
      </c>
    </row>
    <row r="50" spans="21:38">
      <c r="V50" s="45" t="s">
        <v>527</v>
      </c>
    </row>
    <row r="51" spans="21:38">
      <c r="V51" s="64" t="s">
        <v>524</v>
      </c>
      <c r="W51" s="65" t="s">
        <v>516</v>
      </c>
      <c r="X51" s="65" t="s">
        <v>518</v>
      </c>
      <c r="Y51" s="65" t="s">
        <v>519</v>
      </c>
      <c r="Z51" s="66" t="s">
        <v>525</v>
      </c>
      <c r="AA51" s="65"/>
      <c r="AG51" s="65"/>
    </row>
    <row r="52" spans="21:38">
      <c r="U52" s="71" t="s">
        <v>204</v>
      </c>
      <c r="V52">
        <v>200</v>
      </c>
      <c r="W52">
        <v>400</v>
      </c>
      <c r="X52">
        <v>600</v>
      </c>
      <c r="Y52"/>
      <c r="Z52"/>
      <c r="AA52"/>
      <c r="AG52"/>
    </row>
    <row r="53" spans="21:38">
      <c r="U53" s="71" t="s">
        <v>203</v>
      </c>
      <c r="V53">
        <v>25</v>
      </c>
      <c r="W53">
        <v>50</v>
      </c>
      <c r="X53">
        <v>250</v>
      </c>
      <c r="Y53"/>
      <c r="Z53"/>
      <c r="AA53"/>
      <c r="AG53"/>
    </row>
    <row r="54" spans="21:38">
      <c r="U54" s="71" t="s">
        <v>200</v>
      </c>
      <c r="V54">
        <v>0.2</v>
      </c>
      <c r="W54">
        <v>0.4</v>
      </c>
      <c r="X54">
        <v>1</v>
      </c>
      <c r="Y54">
        <v>2.5</v>
      </c>
      <c r="Z54"/>
      <c r="AA54"/>
      <c r="AG54"/>
    </row>
    <row r="55" spans="21:38">
      <c r="U55" s="71" t="s">
        <v>199</v>
      </c>
      <c r="V55"/>
      <c r="W55">
        <v>12.5</v>
      </c>
      <c r="X55">
        <v>37.5</v>
      </c>
      <c r="Y55">
        <v>62.5</v>
      </c>
      <c r="Z55"/>
      <c r="AA55"/>
      <c r="AG55"/>
    </row>
    <row r="56" spans="21:38">
      <c r="U56" s="71" t="s">
        <v>201</v>
      </c>
      <c r="V56">
        <v>1.5</v>
      </c>
      <c r="W56">
        <v>3</v>
      </c>
      <c r="X56">
        <v>20</v>
      </c>
      <c r="Y56">
        <v>40</v>
      </c>
      <c r="Z56"/>
      <c r="AA56"/>
      <c r="AG56"/>
    </row>
    <row r="57" spans="21:38">
      <c r="U57" s="71" t="s">
        <v>202</v>
      </c>
      <c r="V57"/>
      <c r="W57">
        <v>7.5</v>
      </c>
      <c r="X57">
        <v>25</v>
      </c>
      <c r="Y57"/>
      <c r="Z57"/>
      <c r="AA57"/>
      <c r="AG57"/>
    </row>
    <row r="58" spans="21:38">
      <c r="V58" t="s">
        <v>445</v>
      </c>
      <c r="W58"/>
      <c r="X58" s="4"/>
      <c r="Y58"/>
      <c r="Z58"/>
      <c r="AA58"/>
      <c r="AB58"/>
      <c r="AC58"/>
      <c r="AD58"/>
      <c r="AE58"/>
      <c r="AF58"/>
      <c r="AG58"/>
      <c r="AH58"/>
      <c r="AI58"/>
      <c r="AJ58"/>
      <c r="AK58"/>
      <c r="AL58"/>
    </row>
    <row r="59" spans="21:38">
      <c r="V59" s="64" t="s">
        <v>524</v>
      </c>
      <c r="W59" s="65" t="s">
        <v>516</v>
      </c>
      <c r="X59" s="65" t="s">
        <v>518</v>
      </c>
      <c r="Y59" s="65" t="s">
        <v>519</v>
      </c>
      <c r="Z59" s="65" t="s">
        <v>525</v>
      </c>
    </row>
    <row r="60" spans="21:38">
      <c r="U60" s="71" t="s">
        <v>204</v>
      </c>
      <c r="V60">
        <v>300</v>
      </c>
      <c r="W60">
        <v>600</v>
      </c>
      <c r="X60">
        <v>1001</v>
      </c>
      <c r="Y60"/>
      <c r="Z60"/>
    </row>
    <row r="61" spans="21:38">
      <c r="U61" s="71" t="s">
        <v>203</v>
      </c>
      <c r="V61">
        <v>50</v>
      </c>
      <c r="W61">
        <v>100</v>
      </c>
      <c r="X61">
        <v>500</v>
      </c>
      <c r="Y61"/>
      <c r="Z61"/>
    </row>
    <row r="62" spans="21:38">
      <c r="U62" s="71" t="s">
        <v>200</v>
      </c>
      <c r="V62">
        <v>0.3</v>
      </c>
      <c r="W62">
        <v>0.8</v>
      </c>
      <c r="X62">
        <v>1.5</v>
      </c>
      <c r="Y62">
        <v>3</v>
      </c>
      <c r="Z62"/>
    </row>
    <row r="63" spans="21:38">
      <c r="U63" s="71" t="s">
        <v>199</v>
      </c>
      <c r="V63"/>
      <c r="W63">
        <v>12.5</v>
      </c>
      <c r="X63">
        <v>7.5</v>
      </c>
      <c r="Y63">
        <v>62.5</v>
      </c>
      <c r="Z63"/>
    </row>
    <row r="64" spans="21:38">
      <c r="U64" s="71" t="s">
        <v>201</v>
      </c>
      <c r="V64">
        <v>1.5</v>
      </c>
      <c r="W64">
        <v>3</v>
      </c>
      <c r="X64">
        <v>20</v>
      </c>
      <c r="Y64">
        <v>40</v>
      </c>
      <c r="Z64"/>
    </row>
    <row r="65" spans="21:26">
      <c r="U65" s="71" t="s">
        <v>202</v>
      </c>
      <c r="V65"/>
      <c r="W65">
        <v>7.5</v>
      </c>
      <c r="X65">
        <v>25</v>
      </c>
      <c r="Y65">
        <v>25</v>
      </c>
      <c r="Z65"/>
    </row>
    <row r="68" spans="21:26">
      <c r="V68" s="45" t="s">
        <v>526</v>
      </c>
    </row>
    <row r="69" spans="21:26">
      <c r="V69" s="64" t="s">
        <v>524</v>
      </c>
      <c r="W69" s="65" t="s">
        <v>516</v>
      </c>
      <c r="X69" s="65" t="s">
        <v>518</v>
      </c>
      <c r="Y69" s="65" t="s">
        <v>519</v>
      </c>
      <c r="Z69" s="66" t="s">
        <v>525</v>
      </c>
    </row>
    <row r="70" spans="21:26">
      <c r="U70" s="71" t="s">
        <v>204</v>
      </c>
      <c r="V70" s="67">
        <v>300</v>
      </c>
      <c r="W70" s="40">
        <v>600</v>
      </c>
      <c r="X70" s="40">
        <v>1001</v>
      </c>
      <c r="Y70" s="40"/>
      <c r="Z70" s="68"/>
    </row>
    <row r="71" spans="21:26">
      <c r="U71" s="71" t="s">
        <v>203</v>
      </c>
      <c r="V71" s="67">
        <v>50</v>
      </c>
      <c r="W71" s="40">
        <v>100</v>
      </c>
      <c r="X71" s="40">
        <v>500</v>
      </c>
      <c r="Y71" s="40"/>
      <c r="Z71" s="68"/>
    </row>
    <row r="72" spans="21:26">
      <c r="U72" s="71" t="s">
        <v>200</v>
      </c>
      <c r="V72" s="67">
        <v>0.5</v>
      </c>
      <c r="W72" s="40">
        <v>1</v>
      </c>
      <c r="X72" s="40">
        <v>2</v>
      </c>
      <c r="Y72" s="40">
        <v>4</v>
      </c>
      <c r="Z72" s="68"/>
    </row>
    <row r="73" spans="21:26">
      <c r="U73" s="71" t="s">
        <v>199</v>
      </c>
      <c r="V73" s="67"/>
      <c r="W73" s="40">
        <v>12.5</v>
      </c>
      <c r="X73" s="40">
        <v>37.5</v>
      </c>
      <c r="Y73" s="40">
        <v>62.5</v>
      </c>
      <c r="Z73" s="68"/>
    </row>
    <row r="74" spans="21:26">
      <c r="U74" s="71" t="s">
        <v>201</v>
      </c>
      <c r="V74" s="67">
        <v>1.5</v>
      </c>
      <c r="W74" s="40">
        <v>3</v>
      </c>
      <c r="X74" s="40">
        <v>20</v>
      </c>
      <c r="Y74" s="40">
        <v>40</v>
      </c>
      <c r="Z74" s="68"/>
    </row>
    <row r="75" spans="21:26">
      <c r="U75" s="71" t="s">
        <v>202</v>
      </c>
      <c r="V75" s="69"/>
      <c r="W75" s="25">
        <v>7.5</v>
      </c>
      <c r="X75" s="25">
        <v>25</v>
      </c>
      <c r="Y75" s="25"/>
      <c r="Z75" s="70"/>
    </row>
  </sheetData>
  <mergeCells count="1">
    <mergeCell ref="T15:U15"/>
  </mergeCells>
  <pageMargins left="0.8" right="0.47" top="0.62" bottom="0.52"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'sufficiency ranges '!$A$4:$A$104</xm:f>
          </x14:formula1>
          <xm:sqref>E15:G15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8:P42"/>
  <sheetViews>
    <sheetView workbookViewId="0">
      <selection activeCell="F23" sqref="F23"/>
    </sheetView>
  </sheetViews>
  <sheetFormatPr defaultRowHeight="15"/>
  <cols>
    <col min="3" max="3" width="14.140625" style="4" bestFit="1" customWidth="1"/>
    <col min="4" max="4" width="16" style="4" bestFit="1" customWidth="1"/>
    <col min="5" max="5" width="8" style="4" bestFit="1" customWidth="1"/>
    <col min="6" max="6" width="12.7109375" style="4" bestFit="1" customWidth="1"/>
    <col min="7" max="7" width="8.140625" style="4" bestFit="1" customWidth="1"/>
    <col min="8" max="8" width="19.7109375" style="4" bestFit="1" customWidth="1"/>
  </cols>
  <sheetData>
    <row r="8" spans="3:15">
      <c r="D8" s="4" t="s">
        <v>432</v>
      </c>
    </row>
    <row r="11" spans="3:15">
      <c r="C11" s="4" t="s">
        <v>425</v>
      </c>
      <c r="D11" s="4" t="s">
        <v>426</v>
      </c>
      <c r="E11" s="4" t="s">
        <v>516</v>
      </c>
      <c r="F11" s="4" t="s">
        <v>517</v>
      </c>
      <c r="G11" s="4" t="s">
        <v>429</v>
      </c>
      <c r="H11" s="4" t="s">
        <v>430</v>
      </c>
      <c r="K11" s="4" t="s">
        <v>426</v>
      </c>
      <c r="L11" s="4" t="s">
        <v>427</v>
      </c>
      <c r="M11" s="4" t="s">
        <v>428</v>
      </c>
      <c r="N11" s="4" t="s">
        <v>429</v>
      </c>
      <c r="O11" s="4" t="s">
        <v>430</v>
      </c>
    </row>
    <row r="12" spans="3:15">
      <c r="C12" s="4" t="s">
        <v>439</v>
      </c>
      <c r="D12" s="4" t="s">
        <v>440</v>
      </c>
      <c r="E12" s="4" t="s">
        <v>441</v>
      </c>
      <c r="F12" s="4" t="s">
        <v>442</v>
      </c>
      <c r="G12" s="4" t="s">
        <v>443</v>
      </c>
      <c r="H12" s="4" t="s">
        <v>444</v>
      </c>
      <c r="K12">
        <v>12</v>
      </c>
      <c r="L12">
        <v>22</v>
      </c>
      <c r="M12">
        <v>32</v>
      </c>
      <c r="N12">
        <v>42</v>
      </c>
      <c r="O12">
        <v>42</v>
      </c>
    </row>
    <row r="13" spans="3:15">
      <c r="C13" s="4" t="s">
        <v>439</v>
      </c>
      <c r="D13" s="4" t="s">
        <v>450</v>
      </c>
      <c r="E13" s="4" t="s">
        <v>447</v>
      </c>
      <c r="F13" s="4" t="s">
        <v>451</v>
      </c>
      <c r="G13" s="4" t="s">
        <v>452</v>
      </c>
      <c r="H13" s="4" t="s">
        <v>453</v>
      </c>
      <c r="K13">
        <v>18</v>
      </c>
      <c r="L13">
        <v>25</v>
      </c>
      <c r="M13">
        <v>37</v>
      </c>
      <c r="N13">
        <v>55</v>
      </c>
      <c r="O13">
        <v>55</v>
      </c>
    </row>
    <row r="14" spans="3:15">
      <c r="C14" s="4" t="s">
        <v>439</v>
      </c>
      <c r="D14" s="4" t="s">
        <v>450</v>
      </c>
      <c r="E14" s="4" t="s">
        <v>459</v>
      </c>
      <c r="F14" s="4" t="s">
        <v>460</v>
      </c>
      <c r="G14" s="4" t="s">
        <v>461</v>
      </c>
      <c r="H14" s="4" t="s">
        <v>462</v>
      </c>
      <c r="K14">
        <v>18</v>
      </c>
      <c r="L14">
        <v>35</v>
      </c>
      <c r="M14">
        <v>50</v>
      </c>
      <c r="N14">
        <v>80</v>
      </c>
      <c r="O14">
        <v>80</v>
      </c>
    </row>
    <row r="15" spans="3:15">
      <c r="C15" s="4" t="s">
        <v>439</v>
      </c>
      <c r="D15" s="4" t="s">
        <v>467</v>
      </c>
      <c r="E15" s="4" t="s">
        <v>468</v>
      </c>
      <c r="F15" s="4" t="s">
        <v>469</v>
      </c>
      <c r="G15" s="4" t="s">
        <v>470</v>
      </c>
      <c r="H15" s="4" t="s">
        <v>471</v>
      </c>
      <c r="K15">
        <v>30</v>
      </c>
      <c r="L15">
        <v>60</v>
      </c>
      <c r="M15">
        <v>90</v>
      </c>
      <c r="N15">
        <v>120</v>
      </c>
      <c r="O15">
        <v>120</v>
      </c>
    </row>
    <row r="18" spans="3:16">
      <c r="C18" s="4" t="s">
        <v>433</v>
      </c>
      <c r="D18" s="4" t="s">
        <v>434</v>
      </c>
      <c r="E18" s="4" t="s">
        <v>435</v>
      </c>
      <c r="F18" s="4" t="s">
        <v>436</v>
      </c>
      <c r="G18" s="4" t="s">
        <v>437</v>
      </c>
      <c r="H18" s="4" t="s">
        <v>438</v>
      </c>
      <c r="K18">
        <v>10</v>
      </c>
      <c r="L18">
        <v>15</v>
      </c>
      <c r="M18">
        <v>20</v>
      </c>
      <c r="N18">
        <v>30</v>
      </c>
      <c r="O18">
        <v>30</v>
      </c>
    </row>
    <row r="19" spans="3:16">
      <c r="C19" s="4" t="s">
        <v>445</v>
      </c>
      <c r="D19" s="4" t="s">
        <v>440</v>
      </c>
      <c r="E19" s="4" t="s">
        <v>446</v>
      </c>
      <c r="F19" s="4" t="s">
        <v>447</v>
      </c>
      <c r="G19" s="4" t="s">
        <v>448</v>
      </c>
      <c r="H19" s="4" t="s">
        <v>449</v>
      </c>
      <c r="K19">
        <v>12</v>
      </c>
      <c r="L19">
        <v>17</v>
      </c>
      <c r="M19">
        <v>25</v>
      </c>
      <c r="N19">
        <v>35</v>
      </c>
      <c r="O19">
        <v>35</v>
      </c>
    </row>
    <row r="20" spans="3:16">
      <c r="C20" s="4" t="s">
        <v>445</v>
      </c>
      <c r="D20" s="4" t="s">
        <v>454</v>
      </c>
      <c r="E20" s="4" t="s">
        <v>455</v>
      </c>
      <c r="F20" s="4" t="s">
        <v>456</v>
      </c>
      <c r="G20" s="4" t="s">
        <v>457</v>
      </c>
      <c r="H20" s="4" t="s">
        <v>458</v>
      </c>
      <c r="K20">
        <v>15</v>
      </c>
      <c r="L20">
        <v>30</v>
      </c>
      <c r="M20">
        <v>45</v>
      </c>
      <c r="N20">
        <v>75</v>
      </c>
      <c r="O20">
        <v>75</v>
      </c>
    </row>
    <row r="21" spans="3:16">
      <c r="C21" s="4" t="s">
        <v>445</v>
      </c>
      <c r="D21" s="4" t="s">
        <v>463</v>
      </c>
      <c r="E21" s="4" t="s">
        <v>464</v>
      </c>
      <c r="F21" s="4" t="s">
        <v>465</v>
      </c>
      <c r="G21" s="4" t="s">
        <v>466</v>
      </c>
      <c r="K21">
        <v>100</v>
      </c>
      <c r="L21">
        <v>160</v>
      </c>
      <c r="M21">
        <v>200</v>
      </c>
      <c r="N21">
        <v>200</v>
      </c>
    </row>
    <row r="26" spans="3:16">
      <c r="D26" s="4" t="s">
        <v>424</v>
      </c>
    </row>
    <row r="27" spans="3:16">
      <c r="C27" s="4" t="s">
        <v>425</v>
      </c>
      <c r="D27" s="4" t="s">
        <v>426</v>
      </c>
      <c r="E27" s="4" t="s">
        <v>427</v>
      </c>
      <c r="F27" s="4" t="s">
        <v>428</v>
      </c>
      <c r="G27" s="4" t="s">
        <v>429</v>
      </c>
      <c r="H27" s="4" t="s">
        <v>473</v>
      </c>
      <c r="I27" t="s">
        <v>430</v>
      </c>
    </row>
    <row r="28" spans="3:16">
      <c r="D28" s="4" t="s">
        <v>431</v>
      </c>
    </row>
    <row r="29" spans="3:16">
      <c r="D29" s="4" t="s">
        <v>474</v>
      </c>
    </row>
    <row r="32" spans="3:16">
      <c r="C32" s="4" t="s">
        <v>439</v>
      </c>
      <c r="D32" s="4" t="s">
        <v>481</v>
      </c>
      <c r="E32" s="4" t="s">
        <v>482</v>
      </c>
      <c r="F32" s="4" t="s">
        <v>483</v>
      </c>
      <c r="G32" s="4" t="s">
        <v>484</v>
      </c>
      <c r="H32" s="4" t="s">
        <v>485</v>
      </c>
      <c r="I32" t="s">
        <v>486</v>
      </c>
      <c r="K32">
        <v>45</v>
      </c>
      <c r="L32">
        <v>65</v>
      </c>
      <c r="M32">
        <v>90</v>
      </c>
      <c r="N32">
        <v>130</v>
      </c>
      <c r="P32">
        <v>130</v>
      </c>
    </row>
    <row r="33" spans="3:16">
      <c r="C33" s="4" t="s">
        <v>439</v>
      </c>
      <c r="D33" s="4" t="s">
        <v>493</v>
      </c>
      <c r="E33" s="4" t="s">
        <v>494</v>
      </c>
      <c r="F33" s="4" t="s">
        <v>495</v>
      </c>
      <c r="G33" s="4" t="s">
        <v>496</v>
      </c>
      <c r="H33" s="4" t="s">
        <v>465</v>
      </c>
      <c r="I33" t="s">
        <v>466</v>
      </c>
      <c r="K33">
        <v>50</v>
      </c>
      <c r="L33">
        <v>80</v>
      </c>
      <c r="M33">
        <v>120</v>
      </c>
      <c r="N33">
        <v>160</v>
      </c>
      <c r="O33">
        <v>200</v>
      </c>
      <c r="P33">
        <v>200</v>
      </c>
    </row>
    <row r="34" spans="3:16">
      <c r="C34" s="4" t="s">
        <v>439</v>
      </c>
      <c r="D34" s="4" t="s">
        <v>493</v>
      </c>
      <c r="E34" s="4" t="s">
        <v>502</v>
      </c>
      <c r="F34" s="4" t="s">
        <v>503</v>
      </c>
      <c r="G34" s="4" t="s">
        <v>504</v>
      </c>
      <c r="H34" s="4" t="s">
        <v>505</v>
      </c>
      <c r="I34" t="s">
        <v>506</v>
      </c>
      <c r="K34">
        <v>50</v>
      </c>
      <c r="L34">
        <v>100</v>
      </c>
      <c r="M34">
        <v>150</v>
      </c>
      <c r="N34">
        <v>165</v>
      </c>
      <c r="O34">
        <v>180</v>
      </c>
      <c r="P34">
        <v>180</v>
      </c>
    </row>
    <row r="35" spans="3:16">
      <c r="C35" s="4" t="s">
        <v>439</v>
      </c>
      <c r="D35" s="4" t="s">
        <v>475</v>
      </c>
      <c r="E35" s="4" t="s">
        <v>476</v>
      </c>
      <c r="F35" s="4" t="s">
        <v>477</v>
      </c>
      <c r="G35" s="4" t="s">
        <v>478</v>
      </c>
      <c r="H35" s="4" t="s">
        <v>479</v>
      </c>
      <c r="I35" t="s">
        <v>480</v>
      </c>
      <c r="K35">
        <v>70</v>
      </c>
      <c r="L35">
        <v>100</v>
      </c>
      <c r="M35">
        <v>130</v>
      </c>
      <c r="N35">
        <v>160</v>
      </c>
      <c r="O35">
        <v>190</v>
      </c>
      <c r="P35">
        <v>190</v>
      </c>
    </row>
    <row r="39" spans="3:16">
      <c r="C39" s="4" t="s">
        <v>445</v>
      </c>
      <c r="D39" s="4" t="s">
        <v>475</v>
      </c>
      <c r="E39" s="4" t="s">
        <v>476</v>
      </c>
      <c r="F39" s="4" t="s">
        <v>477</v>
      </c>
      <c r="G39" s="4" t="s">
        <v>478</v>
      </c>
      <c r="H39" s="4" t="s">
        <v>479</v>
      </c>
      <c r="I39" t="s">
        <v>480</v>
      </c>
      <c r="K39">
        <v>70</v>
      </c>
      <c r="L39">
        <v>100</v>
      </c>
      <c r="M39">
        <v>130</v>
      </c>
      <c r="N39">
        <v>160</v>
      </c>
      <c r="O39">
        <v>190</v>
      </c>
      <c r="P39">
        <v>190</v>
      </c>
    </row>
    <row r="40" spans="3:16">
      <c r="C40" s="4" t="s">
        <v>445</v>
      </c>
      <c r="D40" s="4" t="s">
        <v>487</v>
      </c>
      <c r="E40" s="4" t="s">
        <v>488</v>
      </c>
      <c r="F40" s="4" t="s">
        <v>489</v>
      </c>
      <c r="G40" s="4" t="s">
        <v>490</v>
      </c>
      <c r="H40" s="4" t="s">
        <v>491</v>
      </c>
      <c r="I40" t="s">
        <v>492</v>
      </c>
      <c r="K40">
        <v>90</v>
      </c>
      <c r="L40">
        <v>110</v>
      </c>
      <c r="M40">
        <v>140</v>
      </c>
      <c r="N40">
        <v>170</v>
      </c>
      <c r="O40">
        <v>240</v>
      </c>
      <c r="P40">
        <v>240</v>
      </c>
    </row>
    <row r="41" spans="3:16">
      <c r="C41" s="4" t="s">
        <v>445</v>
      </c>
      <c r="D41" s="4" t="s">
        <v>497</v>
      </c>
      <c r="E41" s="4" t="s">
        <v>498</v>
      </c>
      <c r="F41" s="4" t="s">
        <v>499</v>
      </c>
      <c r="G41" s="4" t="s">
        <v>500</v>
      </c>
      <c r="H41" s="4" t="s">
        <v>501</v>
      </c>
      <c r="I41" t="s">
        <v>492</v>
      </c>
      <c r="K41">
        <v>80</v>
      </c>
      <c r="L41">
        <v>140</v>
      </c>
      <c r="M41">
        <v>200</v>
      </c>
      <c r="N41">
        <v>220</v>
      </c>
      <c r="O41">
        <v>240</v>
      </c>
      <c r="P41">
        <v>240</v>
      </c>
    </row>
    <row r="42" spans="3:16">
      <c r="C42" s="4" t="s">
        <v>445</v>
      </c>
      <c r="D42" s="4" t="s">
        <v>497</v>
      </c>
      <c r="E42" s="4" t="s">
        <v>507</v>
      </c>
      <c r="F42" s="4" t="s">
        <v>508</v>
      </c>
      <c r="G42" s="4" t="s">
        <v>509</v>
      </c>
      <c r="H42" s="4" t="s">
        <v>510</v>
      </c>
      <c r="I42" t="s">
        <v>511</v>
      </c>
      <c r="K42">
        <v>80</v>
      </c>
      <c r="L42">
        <v>120</v>
      </c>
      <c r="M42">
        <v>170</v>
      </c>
      <c r="N42">
        <v>190</v>
      </c>
      <c r="O42">
        <v>220</v>
      </c>
      <c r="P42">
        <v>220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C104"/>
  <sheetViews>
    <sheetView workbookViewId="0">
      <pane ySplit="2" topLeftCell="A27" activePane="bottomLeft" state="frozen"/>
      <selection pane="bottomLeft" activeCell="C36" sqref="C36"/>
    </sheetView>
  </sheetViews>
  <sheetFormatPr defaultRowHeight="15"/>
  <cols>
    <col min="1" max="1" width="65.7109375" bestFit="1" customWidth="1"/>
    <col min="2" max="2" width="32.28515625" customWidth="1"/>
    <col min="3" max="3" width="42.85546875" customWidth="1"/>
  </cols>
  <sheetData>
    <row r="1" spans="1:29">
      <c r="A1">
        <v>1</v>
      </c>
      <c r="B1">
        <v>2</v>
      </c>
      <c r="C1">
        <v>3</v>
      </c>
      <c r="D1">
        <v>4</v>
      </c>
      <c r="E1">
        <v>5</v>
      </c>
      <c r="F1">
        <v>6</v>
      </c>
      <c r="G1">
        <v>7</v>
      </c>
      <c r="H1">
        <v>8</v>
      </c>
      <c r="I1">
        <v>9</v>
      </c>
      <c r="J1">
        <v>10</v>
      </c>
      <c r="K1">
        <v>11</v>
      </c>
      <c r="L1">
        <v>12</v>
      </c>
      <c r="M1">
        <v>13</v>
      </c>
      <c r="N1">
        <v>14</v>
      </c>
      <c r="O1">
        <v>15</v>
      </c>
      <c r="P1">
        <v>16</v>
      </c>
      <c r="Q1">
        <v>17</v>
      </c>
      <c r="R1">
        <v>18</v>
      </c>
      <c r="S1">
        <v>19</v>
      </c>
      <c r="T1">
        <v>20</v>
      </c>
      <c r="U1">
        <v>21</v>
      </c>
      <c r="V1">
        <v>22</v>
      </c>
      <c r="W1">
        <v>23</v>
      </c>
      <c r="X1">
        <v>24</v>
      </c>
      <c r="Y1">
        <v>25</v>
      </c>
      <c r="Z1">
        <v>26</v>
      </c>
      <c r="AA1">
        <v>27</v>
      </c>
      <c r="AB1">
        <v>28</v>
      </c>
      <c r="AC1">
        <v>29</v>
      </c>
    </row>
    <row r="2" spans="1:29" s="2" customFormat="1">
      <c r="A2" s="3" t="s">
        <v>208</v>
      </c>
      <c r="D2" s="133" t="s">
        <v>207</v>
      </c>
      <c r="E2" s="133"/>
      <c r="F2" s="133" t="s">
        <v>206</v>
      </c>
      <c r="G2" s="133"/>
      <c r="H2" s="133" t="s">
        <v>205</v>
      </c>
      <c r="I2" s="133"/>
      <c r="J2" s="131" t="s">
        <v>204</v>
      </c>
      <c r="K2" s="131"/>
      <c r="L2" s="131" t="s">
        <v>203</v>
      </c>
      <c r="M2" s="131"/>
      <c r="N2" s="131" t="s">
        <v>202</v>
      </c>
      <c r="O2" s="131"/>
      <c r="P2" s="131" t="s">
        <v>201</v>
      </c>
      <c r="Q2" s="131"/>
      <c r="R2" s="131" t="s">
        <v>200</v>
      </c>
      <c r="S2" s="131"/>
      <c r="T2" s="131" t="s">
        <v>199</v>
      </c>
      <c r="U2" s="131"/>
      <c r="V2" s="131" t="s">
        <v>198</v>
      </c>
      <c r="W2" s="131"/>
      <c r="X2" s="131" t="s">
        <v>197</v>
      </c>
      <c r="Y2" s="131"/>
      <c r="Z2" s="131" t="s">
        <v>196</v>
      </c>
      <c r="AA2" s="131"/>
      <c r="AB2" s="131" t="s">
        <v>195</v>
      </c>
      <c r="AC2" s="131"/>
    </row>
    <row r="3" spans="1:29" s="1" customFormat="1">
      <c r="A3" s="1" t="s">
        <v>194</v>
      </c>
      <c r="B3" s="1" t="s">
        <v>193</v>
      </c>
      <c r="C3" s="1" t="s">
        <v>192</v>
      </c>
      <c r="D3" s="2" t="s">
        <v>191</v>
      </c>
      <c r="E3" s="2" t="s">
        <v>190</v>
      </c>
      <c r="F3" s="2" t="s">
        <v>191</v>
      </c>
      <c r="G3" s="2" t="s">
        <v>190</v>
      </c>
      <c r="H3" s="2" t="s">
        <v>191</v>
      </c>
      <c r="I3" s="2" t="s">
        <v>190</v>
      </c>
      <c r="J3" s="2" t="s">
        <v>191</v>
      </c>
      <c r="K3" s="2" t="s">
        <v>190</v>
      </c>
      <c r="L3" s="2" t="s">
        <v>191</v>
      </c>
      <c r="M3" s="2" t="s">
        <v>190</v>
      </c>
      <c r="N3" s="2" t="s">
        <v>191</v>
      </c>
      <c r="O3" s="2" t="s">
        <v>190</v>
      </c>
      <c r="P3" s="2" t="s">
        <v>191</v>
      </c>
      <c r="Q3" s="2" t="s">
        <v>190</v>
      </c>
      <c r="R3" s="2" t="s">
        <v>191</v>
      </c>
      <c r="S3" s="2" t="s">
        <v>190</v>
      </c>
      <c r="T3" s="2" t="s">
        <v>191</v>
      </c>
      <c r="U3" s="2" t="s">
        <v>190</v>
      </c>
      <c r="V3" s="2" t="s">
        <v>191</v>
      </c>
      <c r="W3" s="2" t="s">
        <v>190</v>
      </c>
      <c r="X3" s="2" t="s">
        <v>191</v>
      </c>
      <c r="Y3" s="2" t="s">
        <v>190</v>
      </c>
      <c r="Z3" s="2" t="s">
        <v>191</v>
      </c>
      <c r="AA3" s="2" t="s">
        <v>190</v>
      </c>
      <c r="AB3" s="2" t="s">
        <v>191</v>
      </c>
      <c r="AC3" s="2" t="s">
        <v>190</v>
      </c>
    </row>
    <row r="4" spans="1:29">
      <c r="A4" t="s">
        <v>189</v>
      </c>
      <c r="B4" t="s">
        <v>188</v>
      </c>
      <c r="C4" t="s">
        <v>187</v>
      </c>
      <c r="D4">
        <v>2.5</v>
      </c>
      <c r="E4">
        <v>4</v>
      </c>
      <c r="F4">
        <v>0.25</v>
      </c>
      <c r="G4">
        <v>0.45</v>
      </c>
      <c r="H4">
        <v>2.25</v>
      </c>
      <c r="I4">
        <v>3.5</v>
      </c>
      <c r="J4">
        <v>0.7</v>
      </c>
      <c r="K4">
        <v>2.5</v>
      </c>
      <c r="L4">
        <v>0.25</v>
      </c>
      <c r="M4">
        <v>0.7</v>
      </c>
      <c r="N4">
        <v>0.25</v>
      </c>
      <c r="O4">
        <v>0.5</v>
      </c>
      <c r="P4">
        <v>20</v>
      </c>
      <c r="Q4">
        <v>60</v>
      </c>
      <c r="R4">
        <v>25</v>
      </c>
      <c r="S4">
        <v>60</v>
      </c>
      <c r="T4">
        <v>20</v>
      </c>
      <c r="U4">
        <v>100</v>
      </c>
      <c r="V4">
        <v>30</v>
      </c>
      <c r="W4">
        <v>250</v>
      </c>
      <c r="X4">
        <v>3</v>
      </c>
      <c r="Y4">
        <v>30</v>
      </c>
    </row>
    <row r="5" spans="1:29">
      <c r="A5" t="s">
        <v>186</v>
      </c>
      <c r="B5" t="s">
        <v>58</v>
      </c>
      <c r="C5" t="s">
        <v>57</v>
      </c>
      <c r="D5">
        <v>2.5</v>
      </c>
      <c r="E5">
        <v>4</v>
      </c>
      <c r="F5">
        <v>0.25</v>
      </c>
      <c r="G5">
        <v>0.45</v>
      </c>
      <c r="H5">
        <v>2.25</v>
      </c>
      <c r="I5">
        <v>3.5</v>
      </c>
      <c r="J5">
        <v>0.7</v>
      </c>
      <c r="K5">
        <v>2.5</v>
      </c>
      <c r="L5">
        <v>0.25</v>
      </c>
      <c r="M5">
        <v>0.7</v>
      </c>
      <c r="N5">
        <v>0.25</v>
      </c>
      <c r="O5">
        <v>0.5</v>
      </c>
      <c r="P5">
        <v>20</v>
      </c>
      <c r="Q5">
        <v>60</v>
      </c>
      <c r="R5">
        <v>25</v>
      </c>
      <c r="S5">
        <v>60</v>
      </c>
      <c r="T5">
        <v>20</v>
      </c>
      <c r="U5">
        <v>100</v>
      </c>
      <c r="V5">
        <v>30</v>
      </c>
      <c r="W5">
        <v>250</v>
      </c>
      <c r="X5">
        <v>3</v>
      </c>
      <c r="Y5">
        <v>30</v>
      </c>
    </row>
    <row r="6" spans="1:29">
      <c r="A6" t="s">
        <v>185</v>
      </c>
      <c r="B6" t="s">
        <v>44</v>
      </c>
      <c r="C6" t="s">
        <v>43</v>
      </c>
      <c r="D6">
        <v>1.72</v>
      </c>
      <c r="E6">
        <v>2.85</v>
      </c>
      <c r="F6">
        <v>0.11</v>
      </c>
      <c r="G6">
        <v>0.23</v>
      </c>
      <c r="H6">
        <v>0.68</v>
      </c>
      <c r="I6">
        <v>1.55</v>
      </c>
      <c r="J6">
        <v>0.4</v>
      </c>
      <c r="K6">
        <v>1.03</v>
      </c>
      <c r="L6">
        <v>0.17</v>
      </c>
      <c r="M6">
        <v>0.34</v>
      </c>
      <c r="N6">
        <v>0.17</v>
      </c>
      <c r="O6">
        <v>0.22</v>
      </c>
      <c r="P6">
        <v>22</v>
      </c>
      <c r="Q6">
        <v>41</v>
      </c>
      <c r="R6">
        <v>20</v>
      </c>
      <c r="S6">
        <v>47</v>
      </c>
      <c r="T6">
        <v>236</v>
      </c>
      <c r="U6">
        <v>435</v>
      </c>
      <c r="V6">
        <v>84</v>
      </c>
      <c r="W6">
        <v>222</v>
      </c>
      <c r="X6">
        <v>10</v>
      </c>
      <c r="Y6">
        <v>20</v>
      </c>
    </row>
    <row r="7" spans="1:29">
      <c r="A7" t="s">
        <v>184</v>
      </c>
      <c r="B7" t="s">
        <v>143</v>
      </c>
      <c r="C7" t="s">
        <v>142</v>
      </c>
      <c r="D7">
        <v>1.9</v>
      </c>
      <c r="E7">
        <v>2.2000000000000002</v>
      </c>
      <c r="F7">
        <v>0.2</v>
      </c>
      <c r="G7">
        <v>0.21</v>
      </c>
      <c r="H7">
        <v>1</v>
      </c>
      <c r="I7">
        <v>1.6</v>
      </c>
      <c r="J7">
        <v>0.6</v>
      </c>
      <c r="K7">
        <v>1</v>
      </c>
      <c r="L7">
        <v>0.3</v>
      </c>
      <c r="M7">
        <v>0.5</v>
      </c>
      <c r="N7">
        <v>0.14000000000000001</v>
      </c>
      <c r="O7">
        <v>0.18</v>
      </c>
      <c r="P7">
        <v>25</v>
      </c>
      <c r="Q7">
        <v>35</v>
      </c>
      <c r="R7">
        <v>30</v>
      </c>
      <c r="S7">
        <v>40</v>
      </c>
      <c r="T7">
        <v>30</v>
      </c>
      <c r="U7">
        <v>50</v>
      </c>
      <c r="V7">
        <v>90</v>
      </c>
      <c r="W7">
        <v>120</v>
      </c>
      <c r="X7">
        <v>7</v>
      </c>
      <c r="Y7">
        <v>10</v>
      </c>
    </row>
    <row r="8" spans="1:29">
      <c r="A8" t="s">
        <v>544</v>
      </c>
      <c r="B8" t="s">
        <v>1</v>
      </c>
      <c r="C8" t="s">
        <v>52</v>
      </c>
      <c r="D8">
        <v>1.9</v>
      </c>
      <c r="E8">
        <v>2.6</v>
      </c>
      <c r="F8">
        <v>0.09</v>
      </c>
      <c r="G8">
        <v>0.4</v>
      </c>
      <c r="H8">
        <v>1.2</v>
      </c>
      <c r="I8">
        <v>2</v>
      </c>
      <c r="J8">
        <v>0.8</v>
      </c>
      <c r="K8">
        <v>1.6</v>
      </c>
      <c r="L8">
        <v>0.25</v>
      </c>
      <c r="M8">
        <v>0.45</v>
      </c>
      <c r="N8">
        <v>0.2</v>
      </c>
      <c r="O8">
        <v>0.4</v>
      </c>
      <c r="P8">
        <v>20</v>
      </c>
      <c r="Q8">
        <v>100</v>
      </c>
      <c r="R8">
        <v>25</v>
      </c>
      <c r="S8">
        <v>50</v>
      </c>
      <c r="T8">
        <v>25</v>
      </c>
      <c r="U8">
        <v>200</v>
      </c>
      <c r="V8">
        <v>50</v>
      </c>
      <c r="W8">
        <v>300</v>
      </c>
      <c r="X8">
        <v>6</v>
      </c>
      <c r="Y8">
        <v>25</v>
      </c>
    </row>
    <row r="9" spans="1:29">
      <c r="A9" t="s">
        <v>183</v>
      </c>
      <c r="B9" t="s">
        <v>182</v>
      </c>
      <c r="C9" t="s">
        <v>0</v>
      </c>
      <c r="D9">
        <v>1.44</v>
      </c>
      <c r="E9">
        <v>1.56</v>
      </c>
      <c r="F9">
        <v>0.17</v>
      </c>
      <c r="G9">
        <v>0.18</v>
      </c>
      <c r="H9">
        <v>0.7</v>
      </c>
      <c r="I9">
        <v>0.88</v>
      </c>
      <c r="J9">
        <v>0.84</v>
      </c>
      <c r="K9">
        <v>1.17</v>
      </c>
      <c r="L9">
        <v>0.14000000000000001</v>
      </c>
      <c r="M9">
        <v>0.25</v>
      </c>
      <c r="N9">
        <v>0.11</v>
      </c>
      <c r="O9">
        <v>0.13</v>
      </c>
      <c r="P9">
        <v>30</v>
      </c>
      <c r="Q9">
        <v>38</v>
      </c>
      <c r="R9">
        <v>20</v>
      </c>
      <c r="S9">
        <v>23</v>
      </c>
      <c r="T9">
        <v>524</v>
      </c>
      <c r="U9">
        <v>586</v>
      </c>
      <c r="V9">
        <v>33</v>
      </c>
      <c r="W9">
        <v>36</v>
      </c>
      <c r="X9">
        <v>3</v>
      </c>
      <c r="Y9">
        <v>5</v>
      </c>
    </row>
    <row r="10" spans="1:29">
      <c r="A10" t="s">
        <v>181</v>
      </c>
      <c r="B10" t="s">
        <v>180</v>
      </c>
      <c r="C10" t="s">
        <v>179</v>
      </c>
      <c r="D10">
        <v>2.4</v>
      </c>
      <c r="E10">
        <v>3.8</v>
      </c>
      <c r="F10">
        <v>0.3</v>
      </c>
      <c r="G10">
        <v>0.5</v>
      </c>
      <c r="H10">
        <v>1.5</v>
      </c>
      <c r="I10">
        <v>2.4</v>
      </c>
      <c r="J10">
        <v>0.4</v>
      </c>
      <c r="K10">
        <v>1</v>
      </c>
      <c r="L10">
        <v>0.25</v>
      </c>
      <c r="M10">
        <v>0.3</v>
      </c>
      <c r="N10">
        <v>0.2</v>
      </c>
      <c r="O10">
        <v>0.4</v>
      </c>
      <c r="P10">
        <v>20</v>
      </c>
      <c r="Q10">
        <v>50</v>
      </c>
      <c r="R10">
        <v>40</v>
      </c>
      <c r="S10">
        <v>100</v>
      </c>
      <c r="T10">
        <v>25</v>
      </c>
      <c r="U10">
        <v>160</v>
      </c>
      <c r="V10">
        <v>40</v>
      </c>
      <c r="W10">
        <v>250</v>
      </c>
      <c r="X10">
        <v>5</v>
      </c>
      <c r="Y10">
        <v>25</v>
      </c>
    </row>
    <row r="11" spans="1:29">
      <c r="A11" t="s">
        <v>178</v>
      </c>
      <c r="B11" t="s">
        <v>1</v>
      </c>
      <c r="C11" t="s">
        <v>0</v>
      </c>
      <c r="D11">
        <v>0.9</v>
      </c>
      <c r="E11">
        <v>2.1</v>
      </c>
      <c r="F11">
        <v>0.1</v>
      </c>
      <c r="G11">
        <v>0.26</v>
      </c>
      <c r="H11">
        <v>0.28000000000000003</v>
      </c>
      <c r="I11">
        <v>1.08</v>
      </c>
      <c r="J11">
        <v>0.28999999999999998</v>
      </c>
      <c r="K11">
        <v>1.39</v>
      </c>
      <c r="L11">
        <v>0.06</v>
      </c>
      <c r="M11">
        <v>0.16</v>
      </c>
      <c r="N11">
        <v>0.11</v>
      </c>
      <c r="O11">
        <v>0.22</v>
      </c>
      <c r="P11">
        <v>46</v>
      </c>
      <c r="Q11">
        <v>50</v>
      </c>
      <c r="R11">
        <v>15</v>
      </c>
      <c r="S11">
        <v>35</v>
      </c>
      <c r="T11">
        <v>740</v>
      </c>
      <c r="U11">
        <v>1600</v>
      </c>
      <c r="V11">
        <v>35</v>
      </c>
      <c r="W11">
        <v>120</v>
      </c>
      <c r="X11">
        <v>2</v>
      </c>
      <c r="Y11">
        <v>8</v>
      </c>
    </row>
    <row r="12" spans="1:29">
      <c r="A12" t="s">
        <v>176</v>
      </c>
      <c r="B12" t="s">
        <v>9</v>
      </c>
      <c r="C12" t="s">
        <v>177</v>
      </c>
      <c r="D12">
        <v>1.75</v>
      </c>
      <c r="E12">
        <v>3</v>
      </c>
      <c r="F12">
        <v>0.2</v>
      </c>
      <c r="G12">
        <v>0.5</v>
      </c>
      <c r="H12">
        <v>1.5</v>
      </c>
      <c r="I12">
        <v>3</v>
      </c>
      <c r="J12">
        <v>0.3</v>
      </c>
      <c r="K12">
        <v>1.2</v>
      </c>
      <c r="L12">
        <v>0.15</v>
      </c>
      <c r="M12">
        <v>0.5</v>
      </c>
      <c r="N12">
        <v>0.15</v>
      </c>
      <c r="O12">
        <v>0.4</v>
      </c>
      <c r="P12">
        <v>15</v>
      </c>
      <c r="Q12">
        <v>70</v>
      </c>
      <c r="R12">
        <v>3</v>
      </c>
      <c r="S12">
        <v>20</v>
      </c>
      <c r="T12">
        <v>25</v>
      </c>
      <c r="U12">
        <v>100</v>
      </c>
      <c r="V12">
        <v>25</v>
      </c>
      <c r="W12">
        <v>100</v>
      </c>
      <c r="X12">
        <v>5</v>
      </c>
      <c r="Y12">
        <v>25</v>
      </c>
    </row>
    <row r="13" spans="1:29">
      <c r="A13" t="s">
        <v>176</v>
      </c>
      <c r="B13" t="s">
        <v>7</v>
      </c>
      <c r="C13" t="s">
        <v>6</v>
      </c>
      <c r="D13">
        <v>2.5</v>
      </c>
      <c r="E13">
        <v>3.5</v>
      </c>
      <c r="F13">
        <v>0.2</v>
      </c>
      <c r="G13">
        <v>0.5</v>
      </c>
      <c r="H13">
        <v>1.5</v>
      </c>
      <c r="I13">
        <v>2.5</v>
      </c>
      <c r="J13">
        <v>0.2</v>
      </c>
      <c r="K13">
        <v>0.5</v>
      </c>
      <c r="L13">
        <v>0.16</v>
      </c>
      <c r="M13">
        <v>0.3</v>
      </c>
      <c r="N13">
        <v>0.2</v>
      </c>
      <c r="O13">
        <v>0.4</v>
      </c>
      <c r="P13">
        <v>20</v>
      </c>
      <c r="Q13">
        <v>70</v>
      </c>
      <c r="R13">
        <v>5</v>
      </c>
      <c r="S13">
        <v>25</v>
      </c>
      <c r="T13">
        <v>25</v>
      </c>
      <c r="U13">
        <v>100</v>
      </c>
      <c r="V13">
        <v>20</v>
      </c>
      <c r="W13">
        <v>250</v>
      </c>
      <c r="X13">
        <v>5</v>
      </c>
      <c r="Y13">
        <v>20</v>
      </c>
    </row>
    <row r="14" spans="1:29">
      <c r="A14" t="s">
        <v>175</v>
      </c>
      <c r="B14" t="s">
        <v>174</v>
      </c>
      <c r="C14" t="s">
        <v>173</v>
      </c>
      <c r="D14">
        <v>2.5</v>
      </c>
      <c r="E14">
        <v>4.5</v>
      </c>
      <c r="F14">
        <v>0.2</v>
      </c>
      <c r="G14">
        <v>0.75</v>
      </c>
      <c r="H14">
        <v>1.5</v>
      </c>
      <c r="I14">
        <v>5.5</v>
      </c>
      <c r="J14">
        <v>1</v>
      </c>
      <c r="K14">
        <v>4</v>
      </c>
      <c r="L14">
        <v>0.25</v>
      </c>
      <c r="M14">
        <v>1</v>
      </c>
      <c r="N14">
        <v>0.25</v>
      </c>
      <c r="O14">
        <v>1</v>
      </c>
      <c r="P14">
        <v>27</v>
      </c>
      <c r="Q14">
        <v>100</v>
      </c>
      <c r="R14">
        <v>10</v>
      </c>
      <c r="S14">
        <v>200</v>
      </c>
      <c r="T14">
        <v>20</v>
      </c>
      <c r="U14">
        <v>300</v>
      </c>
      <c r="V14">
        <v>100</v>
      </c>
      <c r="W14">
        <v>500</v>
      </c>
      <c r="X14">
        <v>5</v>
      </c>
      <c r="Y14">
        <v>30</v>
      </c>
    </row>
    <row r="15" spans="1:29">
      <c r="A15" t="s">
        <v>172</v>
      </c>
      <c r="B15" t="s">
        <v>88</v>
      </c>
      <c r="C15" t="s">
        <v>6</v>
      </c>
      <c r="D15">
        <v>4</v>
      </c>
      <c r="E15">
        <v>6</v>
      </c>
      <c r="F15">
        <v>0.25</v>
      </c>
      <c r="G15">
        <v>0.75</v>
      </c>
      <c r="H15">
        <v>1.8</v>
      </c>
      <c r="I15">
        <v>4</v>
      </c>
      <c r="J15">
        <v>1.5</v>
      </c>
      <c r="K15">
        <v>2.5</v>
      </c>
      <c r="L15">
        <v>0.25</v>
      </c>
      <c r="M15">
        <v>0.7</v>
      </c>
      <c r="N15">
        <v>0.16</v>
      </c>
      <c r="O15">
        <v>0.6</v>
      </c>
      <c r="P15">
        <v>25</v>
      </c>
      <c r="Q15">
        <v>60</v>
      </c>
      <c r="R15">
        <v>20</v>
      </c>
      <c r="S15">
        <v>60</v>
      </c>
      <c r="T15">
        <v>30</v>
      </c>
      <c r="U15">
        <v>300</v>
      </c>
      <c r="V15">
        <v>50</v>
      </c>
      <c r="W15">
        <v>300</v>
      </c>
      <c r="X15">
        <v>5</v>
      </c>
      <c r="Y15">
        <v>30</v>
      </c>
    </row>
    <row r="16" spans="1:29">
      <c r="A16" t="s">
        <v>171</v>
      </c>
      <c r="B16" t="s">
        <v>88</v>
      </c>
      <c r="C16" t="s">
        <v>6</v>
      </c>
      <c r="D16">
        <v>4</v>
      </c>
      <c r="E16">
        <v>6</v>
      </c>
      <c r="F16">
        <v>0.25</v>
      </c>
      <c r="G16">
        <v>0.75</v>
      </c>
      <c r="H16">
        <v>1.8</v>
      </c>
      <c r="I16">
        <v>4</v>
      </c>
      <c r="J16">
        <v>1.5</v>
      </c>
      <c r="K16">
        <v>2.5</v>
      </c>
      <c r="L16">
        <v>0.25</v>
      </c>
      <c r="M16">
        <v>0.7</v>
      </c>
      <c r="N16">
        <v>0.16</v>
      </c>
      <c r="O16">
        <v>0.6</v>
      </c>
      <c r="P16">
        <v>25</v>
      </c>
      <c r="Q16">
        <v>60</v>
      </c>
      <c r="R16">
        <v>20</v>
      </c>
      <c r="S16">
        <v>60</v>
      </c>
      <c r="T16">
        <v>30</v>
      </c>
      <c r="U16">
        <v>300</v>
      </c>
      <c r="V16">
        <v>50</v>
      </c>
      <c r="W16">
        <v>300</v>
      </c>
      <c r="X16">
        <v>5</v>
      </c>
      <c r="Y16">
        <v>30</v>
      </c>
    </row>
    <row r="17" spans="1:29">
      <c r="A17" t="s">
        <v>170</v>
      </c>
      <c r="B17" t="s">
        <v>88</v>
      </c>
      <c r="C17" t="s">
        <v>6</v>
      </c>
      <c r="D17">
        <v>4</v>
      </c>
      <c r="E17">
        <v>6</v>
      </c>
      <c r="F17">
        <v>0.25</v>
      </c>
      <c r="G17">
        <v>0.75</v>
      </c>
      <c r="H17">
        <v>1.8</v>
      </c>
      <c r="I17">
        <v>4</v>
      </c>
      <c r="J17">
        <v>1.5</v>
      </c>
      <c r="K17">
        <v>2.5</v>
      </c>
      <c r="L17">
        <v>0.25</v>
      </c>
      <c r="M17">
        <v>0.7</v>
      </c>
      <c r="N17">
        <v>0.16</v>
      </c>
      <c r="O17">
        <v>0.6</v>
      </c>
      <c r="P17">
        <v>25</v>
      </c>
      <c r="Q17">
        <v>60</v>
      </c>
      <c r="R17">
        <v>20</v>
      </c>
      <c r="S17">
        <v>60</v>
      </c>
      <c r="T17">
        <v>30</v>
      </c>
      <c r="U17">
        <v>300</v>
      </c>
      <c r="V17">
        <v>50</v>
      </c>
      <c r="W17">
        <v>300</v>
      </c>
      <c r="X17">
        <v>5</v>
      </c>
      <c r="Y17">
        <v>30</v>
      </c>
    </row>
    <row r="18" spans="1:29">
      <c r="A18" t="s">
        <v>169</v>
      </c>
      <c r="B18" t="s">
        <v>168</v>
      </c>
      <c r="C18" t="s">
        <v>167</v>
      </c>
      <c r="D18">
        <v>3.5</v>
      </c>
      <c r="E18">
        <v>5</v>
      </c>
      <c r="F18">
        <v>0.25</v>
      </c>
      <c r="G18">
        <v>0.5</v>
      </c>
      <c r="H18">
        <v>3</v>
      </c>
      <c r="I18">
        <v>4.5</v>
      </c>
      <c r="J18">
        <v>2.5</v>
      </c>
      <c r="K18">
        <v>3.5</v>
      </c>
      <c r="L18">
        <v>0.3</v>
      </c>
      <c r="M18">
        <v>1</v>
      </c>
      <c r="N18">
        <v>0.18</v>
      </c>
      <c r="O18">
        <v>0.3</v>
      </c>
      <c r="P18">
        <v>15</v>
      </c>
      <c r="Q18">
        <v>30</v>
      </c>
      <c r="R18">
        <v>30</v>
      </c>
      <c r="S18">
        <v>80</v>
      </c>
      <c r="T18">
        <v>70</v>
      </c>
      <c r="U18">
        <v>200</v>
      </c>
      <c r="V18">
        <v>50</v>
      </c>
      <c r="W18">
        <v>200</v>
      </c>
      <c r="X18">
        <v>5</v>
      </c>
      <c r="Y18">
        <v>15</v>
      </c>
    </row>
    <row r="19" spans="1:29">
      <c r="A19" t="s">
        <v>166</v>
      </c>
      <c r="B19" t="s">
        <v>165</v>
      </c>
      <c r="C19" t="s">
        <v>164</v>
      </c>
      <c r="D19">
        <v>2</v>
      </c>
      <c r="E19">
        <v>2.5</v>
      </c>
      <c r="F19">
        <v>0.1</v>
      </c>
      <c r="G19">
        <v>0.3</v>
      </c>
      <c r="H19">
        <v>1.4</v>
      </c>
      <c r="I19">
        <v>1.7</v>
      </c>
      <c r="J19">
        <v>1.3</v>
      </c>
      <c r="K19">
        <v>2.5</v>
      </c>
      <c r="L19">
        <v>0.2</v>
      </c>
      <c r="M19">
        <v>0.5</v>
      </c>
      <c r="N19">
        <v>0</v>
      </c>
      <c r="O19">
        <v>0</v>
      </c>
      <c r="P19">
        <v>20</v>
      </c>
      <c r="Q19">
        <v>50</v>
      </c>
      <c r="R19">
        <v>15</v>
      </c>
      <c r="S19">
        <v>40</v>
      </c>
      <c r="T19">
        <v>50</v>
      </c>
      <c r="U19">
        <v>100</v>
      </c>
      <c r="V19">
        <v>60</v>
      </c>
      <c r="W19">
        <v>300</v>
      </c>
      <c r="X19">
        <v>4</v>
      </c>
      <c r="Y19">
        <v>20</v>
      </c>
    </row>
    <row r="20" spans="1:29">
      <c r="A20" t="s">
        <v>163</v>
      </c>
      <c r="B20" t="s">
        <v>1</v>
      </c>
      <c r="C20" t="s">
        <v>76</v>
      </c>
      <c r="D20">
        <v>1.84</v>
      </c>
      <c r="E20">
        <v>2.2200000000000002</v>
      </c>
      <c r="F20">
        <v>0.14000000000000001</v>
      </c>
      <c r="G20">
        <v>0.2</v>
      </c>
      <c r="H20">
        <v>0.77</v>
      </c>
      <c r="I20">
        <v>1</v>
      </c>
      <c r="J20">
        <v>0.7</v>
      </c>
      <c r="K20">
        <v>2.17</v>
      </c>
      <c r="L20">
        <v>0.18</v>
      </c>
      <c r="M20">
        <v>0.42</v>
      </c>
      <c r="N20">
        <v>0.04</v>
      </c>
      <c r="O20">
        <v>0.14000000000000001</v>
      </c>
      <c r="P20">
        <v>32</v>
      </c>
      <c r="Q20">
        <v>66</v>
      </c>
      <c r="R20">
        <v>19</v>
      </c>
      <c r="S20">
        <v>61</v>
      </c>
      <c r="T20">
        <v>513</v>
      </c>
      <c r="U20">
        <v>1870</v>
      </c>
      <c r="V20">
        <v>46</v>
      </c>
      <c r="W20">
        <v>250</v>
      </c>
      <c r="X20">
        <v>6</v>
      </c>
      <c r="Y20">
        <v>7</v>
      </c>
      <c r="Z20">
        <v>35</v>
      </c>
      <c r="AA20">
        <v>36</v>
      </c>
      <c r="AB20">
        <v>77</v>
      </c>
      <c r="AC20">
        <v>900</v>
      </c>
    </row>
    <row r="21" spans="1:29">
      <c r="A21" t="s">
        <v>162</v>
      </c>
      <c r="B21" t="s">
        <v>49</v>
      </c>
      <c r="C21" t="s">
        <v>161</v>
      </c>
      <c r="D21">
        <v>1.7</v>
      </c>
      <c r="E21">
        <v>2.1</v>
      </c>
      <c r="F21">
        <v>0.1</v>
      </c>
      <c r="G21">
        <v>0.4</v>
      </c>
      <c r="H21">
        <v>0.4</v>
      </c>
      <c r="I21">
        <v>0.7</v>
      </c>
      <c r="J21">
        <v>0.35</v>
      </c>
      <c r="K21">
        <v>0.8</v>
      </c>
      <c r="L21">
        <v>0.12</v>
      </c>
      <c r="M21">
        <v>0.25</v>
      </c>
      <c r="N21">
        <v>0.12</v>
      </c>
      <c r="O21">
        <v>0.3</v>
      </c>
      <c r="P21">
        <v>9</v>
      </c>
      <c r="Q21">
        <v>30</v>
      </c>
      <c r="R21">
        <v>25</v>
      </c>
      <c r="S21">
        <v>70</v>
      </c>
      <c r="T21">
        <v>50</v>
      </c>
      <c r="U21">
        <v>60</v>
      </c>
      <c r="V21">
        <v>70</v>
      </c>
      <c r="W21">
        <v>200</v>
      </c>
      <c r="X21">
        <v>5</v>
      </c>
      <c r="Y21">
        <v>10</v>
      </c>
    </row>
    <row r="22" spans="1:29">
      <c r="A22" t="s">
        <v>160</v>
      </c>
      <c r="B22" t="s">
        <v>97</v>
      </c>
      <c r="C22" t="s">
        <v>97</v>
      </c>
      <c r="D22">
        <v>3</v>
      </c>
      <c r="E22">
        <v>3.6</v>
      </c>
      <c r="F22">
        <v>0.35</v>
      </c>
      <c r="G22">
        <v>0.5</v>
      </c>
      <c r="H22">
        <v>2.1</v>
      </c>
      <c r="I22">
        <v>2.8</v>
      </c>
      <c r="J22">
        <v>0.5</v>
      </c>
      <c r="K22">
        <v>1</v>
      </c>
      <c r="L22">
        <v>0.3</v>
      </c>
      <c r="M22">
        <v>0.5</v>
      </c>
      <c r="N22">
        <v>0.2</v>
      </c>
      <c r="O22">
        <v>0.4</v>
      </c>
      <c r="P22">
        <v>20</v>
      </c>
      <c r="Q22">
        <v>30</v>
      </c>
      <c r="R22">
        <v>5</v>
      </c>
      <c r="S22">
        <v>10</v>
      </c>
      <c r="T22">
        <v>25</v>
      </c>
      <c r="U22">
        <v>100</v>
      </c>
      <c r="V22">
        <v>35</v>
      </c>
      <c r="W22">
        <v>100</v>
      </c>
      <c r="X22">
        <v>5</v>
      </c>
      <c r="Y22">
        <v>20</v>
      </c>
    </row>
    <row r="23" spans="1:29">
      <c r="A23" t="s">
        <v>159</v>
      </c>
      <c r="B23" t="s">
        <v>155</v>
      </c>
      <c r="C23" t="s">
        <v>114</v>
      </c>
      <c r="D23">
        <v>3.2</v>
      </c>
      <c r="E23">
        <v>5.5</v>
      </c>
      <c r="F23">
        <v>0.3</v>
      </c>
      <c r="G23">
        <v>0.7</v>
      </c>
      <c r="H23">
        <v>2</v>
      </c>
      <c r="I23">
        <v>4</v>
      </c>
      <c r="J23">
        <v>1.2</v>
      </c>
      <c r="K23">
        <v>2.5</v>
      </c>
      <c r="L23">
        <v>0.23</v>
      </c>
      <c r="M23">
        <v>0.4</v>
      </c>
      <c r="N23">
        <v>0.3</v>
      </c>
      <c r="O23">
        <v>0.75</v>
      </c>
      <c r="P23">
        <v>20</v>
      </c>
      <c r="Q23">
        <v>80</v>
      </c>
      <c r="R23">
        <v>30</v>
      </c>
      <c r="S23">
        <v>100</v>
      </c>
      <c r="T23">
        <v>25</v>
      </c>
      <c r="U23">
        <v>150</v>
      </c>
      <c r="V23">
        <v>50</v>
      </c>
      <c r="W23">
        <v>150</v>
      </c>
      <c r="X23">
        <v>4</v>
      </c>
      <c r="Y23">
        <v>10</v>
      </c>
    </row>
    <row r="24" spans="1:29">
      <c r="A24" t="s">
        <v>158</v>
      </c>
      <c r="B24" t="s">
        <v>157</v>
      </c>
      <c r="C24" t="s">
        <v>10</v>
      </c>
      <c r="D24">
        <v>2</v>
      </c>
      <c r="E24">
        <v>5</v>
      </c>
      <c r="F24">
        <v>0.25</v>
      </c>
      <c r="G24">
        <v>0.35</v>
      </c>
      <c r="H24">
        <v>2</v>
      </c>
      <c r="I24">
        <v>3.5</v>
      </c>
      <c r="J24">
        <v>0.25</v>
      </c>
      <c r="K24">
        <v>0.4</v>
      </c>
      <c r="L24">
        <v>0.15</v>
      </c>
      <c r="M24">
        <v>0.3</v>
      </c>
      <c r="N24">
        <v>0.17</v>
      </c>
      <c r="O24">
        <v>0.3</v>
      </c>
      <c r="P24">
        <v>20</v>
      </c>
      <c r="Q24">
        <v>50</v>
      </c>
      <c r="R24">
        <v>10</v>
      </c>
      <c r="S24">
        <v>20</v>
      </c>
      <c r="T24">
        <v>30</v>
      </c>
      <c r="U24">
        <v>80</v>
      </c>
      <c r="V24">
        <v>50</v>
      </c>
      <c r="W24">
        <v>100</v>
      </c>
      <c r="X24">
        <v>5</v>
      </c>
      <c r="Y24">
        <v>20</v>
      </c>
    </row>
    <row r="25" spans="1:29">
      <c r="A25" t="s">
        <v>156</v>
      </c>
      <c r="B25" t="s">
        <v>155</v>
      </c>
      <c r="C25" t="s">
        <v>114</v>
      </c>
      <c r="D25">
        <v>3.1</v>
      </c>
      <c r="E25">
        <v>5.5</v>
      </c>
      <c r="F25">
        <v>0.3</v>
      </c>
      <c r="G25">
        <v>0.75</v>
      </c>
      <c r="H25">
        <v>2</v>
      </c>
      <c r="I25">
        <v>4</v>
      </c>
      <c r="J25">
        <v>1</v>
      </c>
      <c r="K25">
        <v>2.5</v>
      </c>
      <c r="L25">
        <v>0.25</v>
      </c>
      <c r="M25">
        <v>0.75</v>
      </c>
      <c r="N25">
        <v>0.3</v>
      </c>
      <c r="O25">
        <v>0.75</v>
      </c>
      <c r="P25">
        <v>25</v>
      </c>
      <c r="Q25">
        <v>200</v>
      </c>
      <c r="R25">
        <v>30</v>
      </c>
      <c r="S25">
        <v>100</v>
      </c>
      <c r="T25">
        <v>25</v>
      </c>
      <c r="U25">
        <v>200</v>
      </c>
      <c r="V25">
        <v>60</v>
      </c>
      <c r="W25">
        <v>300</v>
      </c>
      <c r="X25">
        <v>5</v>
      </c>
      <c r="Y25">
        <v>15</v>
      </c>
    </row>
    <row r="26" spans="1:29">
      <c r="A26" t="s">
        <v>154</v>
      </c>
      <c r="B26" t="s">
        <v>153</v>
      </c>
      <c r="C26" t="s">
        <v>119</v>
      </c>
      <c r="D26">
        <v>2</v>
      </c>
      <c r="E26">
        <v>3</v>
      </c>
      <c r="F26">
        <v>0.2</v>
      </c>
      <c r="G26">
        <v>0.5</v>
      </c>
      <c r="H26">
        <v>1.6</v>
      </c>
      <c r="I26">
        <v>2.5</v>
      </c>
      <c r="J26">
        <v>0.2</v>
      </c>
      <c r="K26">
        <v>0.5</v>
      </c>
      <c r="L26">
        <v>0.13</v>
      </c>
      <c r="M26">
        <v>0.4</v>
      </c>
      <c r="N26">
        <v>0.2</v>
      </c>
      <c r="O26">
        <v>0.4</v>
      </c>
      <c r="P26">
        <v>15</v>
      </c>
      <c r="Q26">
        <v>70</v>
      </c>
      <c r="R26">
        <v>3</v>
      </c>
      <c r="S26">
        <v>40</v>
      </c>
      <c r="T26">
        <v>21</v>
      </c>
      <c r="U26">
        <v>100</v>
      </c>
      <c r="V26">
        <v>20</v>
      </c>
      <c r="W26">
        <v>250</v>
      </c>
      <c r="X26">
        <v>3</v>
      </c>
      <c r="Y26">
        <v>15</v>
      </c>
    </row>
    <row r="27" spans="1:29">
      <c r="A27" t="s">
        <v>152</v>
      </c>
      <c r="B27" t="s">
        <v>18</v>
      </c>
      <c r="C27" t="s">
        <v>105</v>
      </c>
      <c r="D27">
        <v>3.6</v>
      </c>
      <c r="E27">
        <v>5</v>
      </c>
      <c r="F27">
        <v>0.33</v>
      </c>
      <c r="G27">
        <v>0.75</v>
      </c>
      <c r="H27">
        <v>3</v>
      </c>
      <c r="I27">
        <v>5</v>
      </c>
      <c r="J27">
        <v>1.1000000000000001</v>
      </c>
      <c r="K27">
        <v>3</v>
      </c>
      <c r="L27">
        <v>0.4</v>
      </c>
      <c r="M27">
        <v>0.75</v>
      </c>
      <c r="N27">
        <v>0.3</v>
      </c>
      <c r="O27">
        <v>0.75</v>
      </c>
      <c r="P27">
        <v>20</v>
      </c>
      <c r="Q27">
        <v>200</v>
      </c>
      <c r="R27">
        <v>25</v>
      </c>
      <c r="S27">
        <v>75</v>
      </c>
      <c r="T27">
        <v>25</v>
      </c>
      <c r="U27">
        <v>200</v>
      </c>
      <c r="V27">
        <v>30</v>
      </c>
      <c r="W27">
        <v>200</v>
      </c>
      <c r="X27">
        <v>5</v>
      </c>
      <c r="Y27">
        <v>15</v>
      </c>
    </row>
    <row r="28" spans="1:29">
      <c r="A28" t="s">
        <v>151</v>
      </c>
      <c r="B28" t="s">
        <v>150</v>
      </c>
      <c r="C28" t="s">
        <v>149</v>
      </c>
      <c r="D28">
        <v>3.5</v>
      </c>
      <c r="E28">
        <v>4.5</v>
      </c>
      <c r="F28">
        <v>0.3</v>
      </c>
      <c r="G28">
        <v>0.7</v>
      </c>
      <c r="H28">
        <v>2</v>
      </c>
      <c r="I28">
        <v>3.5</v>
      </c>
      <c r="J28">
        <v>1</v>
      </c>
      <c r="K28">
        <v>3</v>
      </c>
      <c r="L28">
        <v>0.2</v>
      </c>
      <c r="M28">
        <v>0.75</v>
      </c>
      <c r="N28">
        <v>0.4</v>
      </c>
      <c r="O28">
        <v>0.6</v>
      </c>
      <c r="P28">
        <v>10</v>
      </c>
      <c r="Q28">
        <v>50</v>
      </c>
      <c r="R28">
        <v>20</v>
      </c>
      <c r="S28">
        <v>30</v>
      </c>
      <c r="T28">
        <v>25</v>
      </c>
      <c r="U28">
        <v>250</v>
      </c>
      <c r="V28">
        <v>30</v>
      </c>
      <c r="W28">
        <v>200</v>
      </c>
      <c r="X28">
        <v>4</v>
      </c>
      <c r="Y28">
        <v>25</v>
      </c>
    </row>
    <row r="29" spans="1:29">
      <c r="A29" t="s">
        <v>148</v>
      </c>
      <c r="B29" t="s">
        <v>18</v>
      </c>
      <c r="C29" t="s">
        <v>114</v>
      </c>
      <c r="D29">
        <v>2.5</v>
      </c>
      <c r="E29">
        <v>3.5</v>
      </c>
      <c r="F29">
        <v>0.2</v>
      </c>
      <c r="G29">
        <v>0.3</v>
      </c>
      <c r="H29">
        <v>2.8</v>
      </c>
      <c r="I29">
        <v>4.3</v>
      </c>
      <c r="J29">
        <v>1.4</v>
      </c>
      <c r="K29">
        <v>3</v>
      </c>
      <c r="L29">
        <v>0.3</v>
      </c>
      <c r="M29">
        <v>0.5</v>
      </c>
      <c r="N29">
        <v>0.2</v>
      </c>
      <c r="O29">
        <v>0.4</v>
      </c>
      <c r="P29">
        <v>25</v>
      </c>
      <c r="Q29">
        <v>250</v>
      </c>
      <c r="R29">
        <v>30</v>
      </c>
      <c r="S29">
        <v>100</v>
      </c>
      <c r="T29">
        <v>60</v>
      </c>
      <c r="U29">
        <v>200</v>
      </c>
      <c r="V29">
        <v>50</v>
      </c>
      <c r="W29">
        <v>300</v>
      </c>
      <c r="X29">
        <v>5</v>
      </c>
      <c r="Y29">
        <v>15</v>
      </c>
    </row>
    <row r="30" spans="1:29">
      <c r="A30" t="s">
        <v>147</v>
      </c>
      <c r="B30" t="s">
        <v>18</v>
      </c>
      <c r="C30" t="s">
        <v>145</v>
      </c>
      <c r="D30">
        <v>3.3</v>
      </c>
      <c r="E30">
        <v>4.5</v>
      </c>
      <c r="F30">
        <v>0.33</v>
      </c>
      <c r="G30">
        <v>0.9</v>
      </c>
      <c r="H30">
        <v>2.6</v>
      </c>
      <c r="I30">
        <v>4.2</v>
      </c>
      <c r="J30">
        <v>2</v>
      </c>
      <c r="K30">
        <v>3.5</v>
      </c>
      <c r="L30">
        <v>0.27</v>
      </c>
      <c r="M30">
        <v>0.5</v>
      </c>
      <c r="N30">
        <v>1</v>
      </c>
      <c r="O30">
        <v>1.5</v>
      </c>
      <c r="P30">
        <v>20</v>
      </c>
      <c r="Q30">
        <v>250</v>
      </c>
      <c r="R30">
        <v>30</v>
      </c>
      <c r="S30">
        <v>100</v>
      </c>
      <c r="T30">
        <v>25</v>
      </c>
      <c r="U30">
        <v>250</v>
      </c>
      <c r="V30">
        <v>30</v>
      </c>
      <c r="W30">
        <v>200</v>
      </c>
      <c r="X30">
        <v>4</v>
      </c>
      <c r="Y30">
        <v>15</v>
      </c>
    </row>
    <row r="31" spans="1:29">
      <c r="A31" t="s">
        <v>146</v>
      </c>
      <c r="B31" t="s">
        <v>18</v>
      </c>
      <c r="C31" t="s">
        <v>145</v>
      </c>
      <c r="D31">
        <v>2.5</v>
      </c>
      <c r="E31">
        <v>3.5</v>
      </c>
      <c r="F31">
        <v>0.3</v>
      </c>
      <c r="G31">
        <v>0.5</v>
      </c>
      <c r="H31">
        <v>4</v>
      </c>
      <c r="I31">
        <v>7</v>
      </c>
      <c r="J31">
        <v>0.6</v>
      </c>
      <c r="K31">
        <v>3</v>
      </c>
      <c r="L31">
        <v>0.2</v>
      </c>
      <c r="M31">
        <v>0.5</v>
      </c>
      <c r="N31">
        <v>0.2</v>
      </c>
      <c r="O31">
        <v>0.5</v>
      </c>
      <c r="P31">
        <v>20</v>
      </c>
      <c r="Q31">
        <v>70</v>
      </c>
      <c r="R31">
        <v>30</v>
      </c>
      <c r="S31">
        <v>60</v>
      </c>
      <c r="T31">
        <v>100</v>
      </c>
      <c r="U31">
        <v>300</v>
      </c>
      <c r="V31">
        <v>30</v>
      </c>
      <c r="W31">
        <v>70</v>
      </c>
      <c r="X31">
        <v>5</v>
      </c>
      <c r="Y31">
        <v>8</v>
      </c>
    </row>
    <row r="32" spans="1:29">
      <c r="A32" t="s">
        <v>144</v>
      </c>
      <c r="B32" t="s">
        <v>143</v>
      </c>
      <c r="C32" t="s">
        <v>142</v>
      </c>
      <c r="D32">
        <v>2.1</v>
      </c>
      <c r="E32">
        <v>2.6</v>
      </c>
      <c r="F32">
        <v>0.2</v>
      </c>
      <c r="G32">
        <v>0.25</v>
      </c>
      <c r="H32">
        <v>1</v>
      </c>
      <c r="I32">
        <v>1.6</v>
      </c>
      <c r="J32">
        <v>0.6</v>
      </c>
      <c r="K32">
        <v>1</v>
      </c>
      <c r="L32">
        <v>0.3</v>
      </c>
      <c r="M32">
        <v>0.5</v>
      </c>
      <c r="N32">
        <v>0.14000000000000001</v>
      </c>
      <c r="O32">
        <v>0.18</v>
      </c>
      <c r="P32">
        <v>25</v>
      </c>
      <c r="Q32">
        <v>35</v>
      </c>
      <c r="R32">
        <v>30</v>
      </c>
      <c r="S32">
        <v>40</v>
      </c>
      <c r="T32">
        <v>30</v>
      </c>
      <c r="U32">
        <v>50</v>
      </c>
      <c r="V32">
        <v>90</v>
      </c>
      <c r="W32">
        <v>120</v>
      </c>
      <c r="X32">
        <v>7</v>
      </c>
      <c r="Y32">
        <v>10</v>
      </c>
    </row>
    <row r="33" spans="1:25">
      <c r="A33" t="s">
        <v>141</v>
      </c>
      <c r="B33" t="s">
        <v>140</v>
      </c>
      <c r="C33" t="s">
        <v>139</v>
      </c>
      <c r="D33">
        <v>2.2999999999999998</v>
      </c>
      <c r="E33">
        <v>3</v>
      </c>
      <c r="F33">
        <v>0.12</v>
      </c>
      <c r="G33">
        <v>0.2</v>
      </c>
      <c r="H33">
        <v>2</v>
      </c>
      <c r="I33">
        <v>2.5</v>
      </c>
      <c r="J33">
        <v>1</v>
      </c>
      <c r="K33">
        <v>2.5</v>
      </c>
      <c r="L33">
        <v>0.25</v>
      </c>
      <c r="M33">
        <v>0.4</v>
      </c>
      <c r="N33">
        <v>0.1</v>
      </c>
      <c r="O33">
        <v>0.2</v>
      </c>
      <c r="P33">
        <v>12</v>
      </c>
      <c r="Q33">
        <v>30</v>
      </c>
      <c r="R33">
        <v>40</v>
      </c>
      <c r="S33">
        <v>75</v>
      </c>
      <c r="T33">
        <v>50</v>
      </c>
      <c r="U33">
        <v>200</v>
      </c>
      <c r="V33">
        <v>70</v>
      </c>
      <c r="W33">
        <v>125</v>
      </c>
      <c r="X33">
        <v>10</v>
      </c>
      <c r="Y33">
        <v>25</v>
      </c>
    </row>
    <row r="34" spans="1:25">
      <c r="A34" t="s">
        <v>138</v>
      </c>
      <c r="B34" t="s">
        <v>44</v>
      </c>
      <c r="C34" t="s">
        <v>43</v>
      </c>
      <c r="D34">
        <v>1.6</v>
      </c>
      <c r="E34">
        <v>2.5</v>
      </c>
      <c r="F34">
        <v>0.25</v>
      </c>
      <c r="G34">
        <v>0.4</v>
      </c>
      <c r="H34">
        <v>1</v>
      </c>
      <c r="I34">
        <v>1.8</v>
      </c>
      <c r="J34">
        <v>0.6</v>
      </c>
      <c r="K34">
        <v>1.2</v>
      </c>
      <c r="L34">
        <v>0.2</v>
      </c>
      <c r="M34">
        <v>0.4</v>
      </c>
      <c r="N34">
        <v>0</v>
      </c>
      <c r="O34">
        <v>0</v>
      </c>
      <c r="P34">
        <v>25</v>
      </c>
      <c r="Q34">
        <v>75</v>
      </c>
      <c r="R34">
        <v>18</v>
      </c>
      <c r="S34">
        <v>40</v>
      </c>
      <c r="T34">
        <v>30</v>
      </c>
      <c r="U34">
        <v>300</v>
      </c>
      <c r="V34">
        <v>75</v>
      </c>
      <c r="W34">
        <v>300</v>
      </c>
      <c r="X34">
        <v>8</v>
      </c>
      <c r="Y34">
        <v>25</v>
      </c>
    </row>
    <row r="35" spans="1:25">
      <c r="A35" t="s">
        <v>137</v>
      </c>
      <c r="B35" t="s">
        <v>136</v>
      </c>
      <c r="C35" t="s">
        <v>135</v>
      </c>
      <c r="D35">
        <v>4</v>
      </c>
      <c r="E35">
        <v>5</v>
      </c>
      <c r="F35">
        <v>0.3</v>
      </c>
      <c r="G35">
        <v>0.6</v>
      </c>
      <c r="H35">
        <v>2.2000000000000002</v>
      </c>
      <c r="I35">
        <v>3</v>
      </c>
      <c r="J35">
        <v>2</v>
      </c>
      <c r="K35">
        <v>3</v>
      </c>
      <c r="L35">
        <v>0.3</v>
      </c>
      <c r="M35">
        <v>0.5</v>
      </c>
      <c r="N35">
        <v>0</v>
      </c>
      <c r="O35">
        <v>0</v>
      </c>
      <c r="P35">
        <v>20</v>
      </c>
      <c r="Q35">
        <v>100</v>
      </c>
      <c r="R35">
        <v>25</v>
      </c>
      <c r="S35">
        <v>80</v>
      </c>
      <c r="T35">
        <v>50</v>
      </c>
      <c r="U35">
        <v>300</v>
      </c>
      <c r="V35">
        <v>50</v>
      </c>
      <c r="W35">
        <v>100</v>
      </c>
      <c r="X35">
        <v>6</v>
      </c>
      <c r="Y35">
        <v>25</v>
      </c>
    </row>
    <row r="36" spans="1:25">
      <c r="A36" t="s">
        <v>134</v>
      </c>
      <c r="B36" t="s">
        <v>132</v>
      </c>
      <c r="C36" t="s">
        <v>131</v>
      </c>
      <c r="D36">
        <v>0.9</v>
      </c>
      <c r="E36">
        <v>1.1000000000000001</v>
      </c>
      <c r="F36">
        <v>0.1</v>
      </c>
      <c r="G36">
        <v>0.2</v>
      </c>
      <c r="H36">
        <v>0.4</v>
      </c>
      <c r="I36">
        <v>0.75</v>
      </c>
      <c r="J36">
        <v>0.3</v>
      </c>
      <c r="K36">
        <v>0.8</v>
      </c>
      <c r="L36">
        <v>0.15</v>
      </c>
      <c r="M36">
        <v>0.25</v>
      </c>
      <c r="N36">
        <v>0.08</v>
      </c>
      <c r="O36">
        <v>0.25</v>
      </c>
      <c r="P36">
        <v>15</v>
      </c>
      <c r="Q36">
        <v>30</v>
      </c>
      <c r="R36">
        <v>15</v>
      </c>
      <c r="S36">
        <v>60</v>
      </c>
      <c r="T36">
        <v>10</v>
      </c>
      <c r="U36">
        <v>200</v>
      </c>
      <c r="V36">
        <v>20</v>
      </c>
      <c r="W36">
        <v>300</v>
      </c>
      <c r="X36">
        <v>4</v>
      </c>
      <c r="Y36">
        <v>10</v>
      </c>
    </row>
    <row r="37" spans="1:25">
      <c r="A37" t="s">
        <v>133</v>
      </c>
      <c r="B37" t="s">
        <v>132</v>
      </c>
      <c r="C37" t="s">
        <v>131</v>
      </c>
      <c r="D37">
        <v>0.9</v>
      </c>
      <c r="E37">
        <v>1.1000000000000001</v>
      </c>
      <c r="F37">
        <v>0.1</v>
      </c>
      <c r="G37">
        <v>0.2</v>
      </c>
      <c r="H37">
        <v>0.4</v>
      </c>
      <c r="I37">
        <v>0.75</v>
      </c>
      <c r="J37">
        <v>0.3</v>
      </c>
      <c r="K37">
        <v>0.8</v>
      </c>
      <c r="L37">
        <v>0.15</v>
      </c>
      <c r="M37">
        <v>0.25</v>
      </c>
      <c r="N37">
        <v>0.08</v>
      </c>
      <c r="O37">
        <v>0.25</v>
      </c>
      <c r="P37">
        <v>15</v>
      </c>
      <c r="Q37">
        <v>30</v>
      </c>
      <c r="R37">
        <v>15</v>
      </c>
      <c r="S37">
        <v>60</v>
      </c>
      <c r="T37">
        <v>10</v>
      </c>
      <c r="U37">
        <v>200</v>
      </c>
      <c r="V37">
        <v>20</v>
      </c>
      <c r="W37">
        <v>300</v>
      </c>
      <c r="X37">
        <v>0</v>
      </c>
      <c r="Y37">
        <v>0</v>
      </c>
    </row>
    <row r="38" spans="1:25">
      <c r="A38" t="s">
        <v>130</v>
      </c>
      <c r="B38" t="s">
        <v>11</v>
      </c>
      <c r="C38" t="s">
        <v>114</v>
      </c>
      <c r="D38">
        <v>4.5</v>
      </c>
      <c r="E38">
        <v>6</v>
      </c>
      <c r="F38">
        <v>0.3</v>
      </c>
      <c r="G38">
        <v>1.3</v>
      </c>
      <c r="H38">
        <v>3.5</v>
      </c>
      <c r="I38">
        <v>5</v>
      </c>
      <c r="J38">
        <v>1</v>
      </c>
      <c r="K38">
        <v>3.5</v>
      </c>
      <c r="L38">
        <v>0.3</v>
      </c>
      <c r="M38">
        <v>1</v>
      </c>
      <c r="N38">
        <v>0.3</v>
      </c>
      <c r="O38">
        <v>0.7</v>
      </c>
      <c r="P38">
        <v>25</v>
      </c>
      <c r="Q38">
        <v>100</v>
      </c>
      <c r="R38">
        <v>25</v>
      </c>
      <c r="S38">
        <v>60</v>
      </c>
      <c r="T38">
        <v>50</v>
      </c>
      <c r="U38">
        <v>300</v>
      </c>
      <c r="V38">
        <v>50</v>
      </c>
      <c r="W38">
        <v>300</v>
      </c>
      <c r="X38">
        <v>5</v>
      </c>
      <c r="Y38">
        <v>20</v>
      </c>
    </row>
    <row r="39" spans="1:25">
      <c r="A39" t="s">
        <v>129</v>
      </c>
      <c r="B39" t="s">
        <v>128</v>
      </c>
      <c r="C39" t="s">
        <v>127</v>
      </c>
      <c r="D39">
        <v>2.5</v>
      </c>
      <c r="E39">
        <v>3</v>
      </c>
      <c r="F39">
        <v>0.35</v>
      </c>
      <c r="G39">
        <v>0.5</v>
      </c>
      <c r="H39">
        <v>1.8</v>
      </c>
      <c r="I39">
        <v>2.2000000000000002</v>
      </c>
      <c r="J39">
        <v>0.5</v>
      </c>
      <c r="K39">
        <v>1</v>
      </c>
      <c r="L39">
        <v>0.3</v>
      </c>
      <c r="M39">
        <v>0.6</v>
      </c>
      <c r="N39">
        <v>0.2</v>
      </c>
      <c r="O39">
        <v>0.4</v>
      </c>
      <c r="P39">
        <v>20</v>
      </c>
      <c r="Q39">
        <v>30</v>
      </c>
      <c r="R39">
        <v>5</v>
      </c>
      <c r="S39">
        <v>10</v>
      </c>
      <c r="T39">
        <v>25</v>
      </c>
      <c r="U39">
        <v>100</v>
      </c>
      <c r="V39">
        <v>35</v>
      </c>
      <c r="W39">
        <v>100</v>
      </c>
      <c r="X39">
        <v>5</v>
      </c>
      <c r="Y39">
        <v>20</v>
      </c>
    </row>
    <row r="40" spans="1:25">
      <c r="A40" t="s">
        <v>537</v>
      </c>
      <c r="B40" t="s">
        <v>126</v>
      </c>
      <c r="C40" t="s">
        <v>119</v>
      </c>
      <c r="D40">
        <v>3.5</v>
      </c>
      <c r="E40">
        <v>5</v>
      </c>
      <c r="F40">
        <v>0.3</v>
      </c>
      <c r="G40">
        <v>0.5</v>
      </c>
      <c r="H40">
        <v>2.5</v>
      </c>
      <c r="I40">
        <v>4</v>
      </c>
      <c r="J40">
        <v>0.3</v>
      </c>
      <c r="K40">
        <v>0.7</v>
      </c>
      <c r="L40">
        <v>0.15</v>
      </c>
      <c r="M40">
        <v>0.45</v>
      </c>
      <c r="N40">
        <v>0.15</v>
      </c>
      <c r="O40">
        <v>0.5</v>
      </c>
      <c r="P40">
        <v>20</v>
      </c>
      <c r="Q40">
        <v>60</v>
      </c>
      <c r="R40">
        <v>5</v>
      </c>
      <c r="S40">
        <v>25</v>
      </c>
      <c r="T40">
        <v>20</v>
      </c>
      <c r="U40">
        <v>300</v>
      </c>
      <c r="V40">
        <v>50</v>
      </c>
      <c r="W40">
        <v>250</v>
      </c>
      <c r="X40">
        <v>5</v>
      </c>
      <c r="Y40">
        <v>20</v>
      </c>
    </row>
    <row r="41" spans="1:25">
      <c r="A41" t="s">
        <v>125</v>
      </c>
      <c r="B41" t="s">
        <v>124</v>
      </c>
      <c r="C41" t="s">
        <v>123</v>
      </c>
      <c r="D41">
        <v>3</v>
      </c>
      <c r="E41">
        <v>3.5</v>
      </c>
      <c r="F41">
        <v>0.25</v>
      </c>
      <c r="G41">
        <v>0.45</v>
      </c>
      <c r="H41">
        <v>2</v>
      </c>
      <c r="I41">
        <v>2.5</v>
      </c>
      <c r="J41">
        <v>0.25</v>
      </c>
      <c r="K41">
        <v>0.5</v>
      </c>
      <c r="L41">
        <v>0.13</v>
      </c>
      <c r="M41">
        <v>0.3</v>
      </c>
      <c r="N41">
        <v>0.15</v>
      </c>
      <c r="O41">
        <v>0.5</v>
      </c>
      <c r="P41">
        <v>15</v>
      </c>
      <c r="Q41">
        <v>60</v>
      </c>
      <c r="R41">
        <v>4</v>
      </c>
      <c r="S41">
        <v>25</v>
      </c>
      <c r="T41">
        <v>15</v>
      </c>
      <c r="U41">
        <v>300</v>
      </c>
      <c r="V41">
        <v>10</v>
      </c>
      <c r="W41">
        <v>200</v>
      </c>
      <c r="X41">
        <v>3</v>
      </c>
      <c r="Y41">
        <v>15</v>
      </c>
    </row>
    <row r="42" spans="1:25">
      <c r="A42" t="s">
        <v>122</v>
      </c>
      <c r="B42" t="s">
        <v>29</v>
      </c>
      <c r="C42" t="s">
        <v>28</v>
      </c>
      <c r="D42">
        <v>2.5</v>
      </c>
      <c r="E42">
        <v>3.33</v>
      </c>
      <c r="F42">
        <v>0.25</v>
      </c>
      <c r="G42">
        <v>0.34</v>
      </c>
      <c r="H42">
        <v>1.75</v>
      </c>
      <c r="I42">
        <v>2.63</v>
      </c>
      <c r="J42">
        <v>0.3</v>
      </c>
      <c r="K42">
        <v>0.55000000000000004</v>
      </c>
      <c r="L42">
        <v>0.16</v>
      </c>
      <c r="M42">
        <v>0.34</v>
      </c>
      <c r="N42">
        <v>0.16</v>
      </c>
      <c r="O42">
        <v>0.25</v>
      </c>
      <c r="P42">
        <v>19</v>
      </c>
      <c r="Q42">
        <v>34</v>
      </c>
      <c r="R42">
        <v>6</v>
      </c>
      <c r="S42">
        <v>13</v>
      </c>
      <c r="T42">
        <v>19</v>
      </c>
      <c r="U42">
        <v>68</v>
      </c>
      <c r="V42">
        <v>21</v>
      </c>
      <c r="W42">
        <v>170</v>
      </c>
      <c r="X42">
        <v>3</v>
      </c>
      <c r="Y42">
        <v>7.5</v>
      </c>
    </row>
    <row r="43" spans="1:25">
      <c r="A43" t="s">
        <v>121</v>
      </c>
      <c r="B43" t="s">
        <v>120</v>
      </c>
      <c r="C43" t="s">
        <v>119</v>
      </c>
      <c r="D43">
        <v>1.1000000000000001</v>
      </c>
      <c r="E43">
        <v>2</v>
      </c>
      <c r="F43">
        <v>0.2</v>
      </c>
      <c r="G43">
        <v>0.3</v>
      </c>
      <c r="H43">
        <v>0.9</v>
      </c>
      <c r="I43">
        <v>2</v>
      </c>
      <c r="J43">
        <v>0.2</v>
      </c>
      <c r="K43">
        <v>0.35</v>
      </c>
      <c r="L43">
        <v>0.15</v>
      </c>
      <c r="M43">
        <v>0.25</v>
      </c>
      <c r="N43">
        <v>0.1</v>
      </c>
      <c r="O43">
        <v>0.25</v>
      </c>
      <c r="P43">
        <v>15</v>
      </c>
      <c r="Q43">
        <v>25</v>
      </c>
      <c r="R43">
        <v>4</v>
      </c>
      <c r="S43">
        <v>20</v>
      </c>
      <c r="T43">
        <v>17</v>
      </c>
      <c r="U43">
        <v>200</v>
      </c>
      <c r="V43">
        <v>50</v>
      </c>
      <c r="W43">
        <v>300</v>
      </c>
      <c r="X43">
        <v>3</v>
      </c>
      <c r="Y43">
        <v>12</v>
      </c>
    </row>
    <row r="44" spans="1:25">
      <c r="A44" t="s">
        <v>118</v>
      </c>
      <c r="B44" t="s">
        <v>117</v>
      </c>
      <c r="C44" t="s">
        <v>116</v>
      </c>
      <c r="D44">
        <v>3.29</v>
      </c>
      <c r="E44">
        <v>4.8</v>
      </c>
      <c r="F44">
        <v>0.3</v>
      </c>
      <c r="G44">
        <v>1.24</v>
      </c>
      <c r="H44">
        <v>2.5</v>
      </c>
      <c r="I44">
        <v>6.26</v>
      </c>
      <c r="J44">
        <v>0.8</v>
      </c>
      <c r="K44">
        <v>2.4</v>
      </c>
      <c r="L44">
        <v>0.19</v>
      </c>
      <c r="M44">
        <v>0.51</v>
      </c>
      <c r="N44">
        <v>0.25</v>
      </c>
      <c r="O44">
        <v>0.7</v>
      </c>
      <c r="P44">
        <v>7</v>
      </c>
      <c r="Q44">
        <v>100</v>
      </c>
      <c r="R44">
        <v>30</v>
      </c>
      <c r="S44">
        <v>75</v>
      </c>
      <c r="T44">
        <v>40</v>
      </c>
      <c r="U44">
        <v>325</v>
      </c>
      <c r="V44">
        <v>100</v>
      </c>
      <c r="W44">
        <v>580</v>
      </c>
      <c r="X44">
        <v>5</v>
      </c>
      <c r="Y44">
        <v>25</v>
      </c>
    </row>
    <row r="45" spans="1:25">
      <c r="A45" t="s">
        <v>115</v>
      </c>
      <c r="B45" t="s">
        <v>18</v>
      </c>
      <c r="C45" t="s">
        <v>114</v>
      </c>
      <c r="D45">
        <v>1.5</v>
      </c>
      <c r="E45">
        <v>2.5</v>
      </c>
      <c r="F45">
        <v>0.14000000000000001</v>
      </c>
      <c r="G45">
        <v>0.2</v>
      </c>
      <c r="H45">
        <v>2.2000000000000002</v>
      </c>
      <c r="I45">
        <v>2.8</v>
      </c>
      <c r="J45">
        <v>0.55000000000000004</v>
      </c>
      <c r="K45">
        <v>0.7</v>
      </c>
      <c r="L45">
        <v>0.12</v>
      </c>
      <c r="M45">
        <v>0.25</v>
      </c>
      <c r="N45">
        <v>0.22</v>
      </c>
      <c r="O45">
        <v>0.28000000000000003</v>
      </c>
      <c r="P45">
        <v>25</v>
      </c>
      <c r="Q45">
        <v>35</v>
      </c>
      <c r="R45">
        <v>10</v>
      </c>
      <c r="S45">
        <v>15</v>
      </c>
      <c r="T45">
        <v>50</v>
      </c>
      <c r="U45">
        <v>350</v>
      </c>
      <c r="V45">
        <v>150</v>
      </c>
      <c r="W45">
        <v>325</v>
      </c>
      <c r="X45">
        <v>5</v>
      </c>
      <c r="Y45">
        <v>12</v>
      </c>
    </row>
    <row r="46" spans="1:25">
      <c r="A46" t="s">
        <v>113</v>
      </c>
      <c r="B46" t="s">
        <v>112</v>
      </c>
      <c r="C46" t="s">
        <v>111</v>
      </c>
      <c r="D46">
        <v>0.85</v>
      </c>
      <c r="E46">
        <v>1.25</v>
      </c>
      <c r="F46">
        <v>0.14000000000000001</v>
      </c>
      <c r="G46">
        <v>0.3</v>
      </c>
      <c r="H46">
        <v>1.2</v>
      </c>
      <c r="I46">
        <v>2.5</v>
      </c>
      <c r="J46">
        <v>1.2</v>
      </c>
      <c r="K46">
        <v>2.5</v>
      </c>
      <c r="L46">
        <v>0.3</v>
      </c>
      <c r="M46">
        <v>0.5</v>
      </c>
      <c r="N46">
        <v>0.15</v>
      </c>
      <c r="O46">
        <v>0.25</v>
      </c>
      <c r="P46">
        <v>30</v>
      </c>
      <c r="Q46">
        <v>50</v>
      </c>
      <c r="R46">
        <v>25</v>
      </c>
      <c r="S46">
        <v>50</v>
      </c>
      <c r="T46">
        <v>30</v>
      </c>
      <c r="U46">
        <v>1000</v>
      </c>
      <c r="V46">
        <v>30</v>
      </c>
      <c r="W46">
        <v>100</v>
      </c>
      <c r="X46">
        <v>5</v>
      </c>
      <c r="Y46">
        <v>15</v>
      </c>
    </row>
    <row r="47" spans="1:25">
      <c r="A47" t="s">
        <v>110</v>
      </c>
      <c r="B47" t="s">
        <v>44</v>
      </c>
      <c r="C47" t="s">
        <v>43</v>
      </c>
      <c r="D47">
        <v>1.97</v>
      </c>
      <c r="E47">
        <v>2.68</v>
      </c>
      <c r="F47">
        <v>0.15</v>
      </c>
      <c r="G47">
        <v>0.25</v>
      </c>
      <c r="H47">
        <v>0.92</v>
      </c>
      <c r="I47">
        <v>1.5</v>
      </c>
      <c r="J47">
        <v>0.61</v>
      </c>
      <c r="K47">
        <v>1.57</v>
      </c>
      <c r="L47">
        <v>0.28999999999999998</v>
      </c>
      <c r="M47">
        <v>0.49</v>
      </c>
      <c r="N47">
        <v>0.2</v>
      </c>
      <c r="O47">
        <v>0.27</v>
      </c>
      <c r="P47">
        <v>9</v>
      </c>
      <c r="Q47">
        <v>28</v>
      </c>
      <c r="R47">
        <v>17</v>
      </c>
      <c r="S47">
        <v>82</v>
      </c>
      <c r="T47">
        <v>24</v>
      </c>
      <c r="U47">
        <v>75</v>
      </c>
      <c r="V47">
        <v>48</v>
      </c>
      <c r="W47">
        <v>51</v>
      </c>
      <c r="X47">
        <v>13</v>
      </c>
      <c r="Y47">
        <v>18</v>
      </c>
    </row>
    <row r="48" spans="1:25">
      <c r="A48" t="s">
        <v>109</v>
      </c>
      <c r="B48" t="s">
        <v>49</v>
      </c>
      <c r="C48" t="s">
        <v>43</v>
      </c>
      <c r="D48">
        <v>2.61</v>
      </c>
      <c r="E48">
        <v>2.77</v>
      </c>
      <c r="F48">
        <v>0.17</v>
      </c>
      <c r="G48">
        <v>0.27</v>
      </c>
      <c r="H48">
        <v>0.6</v>
      </c>
      <c r="I48">
        <v>1.75</v>
      </c>
      <c r="J48">
        <v>1.08</v>
      </c>
      <c r="K48">
        <v>7.81</v>
      </c>
      <c r="L48">
        <v>0.47</v>
      </c>
      <c r="M48">
        <v>0.53</v>
      </c>
      <c r="N48">
        <v>0.12</v>
      </c>
      <c r="O48">
        <v>0.28999999999999998</v>
      </c>
      <c r="P48">
        <v>18</v>
      </c>
      <c r="Q48">
        <v>32</v>
      </c>
      <c r="R48">
        <v>0</v>
      </c>
      <c r="S48">
        <v>45</v>
      </c>
      <c r="T48">
        <v>170</v>
      </c>
      <c r="U48">
        <v>184</v>
      </c>
      <c r="V48">
        <v>202</v>
      </c>
      <c r="W48">
        <v>550</v>
      </c>
      <c r="X48">
        <v>6</v>
      </c>
      <c r="Y48">
        <v>8</v>
      </c>
    </row>
    <row r="49" spans="1:25">
      <c r="A49" t="s">
        <v>108</v>
      </c>
      <c r="B49" t="s">
        <v>18</v>
      </c>
      <c r="C49" t="s">
        <v>107</v>
      </c>
      <c r="D49">
        <v>2.5</v>
      </c>
      <c r="E49">
        <v>3.5</v>
      </c>
      <c r="F49">
        <v>0.35</v>
      </c>
      <c r="G49">
        <v>0.6</v>
      </c>
      <c r="H49">
        <v>2.8</v>
      </c>
      <c r="I49">
        <v>3.5</v>
      </c>
      <c r="J49">
        <v>1</v>
      </c>
      <c r="K49">
        <v>2.5</v>
      </c>
      <c r="L49">
        <v>0.3</v>
      </c>
      <c r="M49">
        <v>0.6</v>
      </c>
      <c r="N49">
        <v>0.18</v>
      </c>
      <c r="O49">
        <v>0.3</v>
      </c>
      <c r="P49">
        <v>35</v>
      </c>
      <c r="Q49">
        <v>80</v>
      </c>
      <c r="R49">
        <v>25</v>
      </c>
      <c r="S49">
        <v>70</v>
      </c>
      <c r="T49">
        <v>30</v>
      </c>
      <c r="U49">
        <v>100</v>
      </c>
      <c r="V49">
        <v>35.4</v>
      </c>
      <c r="W49">
        <v>151</v>
      </c>
      <c r="X49">
        <v>6</v>
      </c>
      <c r="Y49">
        <v>12</v>
      </c>
    </row>
    <row r="50" spans="1:25">
      <c r="A50" t="s">
        <v>106</v>
      </c>
      <c r="B50" t="s">
        <v>18</v>
      </c>
      <c r="C50" t="s">
        <v>105</v>
      </c>
      <c r="D50">
        <v>2.5</v>
      </c>
      <c r="E50">
        <v>4</v>
      </c>
      <c r="F50">
        <v>0.4</v>
      </c>
      <c r="G50">
        <v>0.6</v>
      </c>
      <c r="H50">
        <v>6</v>
      </c>
      <c r="I50">
        <v>8</v>
      </c>
      <c r="J50">
        <v>1.4</v>
      </c>
      <c r="K50">
        <v>2</v>
      </c>
      <c r="L50">
        <v>0.5</v>
      </c>
      <c r="M50">
        <v>0.7</v>
      </c>
      <c r="N50">
        <v>0.25</v>
      </c>
      <c r="O50">
        <v>0.4</v>
      </c>
      <c r="P50">
        <v>25</v>
      </c>
      <c r="Q50">
        <v>100</v>
      </c>
      <c r="R50">
        <v>30</v>
      </c>
      <c r="S50">
        <v>100</v>
      </c>
      <c r="T50">
        <v>30</v>
      </c>
      <c r="U50">
        <v>90</v>
      </c>
      <c r="V50">
        <v>40</v>
      </c>
      <c r="W50">
        <v>500</v>
      </c>
      <c r="X50">
        <v>7</v>
      </c>
      <c r="Y50">
        <v>10</v>
      </c>
    </row>
    <row r="51" spans="1:25">
      <c r="A51" t="s">
        <v>104</v>
      </c>
      <c r="B51" t="s">
        <v>20</v>
      </c>
      <c r="C51" t="s">
        <v>57</v>
      </c>
      <c r="D51">
        <v>2.5</v>
      </c>
      <c r="E51">
        <v>3.5</v>
      </c>
      <c r="F51">
        <v>0.25</v>
      </c>
      <c r="G51">
        <v>0.4</v>
      </c>
      <c r="H51">
        <v>3.2</v>
      </c>
      <c r="I51">
        <v>5</v>
      </c>
      <c r="J51">
        <v>0.45</v>
      </c>
      <c r="K51">
        <v>0.75</v>
      </c>
      <c r="L51">
        <v>0.4</v>
      </c>
      <c r="M51">
        <v>0.7</v>
      </c>
      <c r="N51">
        <v>0.24</v>
      </c>
      <c r="O51">
        <v>0.4</v>
      </c>
      <c r="P51">
        <v>15</v>
      </c>
      <c r="Q51">
        <v>50</v>
      </c>
      <c r="R51">
        <v>65</v>
      </c>
      <c r="S51">
        <v>150</v>
      </c>
      <c r="T51">
        <v>50</v>
      </c>
      <c r="U51">
        <v>300</v>
      </c>
      <c r="V51">
        <v>60</v>
      </c>
      <c r="W51">
        <v>300</v>
      </c>
      <c r="X51">
        <v>5</v>
      </c>
      <c r="Y51">
        <v>10</v>
      </c>
    </row>
    <row r="52" spans="1:25">
      <c r="A52" t="s">
        <v>103</v>
      </c>
      <c r="B52" t="s">
        <v>102</v>
      </c>
      <c r="C52" t="s">
        <v>101</v>
      </c>
      <c r="D52">
        <v>1.48</v>
      </c>
      <c r="E52">
        <v>2.2599999999999998</v>
      </c>
      <c r="F52">
        <v>0.18</v>
      </c>
      <c r="G52">
        <v>0.3</v>
      </c>
      <c r="H52">
        <v>0.92</v>
      </c>
      <c r="I52">
        <v>1.62</v>
      </c>
      <c r="J52">
        <v>0.98</v>
      </c>
      <c r="K52">
        <v>1.51</v>
      </c>
      <c r="L52">
        <v>0.21</v>
      </c>
      <c r="M52">
        <v>0.57999999999999996</v>
      </c>
      <c r="N52">
        <v>0.14000000000000001</v>
      </c>
      <c r="O52">
        <v>0.2</v>
      </c>
      <c r="P52">
        <v>23</v>
      </c>
      <c r="Q52">
        <v>212</v>
      </c>
      <c r="R52">
        <v>38</v>
      </c>
      <c r="S52">
        <v>100</v>
      </c>
      <c r="T52">
        <v>29</v>
      </c>
      <c r="U52">
        <v>73</v>
      </c>
      <c r="V52">
        <v>107</v>
      </c>
      <c r="W52">
        <v>233</v>
      </c>
      <c r="X52">
        <v>8</v>
      </c>
      <c r="Y52">
        <v>23</v>
      </c>
    </row>
    <row r="53" spans="1:25">
      <c r="A53" t="s">
        <v>100</v>
      </c>
      <c r="B53" t="s">
        <v>99</v>
      </c>
      <c r="C53" t="s">
        <v>57</v>
      </c>
      <c r="D53">
        <v>2.1</v>
      </c>
      <c r="E53">
        <v>3.5</v>
      </c>
      <c r="F53">
        <v>0.2</v>
      </c>
      <c r="G53">
        <v>0.4</v>
      </c>
      <c r="H53">
        <v>2</v>
      </c>
      <c r="I53">
        <v>4</v>
      </c>
      <c r="J53">
        <v>0.2</v>
      </c>
      <c r="K53">
        <v>0.5</v>
      </c>
      <c r="L53">
        <v>0.13</v>
      </c>
      <c r="M53">
        <v>0.4</v>
      </c>
      <c r="N53">
        <v>0.13</v>
      </c>
      <c r="O53">
        <v>0.25</v>
      </c>
      <c r="P53">
        <v>15</v>
      </c>
      <c r="Q53">
        <v>70</v>
      </c>
      <c r="R53">
        <v>3</v>
      </c>
      <c r="S53">
        <v>40</v>
      </c>
      <c r="T53">
        <v>21</v>
      </c>
      <c r="U53">
        <v>100</v>
      </c>
      <c r="V53">
        <v>20</v>
      </c>
      <c r="W53">
        <v>250</v>
      </c>
      <c r="X53">
        <v>3</v>
      </c>
      <c r="Y53">
        <v>15</v>
      </c>
    </row>
    <row r="54" spans="1:25">
      <c r="A54" t="s">
        <v>98</v>
      </c>
      <c r="B54" t="s">
        <v>97</v>
      </c>
      <c r="C54" t="s">
        <v>97</v>
      </c>
      <c r="D54">
        <v>2</v>
      </c>
      <c r="E54">
        <v>3</v>
      </c>
      <c r="F54">
        <v>0.2</v>
      </c>
      <c r="G54">
        <v>0.5</v>
      </c>
      <c r="H54">
        <v>1.6</v>
      </c>
      <c r="I54">
        <v>2.5</v>
      </c>
      <c r="J54">
        <v>0.2</v>
      </c>
      <c r="K54">
        <v>0.5</v>
      </c>
      <c r="L54">
        <v>0.13</v>
      </c>
      <c r="M54">
        <v>0.4</v>
      </c>
      <c r="N54">
        <v>0.2</v>
      </c>
      <c r="O54">
        <v>0.4</v>
      </c>
      <c r="P54">
        <v>15</v>
      </c>
      <c r="Q54">
        <v>70</v>
      </c>
      <c r="R54">
        <v>3</v>
      </c>
      <c r="S54">
        <v>40</v>
      </c>
      <c r="T54">
        <v>21</v>
      </c>
      <c r="U54">
        <v>100</v>
      </c>
      <c r="V54">
        <v>20</v>
      </c>
      <c r="W54">
        <v>250</v>
      </c>
      <c r="X54">
        <v>3</v>
      </c>
      <c r="Y54">
        <v>15</v>
      </c>
    </row>
    <row r="55" spans="1:25">
      <c r="A55" t="s">
        <v>96</v>
      </c>
      <c r="B55" t="s">
        <v>11</v>
      </c>
      <c r="C55" t="s">
        <v>10</v>
      </c>
      <c r="D55">
        <v>4.5</v>
      </c>
      <c r="E55">
        <v>5.5</v>
      </c>
      <c r="F55">
        <v>0.3</v>
      </c>
      <c r="G55">
        <v>0.8</v>
      </c>
      <c r="H55">
        <v>4</v>
      </c>
      <c r="I55">
        <v>5</v>
      </c>
      <c r="J55">
        <v>2.2999999999999998</v>
      </c>
      <c r="K55">
        <v>3</v>
      </c>
      <c r="L55">
        <v>0.35</v>
      </c>
      <c r="M55">
        <v>0.8</v>
      </c>
      <c r="N55">
        <v>0.25</v>
      </c>
      <c r="O55">
        <v>1</v>
      </c>
      <c r="P55">
        <v>30</v>
      </c>
      <c r="Q55">
        <v>50</v>
      </c>
      <c r="R55">
        <v>50</v>
      </c>
      <c r="S55">
        <v>300</v>
      </c>
      <c r="T55">
        <v>20</v>
      </c>
      <c r="U55">
        <v>200</v>
      </c>
      <c r="V55">
        <v>40</v>
      </c>
      <c r="W55">
        <v>100</v>
      </c>
      <c r="X55">
        <v>25</v>
      </c>
      <c r="Y55">
        <v>60</v>
      </c>
    </row>
    <row r="56" spans="1:25">
      <c r="A56" t="s">
        <v>95</v>
      </c>
      <c r="B56" t="s">
        <v>7</v>
      </c>
      <c r="C56" t="s">
        <v>57</v>
      </c>
      <c r="D56">
        <v>2.5</v>
      </c>
      <c r="E56">
        <v>3.5</v>
      </c>
      <c r="F56">
        <v>0.2</v>
      </c>
      <c r="G56">
        <v>0.5</v>
      </c>
      <c r="H56">
        <v>1.5</v>
      </c>
      <c r="I56">
        <v>2.5</v>
      </c>
      <c r="J56">
        <v>0.2</v>
      </c>
      <c r="K56">
        <v>0.5</v>
      </c>
      <c r="L56">
        <v>0.16</v>
      </c>
      <c r="M56">
        <v>0.3</v>
      </c>
      <c r="N56">
        <v>0.2</v>
      </c>
      <c r="O56">
        <v>0.4</v>
      </c>
      <c r="P56">
        <v>20</v>
      </c>
      <c r="Q56">
        <v>70</v>
      </c>
      <c r="R56">
        <v>5</v>
      </c>
      <c r="S56">
        <v>25</v>
      </c>
      <c r="T56">
        <v>25</v>
      </c>
      <c r="U56">
        <v>100</v>
      </c>
      <c r="V56">
        <v>20</v>
      </c>
      <c r="W56">
        <v>250</v>
      </c>
      <c r="X56">
        <v>5</v>
      </c>
      <c r="Y56">
        <v>20</v>
      </c>
    </row>
    <row r="57" spans="1:25">
      <c r="A57" t="s">
        <v>95</v>
      </c>
      <c r="B57" t="s">
        <v>9</v>
      </c>
      <c r="C57" t="s">
        <v>57</v>
      </c>
      <c r="D57">
        <v>1.75</v>
      </c>
      <c r="E57">
        <v>3</v>
      </c>
      <c r="F57">
        <v>0.2</v>
      </c>
      <c r="G57">
        <v>0.5</v>
      </c>
      <c r="H57">
        <v>1.5</v>
      </c>
      <c r="I57">
        <v>3</v>
      </c>
      <c r="J57">
        <v>0.2</v>
      </c>
      <c r="K57">
        <v>0.5</v>
      </c>
      <c r="L57">
        <v>0.15</v>
      </c>
      <c r="M57">
        <v>0.5</v>
      </c>
      <c r="N57">
        <v>0.15</v>
      </c>
      <c r="O57">
        <v>0.4</v>
      </c>
      <c r="P57">
        <v>15</v>
      </c>
      <c r="Q57">
        <v>70</v>
      </c>
      <c r="R57">
        <v>3</v>
      </c>
      <c r="S57">
        <v>20</v>
      </c>
      <c r="T57">
        <v>25</v>
      </c>
      <c r="U57">
        <v>100</v>
      </c>
      <c r="V57">
        <v>25</v>
      </c>
      <c r="W57">
        <v>100</v>
      </c>
      <c r="X57">
        <v>5</v>
      </c>
      <c r="Y57">
        <v>25</v>
      </c>
    </row>
    <row r="58" spans="1:25">
      <c r="A58" t="s">
        <v>94</v>
      </c>
      <c r="B58" t="s">
        <v>18</v>
      </c>
      <c r="C58" t="s">
        <v>93</v>
      </c>
      <c r="D58">
        <v>5</v>
      </c>
      <c r="E58">
        <v>6</v>
      </c>
      <c r="F58">
        <v>0.35</v>
      </c>
      <c r="G58">
        <v>0.5</v>
      </c>
      <c r="H58">
        <v>4</v>
      </c>
      <c r="I58">
        <v>5.5</v>
      </c>
      <c r="J58">
        <v>1.5</v>
      </c>
      <c r="K58">
        <v>3.5</v>
      </c>
      <c r="L58">
        <v>0.3</v>
      </c>
      <c r="M58">
        <v>0.5</v>
      </c>
      <c r="N58">
        <v>0.5</v>
      </c>
      <c r="O58">
        <v>1</v>
      </c>
      <c r="P58">
        <v>20</v>
      </c>
      <c r="Q58">
        <v>55</v>
      </c>
      <c r="R58">
        <v>30</v>
      </c>
      <c r="S58">
        <v>45</v>
      </c>
      <c r="T58">
        <v>50</v>
      </c>
      <c r="U58">
        <v>65</v>
      </c>
      <c r="V58">
        <v>60</v>
      </c>
      <c r="W58">
        <v>300</v>
      </c>
      <c r="X58">
        <v>5</v>
      </c>
      <c r="Y58">
        <v>10</v>
      </c>
    </row>
    <row r="59" spans="1:25">
      <c r="A59" t="s">
        <v>258</v>
      </c>
      <c r="B59" t="s">
        <v>7</v>
      </c>
      <c r="C59" t="s">
        <v>6</v>
      </c>
      <c r="D59">
        <v>3.2</v>
      </c>
      <c r="E59">
        <v>3.5</v>
      </c>
      <c r="F59">
        <v>0.23</v>
      </c>
      <c r="G59">
        <v>0.28000000000000003</v>
      </c>
      <c r="H59">
        <v>2.6</v>
      </c>
      <c r="I59">
        <v>3</v>
      </c>
      <c r="J59">
        <v>0.5</v>
      </c>
      <c r="K59">
        <v>0.9</v>
      </c>
      <c r="L59">
        <v>0.1</v>
      </c>
      <c r="M59">
        <v>0.3</v>
      </c>
      <c r="N59">
        <v>0.25</v>
      </c>
      <c r="O59">
        <v>0.32</v>
      </c>
      <c r="P59">
        <v>20</v>
      </c>
      <c r="Q59">
        <v>50</v>
      </c>
      <c r="R59">
        <v>8</v>
      </c>
      <c r="S59">
        <v>12</v>
      </c>
      <c r="T59">
        <v>50</v>
      </c>
      <c r="U59">
        <v>150</v>
      </c>
      <c r="V59">
        <v>50</v>
      </c>
      <c r="W59">
        <v>200</v>
      </c>
      <c r="X59">
        <v>3</v>
      </c>
      <c r="Y59">
        <v>5</v>
      </c>
    </row>
    <row r="60" spans="1:25">
      <c r="A60" t="s">
        <v>92</v>
      </c>
      <c r="B60" t="s">
        <v>1</v>
      </c>
      <c r="C60" t="s">
        <v>91</v>
      </c>
      <c r="D60">
        <v>4.75</v>
      </c>
      <c r="E60">
        <v>5.25</v>
      </c>
      <c r="F60">
        <v>0.2</v>
      </c>
      <c r="G60">
        <v>0.35</v>
      </c>
      <c r="H60">
        <v>2</v>
      </c>
      <c r="I60">
        <v>2.5</v>
      </c>
      <c r="J60">
        <v>0.5</v>
      </c>
      <c r="K60">
        <v>1.5</v>
      </c>
      <c r="L60">
        <v>0.25</v>
      </c>
      <c r="M60">
        <v>0.35</v>
      </c>
      <c r="N60">
        <v>0.2</v>
      </c>
      <c r="O60">
        <v>0.4</v>
      </c>
      <c r="P60">
        <v>45</v>
      </c>
      <c r="Q60">
        <v>80</v>
      </c>
      <c r="R60">
        <v>0</v>
      </c>
      <c r="S60">
        <v>0</v>
      </c>
      <c r="T60">
        <v>50</v>
      </c>
      <c r="U60">
        <v>200</v>
      </c>
      <c r="V60">
        <v>100</v>
      </c>
      <c r="W60">
        <v>200</v>
      </c>
      <c r="X60">
        <v>5</v>
      </c>
      <c r="Y60">
        <v>20</v>
      </c>
    </row>
    <row r="61" spans="1:25">
      <c r="A61" t="s">
        <v>90</v>
      </c>
      <c r="B61" t="s">
        <v>88</v>
      </c>
      <c r="C61" t="s">
        <v>6</v>
      </c>
      <c r="D61">
        <v>4</v>
      </c>
      <c r="E61">
        <v>6</v>
      </c>
      <c r="F61">
        <v>0.3</v>
      </c>
      <c r="G61">
        <v>0.8</v>
      </c>
      <c r="H61">
        <v>2</v>
      </c>
      <c r="I61">
        <v>3.5</v>
      </c>
      <c r="J61">
        <v>1.2</v>
      </c>
      <c r="K61">
        <v>2</v>
      </c>
      <c r="L61">
        <v>0.3</v>
      </c>
      <c r="M61">
        <v>0.7</v>
      </c>
      <c r="N61">
        <v>0.2</v>
      </c>
      <c r="O61">
        <v>0.4</v>
      </c>
      <c r="P61">
        <v>25</v>
      </c>
      <c r="Q61">
        <v>100</v>
      </c>
      <c r="R61">
        <v>25</v>
      </c>
      <c r="S61">
        <v>60</v>
      </c>
      <c r="T61">
        <v>30</v>
      </c>
      <c r="U61">
        <v>400</v>
      </c>
      <c r="V61">
        <v>50</v>
      </c>
      <c r="W61">
        <v>300</v>
      </c>
      <c r="X61">
        <v>5</v>
      </c>
      <c r="Y61">
        <v>10</v>
      </c>
    </row>
    <row r="62" spans="1:25">
      <c r="A62" t="s">
        <v>89</v>
      </c>
      <c r="B62" t="s">
        <v>88</v>
      </c>
      <c r="C62" t="s">
        <v>6</v>
      </c>
      <c r="D62">
        <v>4</v>
      </c>
      <c r="E62">
        <v>6</v>
      </c>
      <c r="F62">
        <v>0.3</v>
      </c>
      <c r="G62">
        <v>0.8</v>
      </c>
      <c r="H62">
        <v>2</v>
      </c>
      <c r="I62">
        <v>3.5</v>
      </c>
      <c r="J62">
        <v>1.2</v>
      </c>
      <c r="K62">
        <v>2</v>
      </c>
      <c r="L62">
        <v>0.3</v>
      </c>
      <c r="M62">
        <v>0.7</v>
      </c>
      <c r="N62">
        <v>0.2</v>
      </c>
      <c r="O62">
        <v>0.4</v>
      </c>
      <c r="P62">
        <v>25</v>
      </c>
      <c r="Q62">
        <v>100</v>
      </c>
      <c r="R62">
        <v>25</v>
      </c>
      <c r="S62">
        <v>60</v>
      </c>
      <c r="T62">
        <v>30</v>
      </c>
      <c r="U62">
        <v>400</v>
      </c>
      <c r="V62">
        <v>50</v>
      </c>
      <c r="W62">
        <v>300</v>
      </c>
      <c r="X62">
        <v>5</v>
      </c>
      <c r="Y62">
        <v>10</v>
      </c>
    </row>
    <row r="63" spans="1:25">
      <c r="A63" t="s">
        <v>87</v>
      </c>
      <c r="B63" t="s">
        <v>86</v>
      </c>
      <c r="C63" t="s">
        <v>85</v>
      </c>
      <c r="D63">
        <v>2.2000000000000002</v>
      </c>
      <c r="E63">
        <v>2.8</v>
      </c>
      <c r="F63">
        <v>0.12</v>
      </c>
      <c r="G63">
        <v>0.25</v>
      </c>
      <c r="H63">
        <v>1</v>
      </c>
      <c r="I63">
        <v>2</v>
      </c>
      <c r="J63">
        <v>1</v>
      </c>
      <c r="K63">
        <v>2.5</v>
      </c>
      <c r="L63">
        <v>0.25</v>
      </c>
      <c r="M63">
        <v>0.5</v>
      </c>
      <c r="N63">
        <v>0.15</v>
      </c>
      <c r="O63">
        <v>0.4</v>
      </c>
      <c r="P63">
        <v>20</v>
      </c>
      <c r="Q63">
        <v>150</v>
      </c>
      <c r="R63">
        <v>20</v>
      </c>
      <c r="S63">
        <v>70</v>
      </c>
      <c r="T63">
        <v>30</v>
      </c>
      <c r="U63">
        <v>150</v>
      </c>
      <c r="V63">
        <v>60</v>
      </c>
      <c r="W63">
        <v>250</v>
      </c>
      <c r="X63">
        <v>5</v>
      </c>
      <c r="Y63">
        <v>20</v>
      </c>
    </row>
    <row r="64" spans="1:25">
      <c r="A64" t="s">
        <v>84</v>
      </c>
      <c r="B64" t="s">
        <v>11</v>
      </c>
      <c r="C64" t="s">
        <v>83</v>
      </c>
      <c r="D64">
        <v>3.5</v>
      </c>
      <c r="E64">
        <v>4.5</v>
      </c>
      <c r="F64">
        <v>0.3</v>
      </c>
      <c r="G64">
        <v>0.7</v>
      </c>
      <c r="H64">
        <v>4</v>
      </c>
      <c r="I64">
        <v>5.4</v>
      </c>
      <c r="J64">
        <v>0.4</v>
      </c>
      <c r="K64">
        <v>0.6</v>
      </c>
      <c r="L64">
        <v>0.3</v>
      </c>
      <c r="M64">
        <v>1.5</v>
      </c>
      <c r="N64">
        <v>1</v>
      </c>
      <c r="O64">
        <v>1.5</v>
      </c>
      <c r="P64">
        <v>30</v>
      </c>
      <c r="Q64">
        <v>100</v>
      </c>
      <c r="R64">
        <v>30</v>
      </c>
      <c r="S64">
        <v>100</v>
      </c>
      <c r="T64">
        <v>25</v>
      </c>
      <c r="U64">
        <v>300</v>
      </c>
      <c r="V64">
        <v>60</v>
      </c>
      <c r="W64">
        <v>300</v>
      </c>
      <c r="X64">
        <v>10</v>
      </c>
      <c r="Y64">
        <v>20</v>
      </c>
    </row>
    <row r="65" spans="1:28">
      <c r="A65" t="s">
        <v>82</v>
      </c>
      <c r="B65" t="s">
        <v>81</v>
      </c>
      <c r="C65" t="s">
        <v>80</v>
      </c>
      <c r="D65">
        <v>3.38</v>
      </c>
      <c r="E65">
        <v>3.85</v>
      </c>
      <c r="F65">
        <v>0.41</v>
      </c>
      <c r="G65">
        <v>0.54</v>
      </c>
      <c r="H65">
        <v>2.41</v>
      </c>
      <c r="I65">
        <v>2.86</v>
      </c>
      <c r="J65">
        <v>1.41</v>
      </c>
      <c r="K65">
        <v>2.35</v>
      </c>
      <c r="L65">
        <v>0.22</v>
      </c>
      <c r="M65">
        <v>0.56999999999999995</v>
      </c>
      <c r="N65">
        <v>0.18</v>
      </c>
      <c r="O65">
        <v>0.3</v>
      </c>
      <c r="P65">
        <v>81</v>
      </c>
      <c r="Q65">
        <v>171</v>
      </c>
      <c r="R65">
        <v>28</v>
      </c>
      <c r="S65">
        <v>39</v>
      </c>
      <c r="T65">
        <v>72</v>
      </c>
      <c r="U65">
        <v>150</v>
      </c>
      <c r="V65">
        <v>49</v>
      </c>
      <c r="W65">
        <v>142</v>
      </c>
      <c r="X65">
        <v>4</v>
      </c>
      <c r="Y65">
        <v>10</v>
      </c>
    </row>
    <row r="66" spans="1:28" s="97" customFormat="1">
      <c r="A66" s="97" t="s">
        <v>542</v>
      </c>
      <c r="B66" s="97" t="s">
        <v>79</v>
      </c>
      <c r="C66" s="97" t="s">
        <v>78</v>
      </c>
      <c r="D66" s="97">
        <v>1.9</v>
      </c>
      <c r="E66" s="97">
        <v>4.28</v>
      </c>
      <c r="F66" s="97">
        <v>0.1</v>
      </c>
      <c r="G66" s="97">
        <v>0.34</v>
      </c>
      <c r="H66" s="97">
        <v>0.86</v>
      </c>
      <c r="I66" s="97">
        <v>2</v>
      </c>
      <c r="J66" s="97">
        <v>1.39</v>
      </c>
      <c r="K66" s="97">
        <v>3.52</v>
      </c>
      <c r="L66" s="97">
        <v>0.21</v>
      </c>
      <c r="M66" s="97">
        <v>0.61</v>
      </c>
      <c r="N66" s="97">
        <v>0.1</v>
      </c>
      <c r="O66" s="97">
        <v>0.37</v>
      </c>
      <c r="P66" s="97">
        <v>28</v>
      </c>
      <c r="Q66" s="97">
        <v>32</v>
      </c>
      <c r="R66" s="97">
        <v>0.1</v>
      </c>
      <c r="S66" s="97">
        <v>72</v>
      </c>
      <c r="T66" s="97">
        <v>90</v>
      </c>
      <c r="U66" s="97">
        <v>471</v>
      </c>
      <c r="V66" s="97">
        <v>122</v>
      </c>
      <c r="W66" s="97">
        <v>280</v>
      </c>
      <c r="X66" s="97">
        <v>5</v>
      </c>
      <c r="Y66" s="97">
        <v>10</v>
      </c>
    </row>
    <row r="67" spans="1:28">
      <c r="A67" t="s">
        <v>77</v>
      </c>
      <c r="B67" t="s">
        <v>1</v>
      </c>
      <c r="C67" t="s">
        <v>76</v>
      </c>
      <c r="D67">
        <v>1.89</v>
      </c>
      <c r="F67">
        <v>0.13</v>
      </c>
      <c r="H67">
        <v>0.94</v>
      </c>
      <c r="J67">
        <v>0.89</v>
      </c>
      <c r="L67">
        <v>0.16</v>
      </c>
      <c r="N67">
        <v>0.12</v>
      </c>
      <c r="P67">
        <v>21</v>
      </c>
      <c r="R67">
        <v>36</v>
      </c>
      <c r="T67">
        <v>645</v>
      </c>
      <c r="V67">
        <v>35</v>
      </c>
      <c r="X67">
        <v>5</v>
      </c>
      <c r="Z67">
        <v>61</v>
      </c>
      <c r="AB67">
        <v>41</v>
      </c>
    </row>
    <row r="68" spans="1:28">
      <c r="A68" t="s">
        <v>75</v>
      </c>
      <c r="B68" t="s">
        <v>34</v>
      </c>
      <c r="C68" t="s">
        <v>73</v>
      </c>
      <c r="D68">
        <v>3</v>
      </c>
      <c r="E68">
        <v>4.5</v>
      </c>
      <c r="F68">
        <v>0.3</v>
      </c>
      <c r="G68">
        <v>0.5</v>
      </c>
      <c r="H68">
        <v>7.7</v>
      </c>
      <c r="I68">
        <v>8.5</v>
      </c>
      <c r="J68">
        <v>0.6</v>
      </c>
      <c r="K68">
        <v>2.5</v>
      </c>
      <c r="L68">
        <v>0.3</v>
      </c>
      <c r="M68">
        <v>0.6</v>
      </c>
      <c r="N68">
        <v>0.2</v>
      </c>
      <c r="O68">
        <v>0.5</v>
      </c>
      <c r="P68">
        <v>20</v>
      </c>
      <c r="Q68">
        <v>70</v>
      </c>
      <c r="R68">
        <v>15</v>
      </c>
      <c r="S68">
        <v>40</v>
      </c>
      <c r="T68">
        <v>20</v>
      </c>
      <c r="U68">
        <v>200</v>
      </c>
      <c r="V68">
        <v>70</v>
      </c>
      <c r="W68">
        <v>250</v>
      </c>
      <c r="X68">
        <v>6</v>
      </c>
      <c r="Y68">
        <v>30</v>
      </c>
    </row>
    <row r="69" spans="1:28">
      <c r="A69" t="s">
        <v>74</v>
      </c>
      <c r="B69" t="s">
        <v>71</v>
      </c>
      <c r="C69" t="s">
        <v>73</v>
      </c>
      <c r="D69">
        <v>3</v>
      </c>
      <c r="E69">
        <v>5</v>
      </c>
      <c r="F69">
        <v>0.2</v>
      </c>
      <c r="G69">
        <v>0.5</v>
      </c>
      <c r="H69">
        <v>6</v>
      </c>
      <c r="I69">
        <v>9</v>
      </c>
      <c r="J69">
        <v>0.6</v>
      </c>
      <c r="K69">
        <v>2.5</v>
      </c>
      <c r="L69">
        <v>0.5</v>
      </c>
      <c r="M69">
        <v>1</v>
      </c>
      <c r="N69">
        <v>0.2</v>
      </c>
      <c r="O69">
        <v>0.5</v>
      </c>
      <c r="P69">
        <v>20</v>
      </c>
      <c r="Q69">
        <v>100</v>
      </c>
      <c r="R69">
        <v>15</v>
      </c>
      <c r="S69">
        <v>40</v>
      </c>
      <c r="T69">
        <v>20</v>
      </c>
      <c r="U69">
        <v>200</v>
      </c>
      <c r="V69">
        <v>70</v>
      </c>
      <c r="W69">
        <v>250</v>
      </c>
      <c r="X69">
        <v>6</v>
      </c>
      <c r="Y69">
        <v>30</v>
      </c>
    </row>
    <row r="70" spans="1:28">
      <c r="A70" t="s">
        <v>72</v>
      </c>
      <c r="B70" t="s">
        <v>71</v>
      </c>
      <c r="C70" t="s">
        <v>69</v>
      </c>
      <c r="D70">
        <v>3</v>
      </c>
      <c r="E70">
        <v>4</v>
      </c>
      <c r="F70">
        <v>0.25</v>
      </c>
      <c r="G70">
        <v>0.4</v>
      </c>
      <c r="H70">
        <v>6</v>
      </c>
      <c r="I70">
        <v>8</v>
      </c>
      <c r="J70">
        <v>1.5</v>
      </c>
      <c r="K70">
        <v>2.5</v>
      </c>
      <c r="L70">
        <v>0.3</v>
      </c>
      <c r="M70">
        <v>1.5</v>
      </c>
      <c r="N70">
        <v>0.2</v>
      </c>
      <c r="O70">
        <v>0.5</v>
      </c>
      <c r="P70">
        <v>20</v>
      </c>
      <c r="Q70">
        <v>70</v>
      </c>
      <c r="R70">
        <v>40</v>
      </c>
      <c r="S70">
        <v>70</v>
      </c>
      <c r="T70">
        <v>30</v>
      </c>
      <c r="U70">
        <v>250</v>
      </c>
      <c r="V70">
        <v>40</v>
      </c>
      <c r="W70">
        <v>100</v>
      </c>
      <c r="X70">
        <v>7</v>
      </c>
      <c r="Y70">
        <v>20</v>
      </c>
    </row>
    <row r="71" spans="1:28">
      <c r="A71" t="s">
        <v>70</v>
      </c>
      <c r="B71" t="s">
        <v>34</v>
      </c>
      <c r="C71" t="s">
        <v>69</v>
      </c>
      <c r="D71">
        <v>3.5</v>
      </c>
      <c r="E71">
        <v>4.5</v>
      </c>
      <c r="F71">
        <v>0.25</v>
      </c>
      <c r="G71">
        <v>0.75</v>
      </c>
      <c r="H71">
        <v>3.5</v>
      </c>
      <c r="I71">
        <v>5</v>
      </c>
      <c r="J71">
        <v>0.6</v>
      </c>
      <c r="K71">
        <v>2.5</v>
      </c>
      <c r="L71">
        <v>0.25</v>
      </c>
      <c r="M71">
        <v>1.25</v>
      </c>
      <c r="N71">
        <v>0.2</v>
      </c>
      <c r="O71">
        <v>0.5</v>
      </c>
      <c r="P71">
        <v>20</v>
      </c>
      <c r="Q71">
        <v>70</v>
      </c>
      <c r="R71">
        <v>5</v>
      </c>
      <c r="S71">
        <v>40</v>
      </c>
      <c r="T71">
        <v>20</v>
      </c>
      <c r="U71">
        <v>200</v>
      </c>
      <c r="V71">
        <v>11</v>
      </c>
      <c r="W71">
        <v>300</v>
      </c>
      <c r="X71">
        <v>5</v>
      </c>
      <c r="Y71">
        <v>30</v>
      </c>
    </row>
    <row r="72" spans="1:28">
      <c r="A72" t="s">
        <v>68</v>
      </c>
      <c r="B72" t="s">
        <v>67</v>
      </c>
      <c r="C72" t="s">
        <v>10</v>
      </c>
      <c r="D72">
        <v>4</v>
      </c>
      <c r="E72">
        <v>6</v>
      </c>
      <c r="F72">
        <v>0.35</v>
      </c>
      <c r="G72">
        <v>1</v>
      </c>
      <c r="H72">
        <v>4</v>
      </c>
      <c r="I72">
        <v>6</v>
      </c>
      <c r="J72">
        <v>1</v>
      </c>
      <c r="K72">
        <v>2.5</v>
      </c>
      <c r="L72">
        <v>0.3</v>
      </c>
      <c r="M72">
        <v>1</v>
      </c>
      <c r="N72">
        <v>0.32</v>
      </c>
      <c r="O72">
        <v>0.7</v>
      </c>
      <c r="P72">
        <v>20</v>
      </c>
      <c r="Q72">
        <v>200</v>
      </c>
      <c r="R72">
        <v>25</v>
      </c>
      <c r="S72">
        <v>75</v>
      </c>
      <c r="T72">
        <v>50</v>
      </c>
      <c r="U72">
        <v>250</v>
      </c>
      <c r="V72">
        <v>60</v>
      </c>
      <c r="W72">
        <v>300</v>
      </c>
      <c r="X72">
        <v>6</v>
      </c>
      <c r="Y72">
        <v>25</v>
      </c>
    </row>
    <row r="73" spans="1:28">
      <c r="A73" t="s">
        <v>66</v>
      </c>
      <c r="B73" t="s">
        <v>65</v>
      </c>
      <c r="C73" t="s">
        <v>64</v>
      </c>
      <c r="D73">
        <v>3</v>
      </c>
      <c r="E73">
        <v>5</v>
      </c>
      <c r="F73">
        <v>0.3</v>
      </c>
      <c r="G73">
        <v>0.7</v>
      </c>
      <c r="H73">
        <v>4</v>
      </c>
      <c r="I73">
        <v>7.5</v>
      </c>
      <c r="J73">
        <v>3</v>
      </c>
      <c r="K73">
        <v>4.5</v>
      </c>
      <c r="L73">
        <v>0.5</v>
      </c>
      <c r="M73">
        <v>4.5</v>
      </c>
      <c r="N73">
        <v>0.1</v>
      </c>
      <c r="O73">
        <v>100</v>
      </c>
      <c r="P73">
        <v>25</v>
      </c>
      <c r="Q73">
        <v>100</v>
      </c>
      <c r="R73">
        <v>25</v>
      </c>
      <c r="S73">
        <v>125</v>
      </c>
      <c r="T73">
        <v>50</v>
      </c>
      <c r="U73">
        <v>250</v>
      </c>
      <c r="V73">
        <v>50</v>
      </c>
      <c r="W73">
        <v>200</v>
      </c>
      <c r="X73">
        <v>5</v>
      </c>
      <c r="Y73">
        <v>25</v>
      </c>
    </row>
    <row r="74" spans="1:28">
      <c r="A74" t="s">
        <v>63</v>
      </c>
      <c r="B74" t="s">
        <v>62</v>
      </c>
      <c r="C74" t="s">
        <v>61</v>
      </c>
      <c r="D74">
        <v>2.4</v>
      </c>
      <c r="E74">
        <v>2.6</v>
      </c>
      <c r="F74">
        <v>0.19</v>
      </c>
      <c r="G74">
        <v>0.22</v>
      </c>
      <c r="H74">
        <v>1.2</v>
      </c>
      <c r="I74">
        <v>1.3</v>
      </c>
      <c r="J74">
        <v>0.8</v>
      </c>
      <c r="K74">
        <v>1</v>
      </c>
      <c r="L74">
        <v>0.4</v>
      </c>
      <c r="M74">
        <v>0.48</v>
      </c>
      <c r="N74">
        <v>0.15</v>
      </c>
      <c r="O74">
        <v>0.2</v>
      </c>
      <c r="P74">
        <v>14</v>
      </c>
      <c r="Q74">
        <v>16</v>
      </c>
      <c r="R74">
        <v>25</v>
      </c>
      <c r="S74">
        <v>35</v>
      </c>
      <c r="T74">
        <v>30</v>
      </c>
      <c r="U74">
        <v>50</v>
      </c>
      <c r="V74">
        <v>60</v>
      </c>
      <c r="W74">
        <v>90</v>
      </c>
      <c r="X74">
        <v>7</v>
      </c>
      <c r="Y74">
        <v>10</v>
      </c>
    </row>
    <row r="75" spans="1:28">
      <c r="A75" t="s">
        <v>60</v>
      </c>
      <c r="B75" t="s">
        <v>14</v>
      </c>
      <c r="C75" t="s">
        <v>13</v>
      </c>
      <c r="D75">
        <v>2.5</v>
      </c>
      <c r="E75">
        <v>4</v>
      </c>
      <c r="F75">
        <v>0.25</v>
      </c>
      <c r="G75">
        <v>0.45</v>
      </c>
      <c r="H75">
        <v>2.25</v>
      </c>
      <c r="I75">
        <v>3.5</v>
      </c>
      <c r="J75">
        <v>0.7</v>
      </c>
      <c r="K75">
        <v>2.5</v>
      </c>
      <c r="L75">
        <v>0.25</v>
      </c>
      <c r="M75">
        <v>0.7</v>
      </c>
      <c r="N75">
        <v>0.25</v>
      </c>
      <c r="O75">
        <v>0.5</v>
      </c>
      <c r="P75">
        <v>20</v>
      </c>
      <c r="Q75">
        <v>60</v>
      </c>
      <c r="R75">
        <v>25</v>
      </c>
      <c r="S75">
        <v>60</v>
      </c>
      <c r="T75">
        <v>20</v>
      </c>
      <c r="U75">
        <v>100</v>
      </c>
      <c r="V75">
        <v>30</v>
      </c>
      <c r="W75">
        <v>250</v>
      </c>
      <c r="X75">
        <v>3</v>
      </c>
      <c r="Y75">
        <v>30</v>
      </c>
    </row>
    <row r="76" spans="1:28">
      <c r="A76" t="s">
        <v>59</v>
      </c>
      <c r="B76" t="s">
        <v>58</v>
      </c>
      <c r="C76" t="s">
        <v>57</v>
      </c>
      <c r="D76">
        <v>1.8</v>
      </c>
      <c r="E76">
        <v>3.4</v>
      </c>
      <c r="F76">
        <v>0.15</v>
      </c>
      <c r="G76">
        <v>0.31</v>
      </c>
      <c r="H76">
        <v>1.2</v>
      </c>
      <c r="I76">
        <v>2.4</v>
      </c>
      <c r="J76">
        <v>0.5</v>
      </c>
      <c r="K76">
        <v>1.1000000000000001</v>
      </c>
      <c r="L76">
        <v>0.15</v>
      </c>
      <c r="M76">
        <v>0.3</v>
      </c>
      <c r="N76">
        <v>0.2</v>
      </c>
      <c r="O76">
        <v>0.37</v>
      </c>
      <c r="P76">
        <v>19</v>
      </c>
      <c r="Q76">
        <v>43</v>
      </c>
      <c r="R76">
        <v>15</v>
      </c>
      <c r="S76">
        <v>35</v>
      </c>
      <c r="T76">
        <v>16</v>
      </c>
      <c r="U76">
        <v>72</v>
      </c>
      <c r="V76">
        <v>30</v>
      </c>
      <c r="W76">
        <v>250</v>
      </c>
      <c r="X76">
        <v>12</v>
      </c>
      <c r="Y76">
        <v>23</v>
      </c>
    </row>
    <row r="77" spans="1:28">
      <c r="A77" t="s">
        <v>56</v>
      </c>
      <c r="B77" t="s">
        <v>1</v>
      </c>
      <c r="C77" t="s">
        <v>52</v>
      </c>
      <c r="D77">
        <v>1.91</v>
      </c>
      <c r="E77">
        <v>2.35</v>
      </c>
      <c r="F77">
        <v>0.15</v>
      </c>
      <c r="G77">
        <v>0.17</v>
      </c>
      <c r="H77">
        <v>0.51</v>
      </c>
      <c r="I77">
        <v>0.92</v>
      </c>
      <c r="J77">
        <v>0.36</v>
      </c>
      <c r="K77">
        <v>1.97</v>
      </c>
      <c r="L77">
        <v>0.15</v>
      </c>
      <c r="M77">
        <v>0.37</v>
      </c>
      <c r="N77">
        <v>0.14000000000000001</v>
      </c>
      <c r="O77">
        <v>0.18</v>
      </c>
      <c r="P77">
        <v>14</v>
      </c>
      <c r="Q77">
        <v>110</v>
      </c>
      <c r="R77">
        <v>18</v>
      </c>
      <c r="S77">
        <v>72</v>
      </c>
      <c r="T77">
        <v>350</v>
      </c>
      <c r="U77">
        <v>1062</v>
      </c>
      <c r="V77">
        <v>38</v>
      </c>
      <c r="W77">
        <v>67</v>
      </c>
      <c r="X77">
        <v>2</v>
      </c>
      <c r="Y77">
        <v>63</v>
      </c>
    </row>
    <row r="78" spans="1:28">
      <c r="A78" t="s">
        <v>55</v>
      </c>
      <c r="B78" t="s">
        <v>44</v>
      </c>
      <c r="C78" t="s">
        <v>43</v>
      </c>
      <c r="D78">
        <v>1.87</v>
      </c>
      <c r="E78">
        <v>2.7</v>
      </c>
      <c r="F78">
        <v>0.11</v>
      </c>
      <c r="G78">
        <v>0.25</v>
      </c>
      <c r="H78">
        <v>0.95</v>
      </c>
      <c r="I78">
        <v>1.72</v>
      </c>
      <c r="J78">
        <v>0.55000000000000004</v>
      </c>
      <c r="K78">
        <v>0.95</v>
      </c>
      <c r="L78">
        <v>0.2</v>
      </c>
      <c r="M78">
        <v>0.4</v>
      </c>
      <c r="N78">
        <v>0.17</v>
      </c>
      <c r="O78">
        <v>0.21</v>
      </c>
      <c r="P78">
        <v>16</v>
      </c>
      <c r="Q78">
        <v>30</v>
      </c>
      <c r="R78">
        <v>36</v>
      </c>
      <c r="S78">
        <v>70</v>
      </c>
      <c r="T78">
        <v>240</v>
      </c>
      <c r="U78">
        <v>1736</v>
      </c>
      <c r="V78">
        <v>63</v>
      </c>
      <c r="W78">
        <v>125</v>
      </c>
      <c r="X78">
        <v>5</v>
      </c>
      <c r="Y78">
        <v>14</v>
      </c>
    </row>
    <row r="79" spans="1:28">
      <c r="A79" t="s">
        <v>54</v>
      </c>
      <c r="B79" t="s">
        <v>53</v>
      </c>
      <c r="C79" t="s">
        <v>52</v>
      </c>
      <c r="D79">
        <v>2.0699999999999998</v>
      </c>
      <c r="E79">
        <v>2.74</v>
      </c>
      <c r="F79">
        <v>0.13</v>
      </c>
      <c r="G79">
        <v>0.21</v>
      </c>
      <c r="H79">
        <v>0.69</v>
      </c>
      <c r="I79">
        <v>1.21</v>
      </c>
      <c r="J79">
        <v>0.51</v>
      </c>
      <c r="K79">
        <v>0.95</v>
      </c>
      <c r="L79">
        <v>0.21</v>
      </c>
      <c r="M79">
        <v>0.31</v>
      </c>
      <c r="N79">
        <v>0.14000000000000001</v>
      </c>
      <c r="O79">
        <v>0.2</v>
      </c>
      <c r="P79">
        <v>16</v>
      </c>
      <c r="Q79">
        <v>200</v>
      </c>
      <c r="R79">
        <v>11</v>
      </c>
      <c r="S79">
        <v>65</v>
      </c>
      <c r="T79">
        <v>151</v>
      </c>
      <c r="U79">
        <v>1345</v>
      </c>
      <c r="V79">
        <v>43</v>
      </c>
      <c r="W79">
        <v>72</v>
      </c>
      <c r="X79">
        <v>4</v>
      </c>
      <c r="Y79">
        <v>11</v>
      </c>
    </row>
    <row r="80" spans="1:28">
      <c r="A80" t="s">
        <v>51</v>
      </c>
      <c r="B80" t="s">
        <v>7</v>
      </c>
      <c r="C80" t="s">
        <v>6</v>
      </c>
      <c r="D80">
        <v>2.5</v>
      </c>
      <c r="E80">
        <v>3.5</v>
      </c>
      <c r="F80">
        <v>0.2</v>
      </c>
      <c r="G80">
        <v>0.5</v>
      </c>
      <c r="H80">
        <v>1.5</v>
      </c>
      <c r="I80">
        <v>2.5</v>
      </c>
      <c r="J80">
        <v>0.2</v>
      </c>
      <c r="K80">
        <v>0.5</v>
      </c>
      <c r="L80">
        <v>0.16</v>
      </c>
      <c r="M80">
        <v>0.3</v>
      </c>
      <c r="N80">
        <v>0.2</v>
      </c>
      <c r="O80">
        <v>0.4</v>
      </c>
      <c r="P80">
        <v>20</v>
      </c>
      <c r="Q80">
        <v>70</v>
      </c>
      <c r="R80">
        <v>5</v>
      </c>
      <c r="S80">
        <v>25</v>
      </c>
      <c r="T80">
        <v>25</v>
      </c>
      <c r="U80">
        <v>100</v>
      </c>
      <c r="V80">
        <v>20</v>
      </c>
      <c r="W80">
        <v>250</v>
      </c>
      <c r="X80">
        <v>5</v>
      </c>
      <c r="Y80">
        <v>20</v>
      </c>
    </row>
    <row r="81" spans="1:25">
      <c r="A81" t="s">
        <v>50</v>
      </c>
      <c r="B81" t="s">
        <v>49</v>
      </c>
      <c r="C81" t="s">
        <v>43</v>
      </c>
      <c r="D81">
        <v>2.7</v>
      </c>
      <c r="E81">
        <v>3.42</v>
      </c>
      <c r="F81">
        <v>0.31</v>
      </c>
      <c r="G81">
        <v>0.44</v>
      </c>
      <c r="H81">
        <v>2.88</v>
      </c>
      <c r="I81">
        <v>4.47</v>
      </c>
      <c r="J81">
        <v>0.48</v>
      </c>
      <c r="K81">
        <v>0.65</v>
      </c>
      <c r="L81">
        <v>0.27</v>
      </c>
      <c r="M81">
        <v>0.44</v>
      </c>
      <c r="N81">
        <v>0.3</v>
      </c>
      <c r="O81">
        <v>0.32</v>
      </c>
      <c r="P81">
        <v>72</v>
      </c>
      <c r="Q81">
        <v>139</v>
      </c>
      <c r="R81">
        <v>29</v>
      </c>
      <c r="S81">
        <v>38</v>
      </c>
      <c r="T81">
        <v>36</v>
      </c>
      <c r="U81">
        <v>63</v>
      </c>
      <c r="V81">
        <v>104</v>
      </c>
      <c r="W81">
        <v>121</v>
      </c>
      <c r="X81">
        <v>7</v>
      </c>
      <c r="Y81">
        <v>21</v>
      </c>
    </row>
    <row r="82" spans="1:25">
      <c r="A82" t="s">
        <v>48</v>
      </c>
      <c r="B82" t="s">
        <v>7</v>
      </c>
      <c r="C82" t="s">
        <v>47</v>
      </c>
      <c r="D82">
        <v>3</v>
      </c>
      <c r="E82">
        <v>4</v>
      </c>
      <c r="F82">
        <v>0.25</v>
      </c>
      <c r="G82">
        <v>0.4</v>
      </c>
      <c r="H82">
        <v>1.4</v>
      </c>
      <c r="I82">
        <v>1.8</v>
      </c>
      <c r="J82">
        <v>0.3</v>
      </c>
      <c r="K82">
        <v>0.6</v>
      </c>
      <c r="L82">
        <v>0.2</v>
      </c>
      <c r="M82">
        <v>0.5</v>
      </c>
      <c r="N82">
        <v>0.15</v>
      </c>
      <c r="O82">
        <v>0.3</v>
      </c>
      <c r="P82">
        <v>15</v>
      </c>
      <c r="Q82">
        <v>30</v>
      </c>
      <c r="R82">
        <v>3</v>
      </c>
      <c r="S82">
        <v>20</v>
      </c>
      <c r="T82">
        <v>15</v>
      </c>
      <c r="U82">
        <v>200</v>
      </c>
      <c r="V82">
        <v>40</v>
      </c>
      <c r="W82">
        <v>100</v>
      </c>
      <c r="X82">
        <v>3</v>
      </c>
      <c r="Y82">
        <v>7</v>
      </c>
    </row>
    <row r="83" spans="1:25">
      <c r="A83" t="s">
        <v>46</v>
      </c>
      <c r="B83" t="s">
        <v>7</v>
      </c>
      <c r="C83" t="s">
        <v>6</v>
      </c>
      <c r="D83">
        <v>1.8</v>
      </c>
      <c r="E83">
        <v>2.2000000000000002</v>
      </c>
      <c r="F83">
        <v>0.2</v>
      </c>
      <c r="G83">
        <v>0.3</v>
      </c>
      <c r="H83">
        <v>1.9</v>
      </c>
      <c r="I83">
        <v>2.8</v>
      </c>
      <c r="J83">
        <v>0.3</v>
      </c>
      <c r="K83">
        <v>0.7</v>
      </c>
      <c r="L83">
        <v>0.15</v>
      </c>
      <c r="M83">
        <v>0.45</v>
      </c>
      <c r="N83">
        <v>0.14000000000000001</v>
      </c>
      <c r="O83">
        <v>0.18</v>
      </c>
      <c r="P83">
        <v>20</v>
      </c>
      <c r="Q83">
        <v>60</v>
      </c>
      <c r="R83">
        <v>5</v>
      </c>
      <c r="S83">
        <v>25</v>
      </c>
      <c r="T83">
        <v>20</v>
      </c>
      <c r="U83">
        <v>300</v>
      </c>
      <c r="V83">
        <v>50</v>
      </c>
      <c r="W83">
        <v>250</v>
      </c>
      <c r="X83">
        <v>5</v>
      </c>
      <c r="Y83">
        <v>20</v>
      </c>
    </row>
    <row r="84" spans="1:25">
      <c r="A84" t="s">
        <v>45</v>
      </c>
      <c r="B84" t="s">
        <v>44</v>
      </c>
      <c r="C84" t="s">
        <v>43</v>
      </c>
      <c r="D84">
        <v>2.6</v>
      </c>
      <c r="E84">
        <v>3</v>
      </c>
      <c r="F84">
        <v>0.16</v>
      </c>
      <c r="G84">
        <v>0.22</v>
      </c>
      <c r="H84">
        <v>1.6</v>
      </c>
      <c r="I84">
        <v>2.1</v>
      </c>
      <c r="J84">
        <v>1.5</v>
      </c>
      <c r="K84">
        <v>2.6</v>
      </c>
      <c r="L84">
        <v>0.3</v>
      </c>
      <c r="M84">
        <v>0.75</v>
      </c>
      <c r="N84">
        <v>0</v>
      </c>
      <c r="O84">
        <v>0</v>
      </c>
      <c r="P84">
        <v>20</v>
      </c>
      <c r="Q84">
        <v>50</v>
      </c>
      <c r="R84">
        <v>20</v>
      </c>
      <c r="S84">
        <v>55</v>
      </c>
      <c r="T84">
        <v>40</v>
      </c>
      <c r="U84">
        <v>60</v>
      </c>
      <c r="V84">
        <v>100</v>
      </c>
      <c r="W84">
        <v>200</v>
      </c>
      <c r="X84">
        <v>8</v>
      </c>
      <c r="Y84">
        <v>30</v>
      </c>
    </row>
    <row r="85" spans="1:25">
      <c r="A85" t="s">
        <v>42</v>
      </c>
      <c r="B85" t="s">
        <v>41</v>
      </c>
      <c r="C85" t="s">
        <v>10</v>
      </c>
      <c r="D85">
        <v>4.2</v>
      </c>
      <c r="E85">
        <v>5.4</v>
      </c>
      <c r="F85">
        <v>0.3</v>
      </c>
      <c r="G85">
        <v>0.7</v>
      </c>
      <c r="H85">
        <v>2.15</v>
      </c>
      <c r="I85">
        <v>3.25</v>
      </c>
      <c r="J85">
        <v>0.8</v>
      </c>
      <c r="K85">
        <v>1.3</v>
      </c>
      <c r="L85">
        <v>0.23</v>
      </c>
      <c r="M85">
        <v>0.55000000000000004</v>
      </c>
      <c r="N85">
        <v>0.38</v>
      </c>
      <c r="O85">
        <v>0.5</v>
      </c>
      <c r="P85">
        <v>25</v>
      </c>
      <c r="Q85">
        <v>88</v>
      </c>
      <c r="R85">
        <v>27</v>
      </c>
      <c r="S85">
        <v>224</v>
      </c>
      <c r="T85">
        <v>54</v>
      </c>
      <c r="U85">
        <v>300</v>
      </c>
      <c r="V85">
        <v>50</v>
      </c>
      <c r="W85">
        <v>300</v>
      </c>
      <c r="X85">
        <v>6</v>
      </c>
      <c r="Y85">
        <v>15</v>
      </c>
    </row>
    <row r="86" spans="1:25">
      <c r="A86" t="s">
        <v>40</v>
      </c>
      <c r="B86" t="s">
        <v>18</v>
      </c>
      <c r="C86" t="s">
        <v>10</v>
      </c>
      <c r="D86">
        <v>4.2</v>
      </c>
      <c r="E86">
        <v>5.2</v>
      </c>
      <c r="F86">
        <v>0.3</v>
      </c>
      <c r="G86">
        <v>0.6</v>
      </c>
      <c r="H86">
        <v>4</v>
      </c>
      <c r="I86">
        <v>6</v>
      </c>
      <c r="J86">
        <v>0.6</v>
      </c>
      <c r="K86">
        <v>1.2</v>
      </c>
      <c r="L86">
        <v>0.6</v>
      </c>
      <c r="M86">
        <v>1</v>
      </c>
      <c r="N86">
        <v>0.32</v>
      </c>
      <c r="O86">
        <v>0.7</v>
      </c>
      <c r="P86">
        <v>25</v>
      </c>
      <c r="Q86">
        <v>200</v>
      </c>
      <c r="R86">
        <v>25</v>
      </c>
      <c r="S86">
        <v>60</v>
      </c>
      <c r="T86">
        <v>30</v>
      </c>
      <c r="U86">
        <v>250</v>
      </c>
      <c r="V86">
        <v>60</v>
      </c>
      <c r="W86">
        <v>200</v>
      </c>
      <c r="X86">
        <v>5</v>
      </c>
      <c r="Y86">
        <v>25</v>
      </c>
    </row>
    <row r="87" spans="1:25">
      <c r="A87" t="s">
        <v>39</v>
      </c>
      <c r="B87" t="s">
        <v>11</v>
      </c>
      <c r="C87" t="s">
        <v>10</v>
      </c>
      <c r="D87">
        <v>4</v>
      </c>
      <c r="E87">
        <v>6</v>
      </c>
      <c r="F87">
        <v>0.35</v>
      </c>
      <c r="G87">
        <v>1</v>
      </c>
      <c r="H87">
        <v>4</v>
      </c>
      <c r="I87">
        <v>6</v>
      </c>
      <c r="J87">
        <v>1</v>
      </c>
      <c r="K87">
        <v>2.5</v>
      </c>
      <c r="L87">
        <v>0.3</v>
      </c>
      <c r="M87">
        <v>1</v>
      </c>
      <c r="N87">
        <v>0.2</v>
      </c>
      <c r="O87">
        <v>0.7</v>
      </c>
      <c r="P87">
        <v>20</v>
      </c>
      <c r="Q87">
        <v>200</v>
      </c>
      <c r="R87">
        <v>25</v>
      </c>
      <c r="S87">
        <v>75</v>
      </c>
      <c r="T87">
        <v>50</v>
      </c>
      <c r="U87">
        <v>250</v>
      </c>
      <c r="V87">
        <v>60</v>
      </c>
      <c r="W87">
        <v>300</v>
      </c>
      <c r="X87">
        <v>5</v>
      </c>
      <c r="Y87">
        <v>25</v>
      </c>
    </row>
    <row r="88" spans="1:25">
      <c r="A88" t="s">
        <v>38</v>
      </c>
      <c r="B88" t="s">
        <v>37</v>
      </c>
      <c r="C88" t="s">
        <v>36</v>
      </c>
      <c r="D88">
        <v>2.1</v>
      </c>
      <c r="E88">
        <v>2.9</v>
      </c>
      <c r="F88">
        <v>0.24</v>
      </c>
      <c r="G88">
        <v>0.3</v>
      </c>
      <c r="H88">
        <v>1.2</v>
      </c>
      <c r="I88">
        <v>1.7</v>
      </c>
      <c r="J88">
        <v>0.6</v>
      </c>
      <c r="K88">
        <v>1</v>
      </c>
      <c r="L88">
        <v>0.3</v>
      </c>
      <c r="M88">
        <v>0.5</v>
      </c>
      <c r="N88">
        <v>0.14000000000000001</v>
      </c>
      <c r="O88">
        <v>0.18</v>
      </c>
      <c r="P88">
        <v>25</v>
      </c>
      <c r="Q88">
        <v>35</v>
      </c>
      <c r="R88">
        <v>30</v>
      </c>
      <c r="S88">
        <v>40</v>
      </c>
      <c r="T88">
        <v>30</v>
      </c>
      <c r="U88">
        <v>50</v>
      </c>
      <c r="V88">
        <v>90</v>
      </c>
      <c r="W88">
        <v>120</v>
      </c>
      <c r="X88">
        <v>7</v>
      </c>
      <c r="Y88">
        <v>10</v>
      </c>
    </row>
    <row r="89" spans="1:25">
      <c r="A89" t="s">
        <v>35</v>
      </c>
      <c r="B89" t="s">
        <v>34</v>
      </c>
      <c r="C89" t="s">
        <v>6</v>
      </c>
      <c r="D89">
        <v>4.3</v>
      </c>
      <c r="E89">
        <v>5</v>
      </c>
      <c r="F89">
        <v>0.45</v>
      </c>
      <c r="G89">
        <v>1.1000000000000001</v>
      </c>
      <c r="H89">
        <v>2</v>
      </c>
      <c r="I89">
        <v>6</v>
      </c>
      <c r="J89">
        <v>0.5</v>
      </c>
      <c r="K89">
        <v>1.5</v>
      </c>
      <c r="L89">
        <v>0.25</v>
      </c>
      <c r="M89">
        <v>1</v>
      </c>
      <c r="N89">
        <v>0.38</v>
      </c>
      <c r="O89">
        <v>0.5</v>
      </c>
      <c r="P89">
        <v>10</v>
      </c>
      <c r="Q89">
        <v>80</v>
      </c>
      <c r="R89">
        <v>31</v>
      </c>
      <c r="S89">
        <v>200</v>
      </c>
      <c r="T89">
        <v>25</v>
      </c>
      <c r="U89">
        <v>360</v>
      </c>
      <c r="V89">
        <v>60</v>
      </c>
      <c r="W89">
        <v>140</v>
      </c>
      <c r="X89">
        <v>6</v>
      </c>
      <c r="Y89">
        <v>15</v>
      </c>
    </row>
    <row r="90" spans="1:25">
      <c r="A90" t="s">
        <v>33</v>
      </c>
      <c r="B90" t="s">
        <v>32</v>
      </c>
      <c r="C90" t="s">
        <v>31</v>
      </c>
      <c r="D90">
        <v>3.6</v>
      </c>
      <c r="E90">
        <v>5</v>
      </c>
      <c r="F90">
        <v>0.25</v>
      </c>
      <c r="G90">
        <v>0.56000000000000005</v>
      </c>
      <c r="H90">
        <v>3.5</v>
      </c>
      <c r="I90">
        <v>6</v>
      </c>
      <c r="J90">
        <v>2.2999999999999998</v>
      </c>
      <c r="K90">
        <v>2.5</v>
      </c>
      <c r="L90">
        <v>0.3</v>
      </c>
      <c r="M90">
        <v>1.2</v>
      </c>
      <c r="N90">
        <v>0.3</v>
      </c>
      <c r="O90">
        <v>0.55000000000000004</v>
      </c>
      <c r="P90">
        <v>13</v>
      </c>
      <c r="Q90">
        <v>23</v>
      </c>
      <c r="R90">
        <v>30</v>
      </c>
      <c r="S90">
        <v>150</v>
      </c>
      <c r="T90">
        <v>46</v>
      </c>
      <c r="U90">
        <v>80</v>
      </c>
      <c r="V90">
        <v>50</v>
      </c>
      <c r="W90">
        <v>750</v>
      </c>
      <c r="X90">
        <v>4</v>
      </c>
      <c r="Y90">
        <v>28</v>
      </c>
    </row>
    <row r="91" spans="1:25">
      <c r="A91" t="s">
        <v>30</v>
      </c>
      <c r="B91" t="s">
        <v>29</v>
      </c>
      <c r="C91" t="s">
        <v>28</v>
      </c>
      <c r="D91">
        <v>2.6</v>
      </c>
      <c r="E91">
        <v>3.5</v>
      </c>
      <c r="F91">
        <v>0.2</v>
      </c>
      <c r="G91">
        <v>0.3</v>
      </c>
      <c r="H91">
        <v>1.8</v>
      </c>
      <c r="I91">
        <v>2.5</v>
      </c>
      <c r="J91">
        <v>0.15</v>
      </c>
      <c r="K91">
        <v>0.3</v>
      </c>
      <c r="L91">
        <v>0.2</v>
      </c>
      <c r="M91">
        <v>0.3</v>
      </c>
      <c r="N91">
        <v>0.18</v>
      </c>
      <c r="O91">
        <v>0.3</v>
      </c>
      <c r="P91">
        <v>20</v>
      </c>
      <c r="Q91">
        <v>40</v>
      </c>
      <c r="R91">
        <v>10</v>
      </c>
      <c r="S91">
        <v>30</v>
      </c>
      <c r="T91">
        <v>20</v>
      </c>
      <c r="U91">
        <v>100</v>
      </c>
      <c r="V91">
        <v>60</v>
      </c>
      <c r="W91">
        <v>160</v>
      </c>
      <c r="X91">
        <v>6</v>
      </c>
      <c r="Y91">
        <v>12</v>
      </c>
    </row>
    <row r="92" spans="1:25">
      <c r="A92" t="s">
        <v>27</v>
      </c>
      <c r="B92" t="s">
        <v>26</v>
      </c>
      <c r="C92" t="s">
        <v>25</v>
      </c>
      <c r="D92">
        <v>3.3</v>
      </c>
      <c r="E92">
        <v>4.5</v>
      </c>
      <c r="F92">
        <v>0.23</v>
      </c>
      <c r="G92">
        <v>0.5</v>
      </c>
      <c r="H92">
        <v>3.1</v>
      </c>
      <c r="I92">
        <v>4.5</v>
      </c>
      <c r="J92">
        <v>0.7</v>
      </c>
      <c r="K92">
        <v>1.2</v>
      </c>
      <c r="L92">
        <v>0.35</v>
      </c>
      <c r="M92">
        <v>1</v>
      </c>
      <c r="N92">
        <v>0</v>
      </c>
      <c r="O92">
        <v>0</v>
      </c>
      <c r="P92">
        <v>20</v>
      </c>
      <c r="Q92">
        <v>50</v>
      </c>
      <c r="R92">
        <v>25</v>
      </c>
      <c r="S92">
        <v>75</v>
      </c>
      <c r="T92">
        <v>40</v>
      </c>
      <c r="U92">
        <v>250</v>
      </c>
      <c r="V92">
        <v>40</v>
      </c>
      <c r="W92">
        <v>100</v>
      </c>
      <c r="X92">
        <v>4</v>
      </c>
      <c r="Y92">
        <v>10</v>
      </c>
    </row>
    <row r="93" spans="1:25">
      <c r="A93" t="s">
        <v>21</v>
      </c>
      <c r="B93" t="s">
        <v>24</v>
      </c>
      <c r="C93" t="s">
        <v>6</v>
      </c>
      <c r="D93">
        <v>5.2</v>
      </c>
      <c r="E93">
        <v>6.4</v>
      </c>
      <c r="F93">
        <v>0.17</v>
      </c>
      <c r="G93">
        <v>1</v>
      </c>
      <c r="H93">
        <v>2.2000000000000002</v>
      </c>
      <c r="I93">
        <v>4.0999999999999996</v>
      </c>
      <c r="J93">
        <v>1.7</v>
      </c>
      <c r="K93">
        <v>2</v>
      </c>
      <c r="L93">
        <v>0.56999999999999995</v>
      </c>
      <c r="M93">
        <v>0.76</v>
      </c>
      <c r="N93">
        <v>0.25</v>
      </c>
      <c r="O93">
        <v>0.5</v>
      </c>
      <c r="P93">
        <v>34</v>
      </c>
      <c r="Q93">
        <v>60</v>
      </c>
      <c r="R93">
        <v>18</v>
      </c>
      <c r="S93">
        <v>24</v>
      </c>
      <c r="T93">
        <v>34</v>
      </c>
      <c r="U93">
        <v>350</v>
      </c>
      <c r="V93">
        <v>122</v>
      </c>
      <c r="W93">
        <v>530</v>
      </c>
      <c r="X93">
        <v>17</v>
      </c>
      <c r="Y93">
        <v>34</v>
      </c>
    </row>
    <row r="94" spans="1:25">
      <c r="A94" t="s">
        <v>21</v>
      </c>
      <c r="B94" t="s">
        <v>23</v>
      </c>
      <c r="C94" t="s">
        <v>22</v>
      </c>
      <c r="D94">
        <v>2</v>
      </c>
      <c r="E94">
        <v>5</v>
      </c>
      <c r="F94">
        <v>0.22</v>
      </c>
      <c r="G94">
        <v>0.4</v>
      </c>
      <c r="H94">
        <v>2.5</v>
      </c>
      <c r="I94">
        <v>7.5</v>
      </c>
      <c r="J94">
        <v>2</v>
      </c>
      <c r="K94">
        <v>5</v>
      </c>
      <c r="L94">
        <v>0.24</v>
      </c>
      <c r="M94">
        <v>1.8</v>
      </c>
      <c r="N94">
        <v>0.31</v>
      </c>
      <c r="O94">
        <v>1.2</v>
      </c>
      <c r="P94">
        <v>25</v>
      </c>
      <c r="Q94">
        <v>50</v>
      </c>
      <c r="R94">
        <v>20</v>
      </c>
      <c r="S94">
        <v>50</v>
      </c>
      <c r="T94">
        <v>500</v>
      </c>
      <c r="U94">
        <v>2000</v>
      </c>
      <c r="V94">
        <v>68</v>
      </c>
      <c r="W94">
        <v>140</v>
      </c>
      <c r="X94">
        <v>5</v>
      </c>
      <c r="Y94">
        <v>20</v>
      </c>
    </row>
    <row r="95" spans="1:25">
      <c r="A95" t="s">
        <v>21</v>
      </c>
      <c r="B95" t="s">
        <v>20</v>
      </c>
      <c r="C95" t="s">
        <v>6</v>
      </c>
      <c r="D95">
        <v>3.4</v>
      </c>
      <c r="E95">
        <v>4.25</v>
      </c>
      <c r="F95">
        <v>0.27</v>
      </c>
      <c r="G95">
        <v>0.5</v>
      </c>
      <c r="H95">
        <v>2.5</v>
      </c>
      <c r="I95">
        <v>3.2</v>
      </c>
      <c r="J95">
        <v>1.5</v>
      </c>
      <c r="K95">
        <v>3.5</v>
      </c>
      <c r="L95">
        <v>0.2</v>
      </c>
      <c r="M95">
        <v>0.35</v>
      </c>
      <c r="N95">
        <v>0.25</v>
      </c>
      <c r="O95">
        <v>0.5</v>
      </c>
      <c r="P95">
        <v>20</v>
      </c>
      <c r="Q95">
        <v>80</v>
      </c>
      <c r="R95">
        <v>20</v>
      </c>
      <c r="S95">
        <v>50</v>
      </c>
      <c r="T95">
        <v>30</v>
      </c>
      <c r="U95">
        <v>250</v>
      </c>
      <c r="V95">
        <v>50</v>
      </c>
      <c r="W95">
        <v>200</v>
      </c>
      <c r="X95">
        <v>15</v>
      </c>
      <c r="Y95">
        <v>30</v>
      </c>
    </row>
    <row r="96" spans="1:25">
      <c r="A96" t="s">
        <v>19</v>
      </c>
      <c r="B96" t="s">
        <v>18</v>
      </c>
      <c r="C96" t="s">
        <v>10</v>
      </c>
      <c r="D96">
        <v>4</v>
      </c>
      <c r="E96">
        <v>6</v>
      </c>
      <c r="F96">
        <v>0.5</v>
      </c>
      <c r="G96">
        <v>0.8</v>
      </c>
      <c r="H96">
        <v>2.9</v>
      </c>
      <c r="I96">
        <v>5</v>
      </c>
      <c r="J96">
        <v>1</v>
      </c>
      <c r="K96">
        <v>3</v>
      </c>
      <c r="L96">
        <v>0.4</v>
      </c>
      <c r="M96">
        <v>0.6</v>
      </c>
      <c r="N96">
        <v>0.2</v>
      </c>
      <c r="O96">
        <v>1.2</v>
      </c>
      <c r="P96">
        <v>20</v>
      </c>
      <c r="Q96">
        <v>50</v>
      </c>
      <c r="R96">
        <v>25</v>
      </c>
      <c r="S96">
        <v>60</v>
      </c>
      <c r="T96">
        <v>40</v>
      </c>
      <c r="U96">
        <v>250</v>
      </c>
      <c r="V96">
        <v>40</v>
      </c>
      <c r="W96">
        <v>200</v>
      </c>
      <c r="X96">
        <v>5</v>
      </c>
      <c r="Y96">
        <v>20</v>
      </c>
    </row>
    <row r="97" spans="1:25">
      <c r="A97" t="s">
        <v>17</v>
      </c>
      <c r="B97" t="s">
        <v>14</v>
      </c>
      <c r="C97" t="s">
        <v>13</v>
      </c>
      <c r="D97">
        <v>4</v>
      </c>
      <c r="E97">
        <v>5</v>
      </c>
      <c r="F97">
        <v>0.28000000000000003</v>
      </c>
      <c r="G97">
        <v>0.36</v>
      </c>
      <c r="H97">
        <v>1.6</v>
      </c>
      <c r="I97">
        <v>2.6</v>
      </c>
      <c r="J97">
        <v>1.7</v>
      </c>
      <c r="K97">
        <v>2</v>
      </c>
      <c r="L97">
        <v>0.4</v>
      </c>
      <c r="M97">
        <v>0.6</v>
      </c>
      <c r="N97">
        <v>0.2</v>
      </c>
      <c r="O97">
        <v>0.4</v>
      </c>
      <c r="P97">
        <v>30</v>
      </c>
      <c r="Q97">
        <v>50</v>
      </c>
      <c r="R97">
        <v>30</v>
      </c>
      <c r="S97">
        <v>75</v>
      </c>
      <c r="T97">
        <v>50</v>
      </c>
      <c r="U97">
        <v>300</v>
      </c>
      <c r="V97">
        <v>50</v>
      </c>
      <c r="W97">
        <v>80</v>
      </c>
      <c r="X97">
        <v>6</v>
      </c>
      <c r="Y97">
        <v>10</v>
      </c>
    </row>
    <row r="98" spans="1:25">
      <c r="A98" t="s">
        <v>16</v>
      </c>
      <c r="B98" t="s">
        <v>7</v>
      </c>
      <c r="C98" t="s">
        <v>6</v>
      </c>
      <c r="D98">
        <v>2.5</v>
      </c>
      <c r="E98">
        <v>3.5</v>
      </c>
      <c r="F98">
        <v>0.2</v>
      </c>
      <c r="G98">
        <v>0.5</v>
      </c>
      <c r="H98">
        <v>1.5</v>
      </c>
      <c r="I98">
        <v>2.5</v>
      </c>
      <c r="J98">
        <v>0.2</v>
      </c>
      <c r="K98">
        <v>0.5</v>
      </c>
      <c r="L98">
        <v>0.16</v>
      </c>
      <c r="M98">
        <v>0.3</v>
      </c>
      <c r="N98">
        <v>0.2</v>
      </c>
      <c r="O98">
        <v>0.4</v>
      </c>
      <c r="P98">
        <v>20</v>
      </c>
      <c r="Q98">
        <v>70</v>
      </c>
      <c r="R98">
        <v>5</v>
      </c>
      <c r="S98">
        <v>25</v>
      </c>
      <c r="T98">
        <v>25</v>
      </c>
      <c r="U98">
        <v>100</v>
      </c>
      <c r="V98">
        <v>20</v>
      </c>
      <c r="W98">
        <v>250</v>
      </c>
      <c r="X98">
        <v>5</v>
      </c>
      <c r="Y98">
        <v>25</v>
      </c>
    </row>
    <row r="99" spans="1:25">
      <c r="A99" t="s">
        <v>15</v>
      </c>
      <c r="B99" t="s">
        <v>14</v>
      </c>
      <c r="C99" t="s">
        <v>13</v>
      </c>
      <c r="D99">
        <v>4</v>
      </c>
      <c r="E99">
        <v>5</v>
      </c>
      <c r="F99">
        <v>0.3</v>
      </c>
      <c r="G99">
        <v>0.6</v>
      </c>
      <c r="H99">
        <v>2.2000000000000002</v>
      </c>
      <c r="I99">
        <v>3</v>
      </c>
      <c r="J99">
        <v>2</v>
      </c>
      <c r="K99">
        <v>3</v>
      </c>
      <c r="L99">
        <v>0.3</v>
      </c>
      <c r="M99">
        <v>0.5</v>
      </c>
      <c r="N99">
        <v>0.2</v>
      </c>
      <c r="O99">
        <v>0.4</v>
      </c>
      <c r="P99">
        <v>20</v>
      </c>
      <c r="Q99">
        <v>100</v>
      </c>
      <c r="R99">
        <v>25</v>
      </c>
      <c r="S99">
        <v>80</v>
      </c>
      <c r="T99">
        <v>50</v>
      </c>
      <c r="U99">
        <v>300</v>
      </c>
      <c r="V99">
        <v>20</v>
      </c>
      <c r="W99">
        <v>100</v>
      </c>
      <c r="X99">
        <v>6</v>
      </c>
      <c r="Y99">
        <v>25</v>
      </c>
    </row>
    <row r="100" spans="1:25">
      <c r="A100" t="s">
        <v>12</v>
      </c>
      <c r="B100" t="s">
        <v>11</v>
      </c>
      <c r="C100" t="s">
        <v>10</v>
      </c>
      <c r="D100">
        <v>2</v>
      </c>
      <c r="E100">
        <v>3</v>
      </c>
      <c r="F100">
        <v>0.2</v>
      </c>
      <c r="G100">
        <v>0.3</v>
      </c>
      <c r="H100">
        <v>2.5</v>
      </c>
      <c r="I100">
        <v>3.5</v>
      </c>
      <c r="J100">
        <v>2.5</v>
      </c>
      <c r="K100">
        <v>3.5</v>
      </c>
      <c r="L100">
        <v>0.6</v>
      </c>
      <c r="M100">
        <v>0.8</v>
      </c>
      <c r="N100">
        <v>0.25</v>
      </c>
      <c r="O100">
        <v>1</v>
      </c>
      <c r="P100">
        <v>20</v>
      </c>
      <c r="Q100">
        <v>60</v>
      </c>
      <c r="R100">
        <v>30</v>
      </c>
      <c r="S100">
        <v>80</v>
      </c>
      <c r="T100">
        <v>60</v>
      </c>
      <c r="U100">
        <v>240</v>
      </c>
      <c r="V100">
        <v>100</v>
      </c>
      <c r="W100">
        <v>300</v>
      </c>
      <c r="X100">
        <v>4</v>
      </c>
      <c r="Y100">
        <v>8</v>
      </c>
    </row>
    <row r="101" spans="1:25">
      <c r="A101" t="s">
        <v>8</v>
      </c>
      <c r="B101" t="s">
        <v>9</v>
      </c>
      <c r="C101" t="s">
        <v>6</v>
      </c>
      <c r="D101">
        <v>1.75</v>
      </c>
      <c r="E101">
        <v>3</v>
      </c>
      <c r="F101">
        <v>0.2</v>
      </c>
      <c r="G101">
        <v>0.5</v>
      </c>
      <c r="H101">
        <v>1.5</v>
      </c>
      <c r="I101">
        <v>3</v>
      </c>
      <c r="J101">
        <v>0.2</v>
      </c>
      <c r="K101">
        <v>0.5</v>
      </c>
      <c r="L101">
        <v>0.15</v>
      </c>
      <c r="M101">
        <v>0.5</v>
      </c>
      <c r="N101">
        <v>0.15</v>
      </c>
      <c r="O101">
        <v>0.4</v>
      </c>
      <c r="P101">
        <v>15</v>
      </c>
      <c r="Q101">
        <v>70</v>
      </c>
      <c r="R101">
        <v>3</v>
      </c>
      <c r="S101">
        <v>20</v>
      </c>
      <c r="T101">
        <v>25</v>
      </c>
      <c r="U101">
        <v>100</v>
      </c>
      <c r="V101">
        <v>25</v>
      </c>
      <c r="W101">
        <v>100</v>
      </c>
      <c r="X101">
        <v>5</v>
      </c>
      <c r="Y101">
        <v>25</v>
      </c>
    </row>
    <row r="102" spans="1:25">
      <c r="A102" t="s">
        <v>8</v>
      </c>
      <c r="B102" t="s">
        <v>7</v>
      </c>
      <c r="C102" t="s">
        <v>6</v>
      </c>
      <c r="D102">
        <v>2.5</v>
      </c>
      <c r="E102">
        <v>3.5</v>
      </c>
      <c r="F102">
        <v>0.2</v>
      </c>
      <c r="G102">
        <v>0.5</v>
      </c>
      <c r="H102">
        <v>1.5</v>
      </c>
      <c r="I102">
        <v>2.5</v>
      </c>
      <c r="J102">
        <v>0.2</v>
      </c>
      <c r="K102">
        <v>0.5</v>
      </c>
      <c r="L102">
        <v>0.16</v>
      </c>
      <c r="M102">
        <v>0.3</v>
      </c>
      <c r="N102">
        <v>0.2</v>
      </c>
      <c r="O102">
        <v>0.4</v>
      </c>
      <c r="P102">
        <v>20</v>
      </c>
      <c r="Q102">
        <v>70</v>
      </c>
      <c r="R102">
        <v>2</v>
      </c>
      <c r="S102">
        <v>25</v>
      </c>
      <c r="T102">
        <v>25</v>
      </c>
      <c r="U102">
        <v>100</v>
      </c>
      <c r="V102">
        <v>20</v>
      </c>
      <c r="W102">
        <v>250</v>
      </c>
      <c r="X102">
        <v>5</v>
      </c>
      <c r="Y102">
        <v>20</v>
      </c>
    </row>
    <row r="103" spans="1:25">
      <c r="A103" t="s">
        <v>5</v>
      </c>
      <c r="B103" t="s">
        <v>4</v>
      </c>
      <c r="C103" t="s">
        <v>3</v>
      </c>
      <c r="D103">
        <v>1.1599999999999999</v>
      </c>
      <c r="E103">
        <v>3.2</v>
      </c>
      <c r="F103">
        <v>0.12</v>
      </c>
      <c r="G103">
        <v>0.56000000000000005</v>
      </c>
      <c r="H103">
        <v>0.32</v>
      </c>
      <c r="I103">
        <v>1.49</v>
      </c>
      <c r="J103">
        <v>0.17</v>
      </c>
      <c r="K103">
        <v>1.2</v>
      </c>
      <c r="L103">
        <v>0.05</v>
      </c>
      <c r="M103">
        <v>0.23</v>
      </c>
      <c r="N103">
        <v>7.0000000000000007E-2</v>
      </c>
      <c r="O103">
        <v>0.08</v>
      </c>
      <c r="P103">
        <v>52</v>
      </c>
      <c r="Q103">
        <v>82</v>
      </c>
      <c r="R103">
        <v>15</v>
      </c>
      <c r="S103">
        <v>34</v>
      </c>
      <c r="T103">
        <v>134</v>
      </c>
      <c r="U103">
        <v>457</v>
      </c>
      <c r="V103">
        <v>42</v>
      </c>
      <c r="W103">
        <v>267</v>
      </c>
      <c r="X103">
        <v>2</v>
      </c>
      <c r="Y103">
        <v>14</v>
      </c>
    </row>
    <row r="104" spans="1:25">
      <c r="A104" t="s">
        <v>2</v>
      </c>
      <c r="B104" t="s">
        <v>1</v>
      </c>
      <c r="C104" t="s">
        <v>0</v>
      </c>
      <c r="D104">
        <v>0.95</v>
      </c>
      <c r="E104">
        <v>2.82</v>
      </c>
      <c r="F104">
        <v>0.12</v>
      </c>
      <c r="G104">
        <v>0.59</v>
      </c>
      <c r="H104">
        <v>0.45</v>
      </c>
      <c r="I104">
        <v>1.6</v>
      </c>
      <c r="J104">
        <v>0.15</v>
      </c>
      <c r="K104">
        <v>0.87</v>
      </c>
      <c r="L104">
        <v>0.08</v>
      </c>
      <c r="M104">
        <v>0.25</v>
      </c>
      <c r="N104">
        <v>0.08</v>
      </c>
      <c r="O104">
        <v>0.17</v>
      </c>
      <c r="P104">
        <v>35</v>
      </c>
      <c r="Q104">
        <v>117</v>
      </c>
      <c r="R104">
        <v>12</v>
      </c>
      <c r="S104">
        <v>30</v>
      </c>
      <c r="T104">
        <v>188</v>
      </c>
      <c r="U104">
        <v>1052</v>
      </c>
      <c r="V104">
        <v>29</v>
      </c>
      <c r="W104">
        <v>82</v>
      </c>
      <c r="X104">
        <v>2</v>
      </c>
      <c r="Y104">
        <v>10</v>
      </c>
    </row>
  </sheetData>
  <mergeCells count="13">
    <mergeCell ref="D2:E2"/>
    <mergeCell ref="F2:G2"/>
    <mergeCell ref="H2:I2"/>
    <mergeCell ref="J2:K2"/>
    <mergeCell ref="L2:M2"/>
    <mergeCell ref="N2:O2"/>
    <mergeCell ref="AB2:AC2"/>
    <mergeCell ref="P2:Q2"/>
    <mergeCell ref="R2:S2"/>
    <mergeCell ref="T2:U2"/>
    <mergeCell ref="V2:W2"/>
    <mergeCell ref="X2:Y2"/>
    <mergeCell ref="Z2:AA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zoomScale="150" zoomScaleNormal="150" zoomScalePageLayoutView="150" workbookViewId="0">
      <pane ySplit="4" topLeftCell="A5" activePane="bottomLeft" state="frozenSplit"/>
      <selection pane="bottomLeft" activeCell="A7" sqref="A7"/>
    </sheetView>
  </sheetViews>
  <sheetFormatPr defaultColWidth="10.140625" defaultRowHeight="15.75"/>
  <cols>
    <col min="1" max="1" width="44.5703125" style="29" customWidth="1"/>
    <col min="2" max="2" width="10.140625" style="29"/>
    <col min="3" max="3" width="12" style="29" customWidth="1"/>
    <col min="4" max="6" width="10.140625" style="29" customWidth="1"/>
    <col min="7" max="7" width="10.140625" style="39"/>
    <col min="8" max="16384" width="10.140625" style="29"/>
  </cols>
  <sheetData>
    <row r="1" spans="1:9">
      <c r="A1" s="27"/>
      <c r="B1" s="28"/>
      <c r="C1" s="28"/>
      <c r="D1" s="28" t="s">
        <v>260</v>
      </c>
      <c r="E1" s="135"/>
      <c r="F1" s="135"/>
      <c r="G1" s="28" t="s">
        <v>261</v>
      </c>
      <c r="H1" s="135"/>
      <c r="I1" s="135"/>
    </row>
    <row r="2" spans="1:9">
      <c r="A2" s="27"/>
      <c r="B2" s="28" t="s">
        <v>194</v>
      </c>
      <c r="C2" s="28"/>
      <c r="D2" s="28" t="s">
        <v>262</v>
      </c>
      <c r="E2" s="135" t="s">
        <v>263</v>
      </c>
      <c r="F2" s="135"/>
      <c r="G2" s="28" t="s">
        <v>264</v>
      </c>
      <c r="H2" s="135" t="s">
        <v>265</v>
      </c>
      <c r="I2" s="135"/>
    </row>
    <row r="3" spans="1:9" ht="16.5">
      <c r="A3" s="27" t="s">
        <v>266</v>
      </c>
      <c r="B3" s="28" t="s">
        <v>267</v>
      </c>
      <c r="C3" s="28" t="s">
        <v>268</v>
      </c>
      <c r="D3" s="28" t="s">
        <v>269</v>
      </c>
      <c r="E3" s="28" t="s">
        <v>270</v>
      </c>
      <c r="F3" s="30" t="s">
        <v>271</v>
      </c>
      <c r="G3" s="28" t="s">
        <v>272</v>
      </c>
      <c r="H3" s="28" t="s">
        <v>273</v>
      </c>
      <c r="I3" s="28" t="s">
        <v>274</v>
      </c>
    </row>
    <row r="4" spans="1:9">
      <c r="A4" s="27"/>
      <c r="B4" s="28"/>
      <c r="C4" s="28" t="s">
        <v>275</v>
      </c>
      <c r="D4" s="28" t="s">
        <v>209</v>
      </c>
      <c r="E4" s="135" t="s">
        <v>276</v>
      </c>
      <c r="F4" s="135"/>
      <c r="G4" s="31"/>
      <c r="H4" s="28"/>
      <c r="I4" s="28"/>
    </row>
    <row r="5" spans="1:9">
      <c r="A5" s="83" t="s">
        <v>538</v>
      </c>
      <c r="B5" s="80"/>
      <c r="C5" s="80"/>
      <c r="D5" s="80"/>
      <c r="E5" s="82" t="s">
        <v>538</v>
      </c>
      <c r="F5" s="82" t="s">
        <v>538</v>
      </c>
      <c r="G5" s="82" t="s">
        <v>538</v>
      </c>
      <c r="H5" s="82" t="s">
        <v>538</v>
      </c>
      <c r="I5" s="82" t="s">
        <v>538</v>
      </c>
    </row>
    <row r="6" spans="1:9">
      <c r="A6" s="83" t="s">
        <v>543</v>
      </c>
      <c r="B6" s="96"/>
      <c r="C6" s="96"/>
      <c r="D6" s="96"/>
      <c r="E6" s="82"/>
      <c r="F6" s="82"/>
      <c r="G6" s="82">
        <v>1</v>
      </c>
      <c r="H6" s="82"/>
      <c r="I6" s="82"/>
    </row>
    <row r="7" spans="1:9">
      <c r="A7" s="32" t="s">
        <v>277</v>
      </c>
      <c r="B7" s="33">
        <v>1</v>
      </c>
      <c r="C7" s="33" t="s">
        <v>278</v>
      </c>
      <c r="D7" s="33" t="s">
        <v>279</v>
      </c>
      <c r="E7" s="33">
        <v>13</v>
      </c>
      <c r="F7" s="33">
        <v>60</v>
      </c>
      <c r="G7" s="34">
        <v>2</v>
      </c>
      <c r="H7" s="33">
        <v>6.8</v>
      </c>
      <c r="I7" s="33" t="s">
        <v>280</v>
      </c>
    </row>
    <row r="8" spans="1:9">
      <c r="A8" s="32" t="s">
        <v>281</v>
      </c>
      <c r="B8" s="33">
        <v>2</v>
      </c>
      <c r="C8" s="33" t="s">
        <v>282</v>
      </c>
      <c r="D8" s="33" t="s">
        <v>279</v>
      </c>
      <c r="E8" s="33">
        <v>13</v>
      </c>
      <c r="F8" s="33">
        <v>60</v>
      </c>
      <c r="G8" s="34">
        <v>2</v>
      </c>
      <c r="H8" s="33">
        <v>6.8</v>
      </c>
      <c r="I8" s="33" t="s">
        <v>280</v>
      </c>
    </row>
    <row r="9" spans="1:9" ht="16.5">
      <c r="A9" s="32" t="s">
        <v>283</v>
      </c>
      <c r="B9" s="33">
        <v>60</v>
      </c>
      <c r="C9" s="33" t="s">
        <v>284</v>
      </c>
      <c r="D9" s="33" t="s">
        <v>285</v>
      </c>
      <c r="E9" s="33" t="s">
        <v>280</v>
      </c>
      <c r="F9" s="33" t="s">
        <v>280</v>
      </c>
      <c r="G9" s="34">
        <v>2</v>
      </c>
      <c r="H9" s="33">
        <v>6.5</v>
      </c>
      <c r="I9" s="33" t="s">
        <v>280</v>
      </c>
    </row>
    <row r="10" spans="1:9">
      <c r="A10" s="32" t="s">
        <v>286</v>
      </c>
      <c r="B10" s="33">
        <v>3</v>
      </c>
      <c r="C10" s="33" t="s">
        <v>287</v>
      </c>
      <c r="D10" s="33" t="s">
        <v>285</v>
      </c>
      <c r="E10" s="33">
        <v>3.3E-3</v>
      </c>
      <c r="F10" s="33">
        <v>6.7000000000000002E-3</v>
      </c>
      <c r="G10" s="34">
        <v>3</v>
      </c>
      <c r="H10" s="33">
        <v>6</v>
      </c>
      <c r="I10" s="33">
        <v>5.6</v>
      </c>
    </row>
    <row r="11" spans="1:9">
      <c r="A11" s="32" t="s">
        <v>288</v>
      </c>
      <c r="B11" s="33">
        <v>74</v>
      </c>
      <c r="C11" s="33" t="s">
        <v>289</v>
      </c>
      <c r="D11" s="33">
        <v>14.5</v>
      </c>
      <c r="E11" s="33">
        <v>0.4</v>
      </c>
      <c r="F11" s="33">
        <v>0.35</v>
      </c>
      <c r="G11" s="34">
        <v>1</v>
      </c>
      <c r="H11" s="33">
        <v>6.6</v>
      </c>
      <c r="I11" s="33">
        <v>5.6</v>
      </c>
    </row>
    <row r="12" spans="1:9" ht="16.5">
      <c r="A12" s="32" t="s">
        <v>290</v>
      </c>
      <c r="B12" s="33">
        <v>4</v>
      </c>
      <c r="C12" s="33" t="s">
        <v>289</v>
      </c>
      <c r="D12" s="33" t="s">
        <v>280</v>
      </c>
      <c r="E12" s="33" t="s">
        <v>280</v>
      </c>
      <c r="F12" s="33" t="s">
        <v>280</v>
      </c>
      <c r="G12" s="34">
        <v>1</v>
      </c>
      <c r="H12" s="33">
        <v>6.6</v>
      </c>
      <c r="I12" s="33">
        <v>5.6</v>
      </c>
    </row>
    <row r="13" spans="1:9" ht="16.5">
      <c r="A13" s="32" t="s">
        <v>291</v>
      </c>
      <c r="B13" s="33" t="s">
        <v>280</v>
      </c>
      <c r="C13" s="33" t="s">
        <v>292</v>
      </c>
      <c r="D13" s="33" t="s">
        <v>279</v>
      </c>
      <c r="E13" s="33">
        <v>10</v>
      </c>
      <c r="F13" s="33">
        <v>32</v>
      </c>
      <c r="G13" s="33" t="s">
        <v>280</v>
      </c>
      <c r="H13" s="33" t="s">
        <v>280</v>
      </c>
      <c r="I13" s="33" t="s">
        <v>280</v>
      </c>
    </row>
    <row r="14" spans="1:9">
      <c r="A14" s="32" t="s">
        <v>293</v>
      </c>
      <c r="B14" s="33">
        <v>5</v>
      </c>
      <c r="C14" s="33" t="s">
        <v>294</v>
      </c>
      <c r="D14" s="33">
        <v>18</v>
      </c>
      <c r="E14" s="33">
        <v>1.2</v>
      </c>
      <c r="F14" s="33">
        <v>1.6</v>
      </c>
      <c r="G14" s="34">
        <v>2</v>
      </c>
      <c r="H14" s="33">
        <v>6</v>
      </c>
      <c r="I14" s="33">
        <v>5.6</v>
      </c>
    </row>
    <row r="15" spans="1:9">
      <c r="A15" s="32" t="s">
        <v>295</v>
      </c>
      <c r="B15" s="33">
        <v>6</v>
      </c>
      <c r="C15" s="33" t="s">
        <v>296</v>
      </c>
      <c r="D15" s="33" t="s">
        <v>285</v>
      </c>
      <c r="E15" s="33">
        <v>8.6E-3</v>
      </c>
      <c r="F15" s="33">
        <v>1.7000000000000001E-2</v>
      </c>
      <c r="G15" s="34">
        <v>2</v>
      </c>
      <c r="H15" s="33">
        <v>6</v>
      </c>
      <c r="I15" s="33">
        <v>5.6</v>
      </c>
    </row>
    <row r="16" spans="1:9">
      <c r="A16" s="32" t="s">
        <v>297</v>
      </c>
      <c r="B16" s="33">
        <v>44</v>
      </c>
      <c r="C16" s="33" t="s">
        <v>298</v>
      </c>
      <c r="D16" s="33" t="s">
        <v>285</v>
      </c>
      <c r="E16" s="33">
        <v>5</v>
      </c>
      <c r="F16" s="33">
        <v>20</v>
      </c>
      <c r="G16" s="34">
        <v>2</v>
      </c>
      <c r="H16" s="33">
        <v>6.8</v>
      </c>
      <c r="I16" s="33">
        <v>5.6</v>
      </c>
    </row>
    <row r="17" spans="1:9">
      <c r="A17" s="32" t="s">
        <v>299</v>
      </c>
      <c r="B17" s="33">
        <v>7</v>
      </c>
      <c r="C17" s="33" t="s">
        <v>300</v>
      </c>
      <c r="D17" s="33" t="s">
        <v>285</v>
      </c>
      <c r="E17" s="33">
        <v>1.3</v>
      </c>
      <c r="F17" s="33">
        <v>8</v>
      </c>
      <c r="G17" s="34">
        <v>3</v>
      </c>
      <c r="H17" s="33">
        <v>6</v>
      </c>
      <c r="I17" s="33">
        <v>5.6</v>
      </c>
    </row>
    <row r="18" spans="1:9" ht="16.5">
      <c r="A18" s="32" t="s">
        <v>301</v>
      </c>
      <c r="B18" s="33">
        <v>61</v>
      </c>
      <c r="C18" s="33" t="s">
        <v>284</v>
      </c>
      <c r="D18" s="33" t="s">
        <v>285</v>
      </c>
      <c r="E18" s="33" t="s">
        <v>280</v>
      </c>
      <c r="F18" s="33" t="s">
        <v>280</v>
      </c>
      <c r="G18" s="34">
        <v>2</v>
      </c>
      <c r="H18" s="33">
        <v>5.6</v>
      </c>
      <c r="I18" s="33">
        <v>5.4</v>
      </c>
    </row>
    <row r="19" spans="1:9">
      <c r="A19" s="32" t="s">
        <v>302</v>
      </c>
      <c r="B19" s="33">
        <v>8</v>
      </c>
      <c r="C19" s="33" t="s">
        <v>303</v>
      </c>
      <c r="D19" s="33" t="s">
        <v>279</v>
      </c>
      <c r="E19" s="33">
        <v>10</v>
      </c>
      <c r="F19" s="33">
        <v>48</v>
      </c>
      <c r="G19" s="34">
        <v>2</v>
      </c>
      <c r="H19" s="33">
        <v>6</v>
      </c>
      <c r="I19" s="33">
        <v>5.6</v>
      </c>
    </row>
    <row r="20" spans="1:9">
      <c r="A20" s="32" t="s">
        <v>159</v>
      </c>
      <c r="B20" s="33">
        <v>9</v>
      </c>
      <c r="C20" s="33" t="s">
        <v>304</v>
      </c>
      <c r="D20" s="33" t="s">
        <v>285</v>
      </c>
      <c r="E20" s="33">
        <v>2</v>
      </c>
      <c r="F20" s="33">
        <v>8</v>
      </c>
      <c r="G20" s="34">
        <v>3</v>
      </c>
      <c r="H20" s="33">
        <v>6</v>
      </c>
      <c r="I20" s="33">
        <v>5.6</v>
      </c>
    </row>
    <row r="21" spans="1:9">
      <c r="A21" s="32" t="s">
        <v>156</v>
      </c>
      <c r="B21" s="33">
        <v>10</v>
      </c>
      <c r="C21" s="33" t="s">
        <v>304</v>
      </c>
      <c r="D21" s="33" t="s">
        <v>285</v>
      </c>
      <c r="E21" s="33">
        <v>3.2</v>
      </c>
      <c r="F21" s="33">
        <v>9.4</v>
      </c>
      <c r="G21" s="34">
        <v>3</v>
      </c>
      <c r="H21" s="33">
        <v>6</v>
      </c>
      <c r="I21" s="33">
        <v>5.6</v>
      </c>
    </row>
    <row r="22" spans="1:9">
      <c r="A22" s="32" t="s">
        <v>154</v>
      </c>
      <c r="B22" s="33">
        <v>11</v>
      </c>
      <c r="C22" s="33" t="s">
        <v>305</v>
      </c>
      <c r="D22" s="33" t="s">
        <v>306</v>
      </c>
      <c r="E22" s="33">
        <v>1.2999999999999999E-2</v>
      </c>
      <c r="F22" s="33">
        <v>1.2999999999999999E-2</v>
      </c>
      <c r="G22" s="34">
        <v>1</v>
      </c>
      <c r="H22" s="33">
        <v>5.6</v>
      </c>
      <c r="I22" s="33">
        <v>5.4</v>
      </c>
    </row>
    <row r="23" spans="1:9">
      <c r="A23" s="32" t="s">
        <v>152</v>
      </c>
      <c r="B23" s="33">
        <v>12</v>
      </c>
      <c r="C23" s="33" t="s">
        <v>307</v>
      </c>
      <c r="D23" s="33" t="s">
        <v>285</v>
      </c>
      <c r="E23" s="33">
        <v>1.6</v>
      </c>
      <c r="F23" s="33">
        <v>7.2</v>
      </c>
      <c r="G23" s="34">
        <v>3</v>
      </c>
      <c r="H23" s="33">
        <v>6</v>
      </c>
      <c r="I23" s="33">
        <v>5.6</v>
      </c>
    </row>
    <row r="24" spans="1:9">
      <c r="A24" s="32" t="s">
        <v>151</v>
      </c>
      <c r="B24" s="33">
        <v>13</v>
      </c>
      <c r="C24" s="33" t="s">
        <v>308</v>
      </c>
      <c r="D24" s="33">
        <v>8</v>
      </c>
      <c r="E24" s="33">
        <v>1.1000000000000001</v>
      </c>
      <c r="F24" s="33">
        <v>2</v>
      </c>
      <c r="G24" s="34">
        <v>1</v>
      </c>
      <c r="H24" s="33">
        <v>5.8</v>
      </c>
      <c r="I24" s="33">
        <v>5.6</v>
      </c>
    </row>
    <row r="25" spans="1:9">
      <c r="A25" s="32" t="s">
        <v>148</v>
      </c>
      <c r="B25" s="33">
        <v>14</v>
      </c>
      <c r="C25" s="33" t="s">
        <v>309</v>
      </c>
      <c r="D25" s="33" t="s">
        <v>285</v>
      </c>
      <c r="E25" s="33">
        <v>1.8</v>
      </c>
      <c r="F25" s="33">
        <v>9.6</v>
      </c>
      <c r="G25" s="34">
        <v>3</v>
      </c>
      <c r="H25" s="33">
        <v>5.8</v>
      </c>
      <c r="I25" s="33">
        <v>5.6</v>
      </c>
    </row>
    <row r="26" spans="1:9">
      <c r="A26" s="32" t="s">
        <v>147</v>
      </c>
      <c r="B26" s="33">
        <v>15</v>
      </c>
      <c r="C26" s="33" t="s">
        <v>310</v>
      </c>
      <c r="D26" s="33" t="s">
        <v>285</v>
      </c>
      <c r="E26" s="33">
        <v>2.9</v>
      </c>
      <c r="F26" s="33">
        <v>7.1</v>
      </c>
      <c r="G26" s="34">
        <v>3</v>
      </c>
      <c r="H26" s="33">
        <v>6</v>
      </c>
      <c r="I26" s="33">
        <v>5.6</v>
      </c>
    </row>
    <row r="27" spans="1:9">
      <c r="A27" s="32" t="s">
        <v>146</v>
      </c>
      <c r="B27" s="33">
        <v>16</v>
      </c>
      <c r="C27" s="33" t="s">
        <v>311</v>
      </c>
      <c r="D27" s="33" t="s">
        <v>285</v>
      </c>
      <c r="E27" s="33">
        <v>3.3</v>
      </c>
      <c r="F27" s="33">
        <v>10</v>
      </c>
      <c r="G27" s="34">
        <v>3</v>
      </c>
      <c r="H27" s="33">
        <v>6</v>
      </c>
      <c r="I27" s="33">
        <v>5.6</v>
      </c>
    </row>
    <row r="28" spans="1:9" ht="16.5">
      <c r="A28" s="32" t="s">
        <v>312</v>
      </c>
      <c r="B28" s="33">
        <v>62</v>
      </c>
      <c r="C28" s="33" t="s">
        <v>284</v>
      </c>
      <c r="D28" s="33" t="s">
        <v>285</v>
      </c>
      <c r="E28" s="33" t="s">
        <v>280</v>
      </c>
      <c r="F28" s="33" t="s">
        <v>280</v>
      </c>
      <c r="G28" s="34">
        <v>2</v>
      </c>
      <c r="H28" s="33">
        <v>6.5</v>
      </c>
      <c r="I28" s="33" t="s">
        <v>280</v>
      </c>
    </row>
    <row r="29" spans="1:9">
      <c r="A29" s="32" t="s">
        <v>313</v>
      </c>
      <c r="B29" s="33">
        <v>42</v>
      </c>
      <c r="C29" s="33" t="s">
        <v>314</v>
      </c>
      <c r="D29" s="33" t="s">
        <v>279</v>
      </c>
      <c r="E29" s="33">
        <v>13</v>
      </c>
      <c r="F29" s="33">
        <v>60</v>
      </c>
      <c r="G29" s="34">
        <v>1</v>
      </c>
      <c r="H29" s="33">
        <v>6.3</v>
      </c>
      <c r="I29" s="33">
        <v>5.6</v>
      </c>
    </row>
    <row r="30" spans="1:9">
      <c r="A30" s="32" t="s">
        <v>315</v>
      </c>
      <c r="B30" s="33">
        <v>17</v>
      </c>
      <c r="C30" s="33" t="s">
        <v>316</v>
      </c>
      <c r="D30" s="33">
        <v>15.5</v>
      </c>
      <c r="E30" s="33">
        <v>0.38</v>
      </c>
      <c r="F30" s="33">
        <v>0.28999999999999998</v>
      </c>
      <c r="G30" s="34">
        <v>1</v>
      </c>
      <c r="H30" s="33">
        <v>6</v>
      </c>
      <c r="I30" s="33">
        <v>5.6</v>
      </c>
    </row>
    <row r="31" spans="1:9">
      <c r="A31" s="32" t="s">
        <v>317</v>
      </c>
      <c r="B31" s="33">
        <v>38</v>
      </c>
      <c r="C31" s="33" t="s">
        <v>318</v>
      </c>
      <c r="D31" s="33" t="s">
        <v>319</v>
      </c>
      <c r="E31" s="33">
        <v>0.36</v>
      </c>
      <c r="F31" s="33">
        <v>0.28999999999999998</v>
      </c>
      <c r="G31" s="34">
        <v>2</v>
      </c>
      <c r="H31" s="33">
        <v>6</v>
      </c>
      <c r="I31" s="33">
        <v>5.6</v>
      </c>
    </row>
    <row r="32" spans="1:9">
      <c r="A32" s="32" t="s">
        <v>320</v>
      </c>
      <c r="B32" s="33">
        <v>18</v>
      </c>
      <c r="C32" s="33" t="s">
        <v>321</v>
      </c>
      <c r="D32" s="33">
        <v>65</v>
      </c>
      <c r="E32" s="33">
        <v>3.6</v>
      </c>
      <c r="F32" s="33">
        <v>8.3000000000000007</v>
      </c>
      <c r="G32" s="34">
        <v>2</v>
      </c>
      <c r="H32" s="33">
        <v>6</v>
      </c>
      <c r="I32" s="33">
        <v>5.6</v>
      </c>
    </row>
    <row r="33" spans="1:9" ht="16.5">
      <c r="A33" s="32" t="s">
        <v>322</v>
      </c>
      <c r="B33" s="33" t="s">
        <v>280</v>
      </c>
      <c r="C33" s="33" t="s">
        <v>323</v>
      </c>
      <c r="D33" s="33" t="s">
        <v>279</v>
      </c>
      <c r="E33" s="33">
        <v>4.5999999999999996</v>
      </c>
      <c r="F33" s="33">
        <v>32</v>
      </c>
      <c r="G33" s="33" t="s">
        <v>280</v>
      </c>
      <c r="H33" s="33" t="s">
        <v>280</v>
      </c>
      <c r="I33" s="33" t="s">
        <v>280</v>
      </c>
    </row>
    <row r="34" spans="1:9">
      <c r="A34" s="32" t="s">
        <v>324</v>
      </c>
      <c r="B34" s="33">
        <v>19</v>
      </c>
      <c r="C34" s="33" t="s">
        <v>325</v>
      </c>
      <c r="D34" s="33" t="s">
        <v>285</v>
      </c>
      <c r="E34" s="33">
        <v>3.3</v>
      </c>
      <c r="F34" s="33">
        <v>6</v>
      </c>
      <c r="G34" s="34">
        <v>2</v>
      </c>
      <c r="H34" s="33">
        <v>6</v>
      </c>
      <c r="I34" s="33">
        <v>5.6</v>
      </c>
    </row>
    <row r="35" spans="1:9" ht="16.5">
      <c r="A35" s="32" t="s">
        <v>326</v>
      </c>
      <c r="B35" s="33">
        <v>63</v>
      </c>
      <c r="C35" s="33" t="s">
        <v>284</v>
      </c>
      <c r="D35" s="33" t="s">
        <v>285</v>
      </c>
      <c r="E35" s="33" t="s">
        <v>280</v>
      </c>
      <c r="F35" s="33" t="s">
        <v>280</v>
      </c>
      <c r="G35" s="34">
        <v>2</v>
      </c>
      <c r="H35" s="33">
        <v>5.6</v>
      </c>
      <c r="I35" s="33">
        <v>5.4</v>
      </c>
    </row>
    <row r="36" spans="1:9">
      <c r="A36" s="32" t="s">
        <v>327</v>
      </c>
      <c r="B36" s="33">
        <v>66</v>
      </c>
      <c r="C36" s="33" t="s">
        <v>280</v>
      </c>
      <c r="D36" s="33" t="s">
        <v>280</v>
      </c>
      <c r="E36" s="33">
        <v>0</v>
      </c>
      <c r="F36" s="33">
        <v>0</v>
      </c>
      <c r="G36" s="34">
        <v>2</v>
      </c>
      <c r="H36" s="33">
        <v>6.6</v>
      </c>
      <c r="I36" s="33" t="s">
        <v>280</v>
      </c>
    </row>
    <row r="37" spans="1:9">
      <c r="A37" s="32" t="s">
        <v>328</v>
      </c>
      <c r="B37" s="33">
        <v>68</v>
      </c>
      <c r="C37" s="33" t="s">
        <v>280</v>
      </c>
      <c r="D37" s="33" t="s">
        <v>280</v>
      </c>
      <c r="E37" s="33">
        <v>0</v>
      </c>
      <c r="F37" s="33">
        <v>0</v>
      </c>
      <c r="G37" s="34">
        <v>1</v>
      </c>
      <c r="H37" s="33">
        <v>5.6</v>
      </c>
      <c r="I37" s="33">
        <v>5.4</v>
      </c>
    </row>
    <row r="38" spans="1:9">
      <c r="A38" s="32" t="s">
        <v>329</v>
      </c>
      <c r="B38" s="33">
        <v>67</v>
      </c>
      <c r="C38" s="33" t="s">
        <v>280</v>
      </c>
      <c r="D38" s="33" t="s">
        <v>280</v>
      </c>
      <c r="E38" s="33">
        <v>0</v>
      </c>
      <c r="F38" s="33">
        <v>0</v>
      </c>
      <c r="G38" s="34">
        <v>1</v>
      </c>
      <c r="H38" s="33">
        <v>6.3</v>
      </c>
      <c r="I38" s="33">
        <v>5.6</v>
      </c>
    </row>
    <row r="39" spans="1:9">
      <c r="A39" s="32" t="s">
        <v>130</v>
      </c>
      <c r="B39" s="33">
        <v>20</v>
      </c>
      <c r="C39" s="33" t="s">
        <v>330</v>
      </c>
      <c r="D39" s="33" t="s">
        <v>285</v>
      </c>
      <c r="E39" s="33">
        <v>1.2</v>
      </c>
      <c r="F39" s="33">
        <v>3.6</v>
      </c>
      <c r="G39" s="34">
        <v>3</v>
      </c>
      <c r="H39" s="33">
        <v>5.8</v>
      </c>
      <c r="I39" s="33">
        <v>5.6</v>
      </c>
    </row>
    <row r="40" spans="1:9">
      <c r="A40" s="32" t="s">
        <v>331</v>
      </c>
      <c r="B40" s="33">
        <v>21</v>
      </c>
      <c r="C40" s="33" t="s">
        <v>332</v>
      </c>
      <c r="D40" s="33">
        <v>9</v>
      </c>
      <c r="E40" s="33">
        <v>0.67</v>
      </c>
      <c r="F40" s="33">
        <v>0.67</v>
      </c>
      <c r="G40" s="34">
        <v>1</v>
      </c>
      <c r="H40" s="33">
        <v>6</v>
      </c>
      <c r="I40" s="33">
        <v>5.6</v>
      </c>
    </row>
    <row r="41" spans="1:9">
      <c r="A41" s="32" t="s">
        <v>115</v>
      </c>
      <c r="B41" s="33">
        <v>22</v>
      </c>
      <c r="C41" s="33" t="s">
        <v>333</v>
      </c>
      <c r="D41" s="33" t="s">
        <v>279</v>
      </c>
      <c r="E41" s="33">
        <v>7.4999999999999997E-3</v>
      </c>
      <c r="F41" s="33">
        <v>0.03</v>
      </c>
      <c r="G41" s="34">
        <v>3</v>
      </c>
      <c r="H41" s="33" t="s">
        <v>280</v>
      </c>
      <c r="I41" s="33" t="s">
        <v>280</v>
      </c>
    </row>
    <row r="42" spans="1:9" ht="16.5">
      <c r="A42" s="32" t="s">
        <v>334</v>
      </c>
      <c r="B42" s="33">
        <v>79</v>
      </c>
      <c r="C42" s="33" t="s">
        <v>284</v>
      </c>
      <c r="D42" s="33" t="s">
        <v>285</v>
      </c>
      <c r="E42" s="33" t="s">
        <v>280</v>
      </c>
      <c r="F42" s="33" t="s">
        <v>280</v>
      </c>
      <c r="G42" s="34">
        <v>2</v>
      </c>
      <c r="H42" s="33">
        <v>6.5</v>
      </c>
      <c r="I42" s="33">
        <v>5.6</v>
      </c>
    </row>
    <row r="43" spans="1:9">
      <c r="A43" s="32" t="s">
        <v>514</v>
      </c>
      <c r="B43" s="33">
        <v>84</v>
      </c>
      <c r="C43" s="33" t="s">
        <v>335</v>
      </c>
      <c r="D43" s="33" t="s">
        <v>279</v>
      </c>
      <c r="E43" s="33">
        <v>15</v>
      </c>
      <c r="F43" s="33">
        <v>55</v>
      </c>
      <c r="G43" s="34">
        <v>1</v>
      </c>
      <c r="H43" s="33">
        <v>6</v>
      </c>
      <c r="I43" s="33">
        <v>5.6</v>
      </c>
    </row>
    <row r="44" spans="1:9">
      <c r="A44" s="32" t="s">
        <v>336</v>
      </c>
      <c r="B44" s="33">
        <v>45</v>
      </c>
      <c r="C44" s="33" t="s">
        <v>284</v>
      </c>
      <c r="D44" s="33" t="s">
        <v>280</v>
      </c>
      <c r="E44" s="33" t="s">
        <v>280</v>
      </c>
      <c r="F44" s="33" t="s">
        <v>280</v>
      </c>
      <c r="G44" s="34">
        <v>1</v>
      </c>
      <c r="H44" s="33">
        <v>6</v>
      </c>
      <c r="I44" s="33">
        <v>5.6</v>
      </c>
    </row>
    <row r="45" spans="1:9">
      <c r="A45" s="32" t="s">
        <v>337</v>
      </c>
      <c r="B45" s="33">
        <v>41</v>
      </c>
      <c r="C45" s="33" t="s">
        <v>338</v>
      </c>
      <c r="D45" s="33" t="s">
        <v>279</v>
      </c>
      <c r="E45" s="33">
        <v>7.3</v>
      </c>
      <c r="F45" s="33">
        <v>33</v>
      </c>
      <c r="G45" s="34">
        <v>1</v>
      </c>
      <c r="H45" s="33">
        <v>6</v>
      </c>
      <c r="I45" s="33">
        <v>5.6</v>
      </c>
    </row>
    <row r="46" spans="1:9">
      <c r="A46" s="32" t="s">
        <v>339</v>
      </c>
      <c r="B46" s="33">
        <v>85</v>
      </c>
      <c r="C46" s="33" t="s">
        <v>323</v>
      </c>
      <c r="D46" s="33" t="s">
        <v>279</v>
      </c>
      <c r="E46" s="33">
        <v>12</v>
      </c>
      <c r="F46" s="33">
        <v>20</v>
      </c>
      <c r="G46" s="34">
        <v>1</v>
      </c>
      <c r="H46" s="33">
        <v>6</v>
      </c>
      <c r="I46" s="33">
        <v>5.6</v>
      </c>
    </row>
    <row r="47" spans="1:9">
      <c r="A47" s="32" t="s">
        <v>340</v>
      </c>
      <c r="B47" s="33">
        <v>86</v>
      </c>
      <c r="C47" s="33" t="s">
        <v>341</v>
      </c>
      <c r="D47" s="33" t="s">
        <v>285</v>
      </c>
      <c r="E47" s="33" t="s">
        <v>280</v>
      </c>
      <c r="F47" s="33" t="s">
        <v>280</v>
      </c>
      <c r="G47" s="34">
        <v>1</v>
      </c>
      <c r="H47" s="33">
        <v>5.8</v>
      </c>
      <c r="I47" s="33" t="s">
        <v>280</v>
      </c>
    </row>
    <row r="48" spans="1:9">
      <c r="A48" s="32" t="s">
        <v>106</v>
      </c>
      <c r="B48" s="33">
        <v>23</v>
      </c>
      <c r="C48" s="33" t="s">
        <v>342</v>
      </c>
      <c r="D48" s="33" t="s">
        <v>285</v>
      </c>
      <c r="E48" s="33">
        <v>2.2999999999999998</v>
      </c>
      <c r="F48" s="33">
        <v>9.1</v>
      </c>
      <c r="G48" s="34">
        <v>3</v>
      </c>
      <c r="H48" s="33">
        <v>5.8</v>
      </c>
      <c r="I48" s="33">
        <v>5.6</v>
      </c>
    </row>
    <row r="49" spans="1:9">
      <c r="A49" s="32" t="s">
        <v>343</v>
      </c>
      <c r="B49" s="33">
        <v>24</v>
      </c>
      <c r="C49" s="33" t="s">
        <v>344</v>
      </c>
      <c r="D49" s="33" t="s">
        <v>345</v>
      </c>
      <c r="E49" s="33">
        <v>1</v>
      </c>
      <c r="F49" s="33">
        <v>1.2</v>
      </c>
      <c r="G49" s="34">
        <v>1</v>
      </c>
      <c r="H49" s="33">
        <v>6.3</v>
      </c>
      <c r="I49" s="33">
        <v>5.6</v>
      </c>
    </row>
    <row r="50" spans="1:9">
      <c r="A50" s="32" t="s">
        <v>346</v>
      </c>
      <c r="B50" s="33">
        <v>25</v>
      </c>
      <c r="C50" s="33" t="s">
        <v>347</v>
      </c>
      <c r="D50" s="33" t="s">
        <v>285</v>
      </c>
      <c r="E50" s="33">
        <v>4.4000000000000004</v>
      </c>
      <c r="F50" s="33">
        <v>16</v>
      </c>
      <c r="G50" s="34">
        <v>3</v>
      </c>
      <c r="H50" s="33">
        <v>5.8</v>
      </c>
      <c r="I50" s="33">
        <v>5.6</v>
      </c>
    </row>
    <row r="51" spans="1:9">
      <c r="A51" s="32" t="s">
        <v>348</v>
      </c>
      <c r="B51" s="33">
        <v>26</v>
      </c>
      <c r="C51" s="33" t="s">
        <v>344</v>
      </c>
      <c r="D51" s="33">
        <v>10</v>
      </c>
      <c r="E51" s="33">
        <v>0.4</v>
      </c>
      <c r="F51" s="33">
        <v>0.4</v>
      </c>
      <c r="G51" s="34">
        <v>1</v>
      </c>
      <c r="H51" s="33">
        <v>5.6</v>
      </c>
      <c r="I51" s="33">
        <v>5.4</v>
      </c>
    </row>
    <row r="52" spans="1:9">
      <c r="A52" s="32" t="s">
        <v>349</v>
      </c>
      <c r="B52" s="33">
        <v>27</v>
      </c>
      <c r="C52" s="33" t="s">
        <v>350</v>
      </c>
      <c r="D52" s="33" t="s">
        <v>280</v>
      </c>
      <c r="E52" s="33">
        <v>1.1000000000000001</v>
      </c>
      <c r="F52" s="33">
        <v>4.4000000000000004</v>
      </c>
      <c r="G52" s="34">
        <v>3</v>
      </c>
      <c r="H52" s="33" t="s">
        <v>280</v>
      </c>
      <c r="I52" s="33">
        <v>5.6</v>
      </c>
    </row>
    <row r="53" spans="1:9">
      <c r="A53" s="32" t="s">
        <v>351</v>
      </c>
      <c r="B53" s="33">
        <v>75</v>
      </c>
      <c r="C53" s="33" t="s">
        <v>352</v>
      </c>
      <c r="D53" s="33">
        <v>14</v>
      </c>
      <c r="E53" s="33">
        <v>0.28999999999999998</v>
      </c>
      <c r="F53" s="33">
        <v>0.19</v>
      </c>
      <c r="G53" s="34">
        <v>1</v>
      </c>
      <c r="H53" s="33">
        <v>5.8</v>
      </c>
      <c r="I53" s="33">
        <v>5.6</v>
      </c>
    </row>
    <row r="54" spans="1:9" ht="16.5">
      <c r="A54" s="32" t="s">
        <v>353</v>
      </c>
      <c r="B54" s="33">
        <v>28</v>
      </c>
      <c r="C54" s="33" t="s">
        <v>352</v>
      </c>
      <c r="D54" s="33" t="s">
        <v>280</v>
      </c>
      <c r="E54" s="33" t="s">
        <v>280</v>
      </c>
      <c r="F54" s="33" t="s">
        <v>280</v>
      </c>
      <c r="G54" s="34">
        <v>1</v>
      </c>
      <c r="H54" s="33">
        <v>5.8</v>
      </c>
      <c r="I54" s="33">
        <v>5.6</v>
      </c>
    </row>
    <row r="55" spans="1:9" ht="16.5">
      <c r="A55" s="32" t="s">
        <v>354</v>
      </c>
      <c r="B55" s="33" t="s">
        <v>280</v>
      </c>
      <c r="C55" s="33" t="s">
        <v>292</v>
      </c>
      <c r="D55" s="33" t="s">
        <v>279</v>
      </c>
      <c r="E55" s="33">
        <v>9.4</v>
      </c>
      <c r="F55" s="33">
        <v>47</v>
      </c>
      <c r="G55" s="33" t="s">
        <v>280</v>
      </c>
      <c r="H55" s="33" t="s">
        <v>280</v>
      </c>
      <c r="I55" s="33" t="s">
        <v>280</v>
      </c>
    </row>
    <row r="56" spans="1:9">
      <c r="A56" s="32" t="s">
        <v>94</v>
      </c>
      <c r="B56" s="33">
        <v>31</v>
      </c>
      <c r="C56" s="33" t="s">
        <v>355</v>
      </c>
      <c r="D56" s="33" t="s">
        <v>285</v>
      </c>
      <c r="E56" s="33">
        <v>0.12</v>
      </c>
      <c r="F56" s="33">
        <v>0.26</v>
      </c>
      <c r="G56" s="34">
        <v>3</v>
      </c>
      <c r="H56" s="33">
        <v>5.6</v>
      </c>
      <c r="I56" s="33">
        <v>5.4</v>
      </c>
    </row>
    <row r="57" spans="1:9" ht="16.5">
      <c r="A57" s="32" t="s">
        <v>356</v>
      </c>
      <c r="B57" s="33">
        <v>33</v>
      </c>
      <c r="C57" s="33" t="s">
        <v>357</v>
      </c>
      <c r="D57" s="33" t="s">
        <v>279</v>
      </c>
      <c r="E57" s="33">
        <v>15</v>
      </c>
      <c r="F57" s="33">
        <v>55</v>
      </c>
      <c r="G57" s="34">
        <v>1</v>
      </c>
      <c r="H57" s="33">
        <v>6</v>
      </c>
      <c r="I57" s="33">
        <v>5.6</v>
      </c>
    </row>
    <row r="58" spans="1:9">
      <c r="A58" s="32" t="s">
        <v>358</v>
      </c>
      <c r="B58" s="33">
        <v>34</v>
      </c>
      <c r="C58" s="33" t="s">
        <v>357</v>
      </c>
      <c r="D58" s="33" t="s">
        <v>279</v>
      </c>
      <c r="E58" s="33">
        <v>13</v>
      </c>
      <c r="F58" s="33">
        <v>51</v>
      </c>
      <c r="G58" s="34">
        <v>1</v>
      </c>
      <c r="H58" s="33">
        <v>6</v>
      </c>
      <c r="I58" s="33" t="s">
        <v>280</v>
      </c>
    </row>
    <row r="59" spans="1:9">
      <c r="A59" s="32" t="s">
        <v>359</v>
      </c>
      <c r="B59" s="33">
        <v>83</v>
      </c>
      <c r="C59" s="33" t="s">
        <v>357</v>
      </c>
      <c r="D59" s="33" t="s">
        <v>279</v>
      </c>
      <c r="E59" s="33">
        <v>13</v>
      </c>
      <c r="F59" s="33">
        <v>60</v>
      </c>
      <c r="G59" s="34">
        <v>1</v>
      </c>
      <c r="H59" s="33">
        <v>6.3</v>
      </c>
      <c r="I59" s="33">
        <v>5.6</v>
      </c>
    </row>
    <row r="60" spans="1:9">
      <c r="A60" s="32" t="s">
        <v>360</v>
      </c>
      <c r="B60" s="33">
        <v>32</v>
      </c>
      <c r="C60" s="33" t="s">
        <v>361</v>
      </c>
      <c r="D60" s="33" t="s">
        <v>279</v>
      </c>
      <c r="E60" s="33">
        <v>16</v>
      </c>
      <c r="F60" s="33">
        <v>36</v>
      </c>
      <c r="G60" s="34">
        <v>1</v>
      </c>
      <c r="H60" s="33">
        <v>6</v>
      </c>
      <c r="I60" s="33">
        <v>5.6</v>
      </c>
    </row>
    <row r="61" spans="1:9">
      <c r="A61" s="32" t="s">
        <v>362</v>
      </c>
      <c r="B61" s="33">
        <v>35</v>
      </c>
      <c r="C61" s="33" t="s">
        <v>363</v>
      </c>
      <c r="D61" s="33" t="s">
        <v>285</v>
      </c>
      <c r="E61" s="33">
        <v>4.5999999999999999E-3</v>
      </c>
      <c r="F61" s="33">
        <v>9.1999999999999998E-3</v>
      </c>
      <c r="G61" s="34">
        <v>2</v>
      </c>
      <c r="H61" s="33">
        <v>6</v>
      </c>
      <c r="I61" s="33">
        <v>5.6</v>
      </c>
    </row>
    <row r="62" spans="1:9">
      <c r="A62" s="32" t="s">
        <v>364</v>
      </c>
      <c r="B62" s="33">
        <v>36</v>
      </c>
      <c r="C62" s="33" t="s">
        <v>365</v>
      </c>
      <c r="D62" s="33">
        <v>10</v>
      </c>
      <c r="E62" s="33">
        <v>20</v>
      </c>
      <c r="F62" s="33">
        <v>24</v>
      </c>
      <c r="G62" s="34">
        <v>2</v>
      </c>
      <c r="H62" s="33">
        <v>6</v>
      </c>
      <c r="I62" s="33">
        <v>5.6</v>
      </c>
    </row>
    <row r="63" spans="1:9">
      <c r="A63" s="32" t="s">
        <v>84</v>
      </c>
      <c r="B63" s="33">
        <v>37</v>
      </c>
      <c r="C63" s="33" t="s">
        <v>347</v>
      </c>
      <c r="D63" s="33" t="s">
        <v>285</v>
      </c>
      <c r="E63" s="33">
        <v>1.1000000000000001</v>
      </c>
      <c r="F63" s="33">
        <v>5.6</v>
      </c>
      <c r="G63" s="34">
        <v>3</v>
      </c>
      <c r="H63" s="33">
        <v>6</v>
      </c>
      <c r="I63" s="33">
        <v>5.6</v>
      </c>
    </row>
    <row r="64" spans="1:9" ht="16.5">
      <c r="A64" s="32" t="s">
        <v>366</v>
      </c>
      <c r="B64" s="33">
        <v>39</v>
      </c>
      <c r="C64" s="33" t="s">
        <v>367</v>
      </c>
      <c r="D64" s="33" t="s">
        <v>285</v>
      </c>
      <c r="E64" s="33">
        <v>0.12</v>
      </c>
      <c r="F64" s="33">
        <v>0.5</v>
      </c>
      <c r="G64" s="34">
        <v>4</v>
      </c>
      <c r="H64" s="33" t="s">
        <v>368</v>
      </c>
      <c r="I64" s="33" t="s">
        <v>369</v>
      </c>
    </row>
    <row r="65" spans="1:9">
      <c r="A65" s="32" t="s">
        <v>68</v>
      </c>
      <c r="B65" s="33">
        <v>40</v>
      </c>
      <c r="C65" s="33" t="s">
        <v>342</v>
      </c>
      <c r="D65" s="33" t="s">
        <v>285</v>
      </c>
      <c r="E65" s="33">
        <v>2.9</v>
      </c>
      <c r="F65" s="33">
        <v>6.3</v>
      </c>
      <c r="G65" s="34">
        <v>3</v>
      </c>
      <c r="H65" s="33">
        <v>6</v>
      </c>
      <c r="I65" s="33">
        <v>5.6</v>
      </c>
    </row>
    <row r="66" spans="1:9" ht="16.5">
      <c r="A66" s="32" t="s">
        <v>370</v>
      </c>
      <c r="B66" s="33">
        <v>64</v>
      </c>
      <c r="C66" s="33" t="s">
        <v>284</v>
      </c>
      <c r="D66" s="33" t="s">
        <v>285</v>
      </c>
      <c r="E66" s="33" t="s">
        <v>280</v>
      </c>
      <c r="F66" s="33" t="s">
        <v>280</v>
      </c>
      <c r="G66" s="34">
        <v>2</v>
      </c>
      <c r="H66" s="33">
        <v>6.5</v>
      </c>
      <c r="I66" s="33">
        <v>5.6</v>
      </c>
    </row>
    <row r="67" spans="1:9">
      <c r="A67" s="32" t="s">
        <v>371</v>
      </c>
      <c r="B67" s="33">
        <v>76</v>
      </c>
      <c r="C67" s="33" t="s">
        <v>372</v>
      </c>
      <c r="D67" s="33">
        <v>14</v>
      </c>
      <c r="E67" s="33">
        <v>0.41</v>
      </c>
      <c r="F67" s="33">
        <v>0.31</v>
      </c>
      <c r="G67" s="34">
        <v>1</v>
      </c>
      <c r="H67" s="33">
        <v>5.6</v>
      </c>
      <c r="I67" s="33">
        <v>5.4</v>
      </c>
    </row>
    <row r="68" spans="1:9" ht="16.5">
      <c r="A68" s="32" t="s">
        <v>373</v>
      </c>
      <c r="B68" s="33">
        <v>43</v>
      </c>
      <c r="C68" s="33" t="s">
        <v>372</v>
      </c>
      <c r="D68" s="33" t="s">
        <v>280</v>
      </c>
      <c r="E68" s="33" t="s">
        <v>280</v>
      </c>
      <c r="F68" s="33" t="s">
        <v>280</v>
      </c>
      <c r="G68" s="34">
        <v>1</v>
      </c>
      <c r="H68" s="33">
        <v>5.6</v>
      </c>
      <c r="I68" s="33">
        <v>5.4</v>
      </c>
    </row>
    <row r="69" spans="1:9" ht="16.5">
      <c r="A69" s="32" t="s">
        <v>374</v>
      </c>
      <c r="B69" s="33" t="s">
        <v>280</v>
      </c>
      <c r="C69" s="33" t="s">
        <v>365</v>
      </c>
      <c r="D69" s="33" t="s">
        <v>279</v>
      </c>
      <c r="E69" s="33">
        <v>3.7</v>
      </c>
      <c r="F69" s="33">
        <v>21</v>
      </c>
      <c r="G69" s="33" t="s">
        <v>280</v>
      </c>
      <c r="H69" s="33" t="s">
        <v>280</v>
      </c>
      <c r="I69" s="33" t="s">
        <v>280</v>
      </c>
    </row>
    <row r="70" spans="1:9">
      <c r="A70" s="32" t="s">
        <v>375</v>
      </c>
      <c r="B70" s="33">
        <v>87</v>
      </c>
      <c r="C70" s="33" t="s">
        <v>303</v>
      </c>
      <c r="D70" s="33" t="s">
        <v>279</v>
      </c>
      <c r="E70" s="33">
        <v>18</v>
      </c>
      <c r="F70" s="33">
        <v>80</v>
      </c>
      <c r="G70" s="33">
        <v>1</v>
      </c>
      <c r="H70" s="33">
        <v>5.6</v>
      </c>
      <c r="I70" s="33">
        <v>5.4</v>
      </c>
    </row>
    <row r="71" spans="1:9" ht="16.5">
      <c r="A71" s="32" t="s">
        <v>376</v>
      </c>
      <c r="B71" s="33">
        <v>81</v>
      </c>
      <c r="C71" s="33" t="s">
        <v>377</v>
      </c>
      <c r="D71" s="33" t="s">
        <v>279</v>
      </c>
      <c r="E71" s="33">
        <v>11</v>
      </c>
      <c r="F71" s="33">
        <v>44</v>
      </c>
      <c r="G71" s="34">
        <v>1</v>
      </c>
      <c r="H71" s="33">
        <v>6</v>
      </c>
      <c r="I71" s="33" t="s">
        <v>280</v>
      </c>
    </row>
    <row r="72" spans="1:9" ht="16.5">
      <c r="A72" s="32" t="s">
        <v>378</v>
      </c>
      <c r="B72" s="33">
        <v>29</v>
      </c>
      <c r="C72" s="33" t="s">
        <v>377</v>
      </c>
      <c r="D72" s="33" t="s">
        <v>279</v>
      </c>
      <c r="E72" s="33">
        <v>11</v>
      </c>
      <c r="F72" s="33">
        <v>44</v>
      </c>
      <c r="G72" s="34">
        <v>1</v>
      </c>
      <c r="H72" s="33">
        <v>6.8</v>
      </c>
      <c r="I72" s="33" t="s">
        <v>280</v>
      </c>
    </row>
    <row r="73" spans="1:9" ht="16.5">
      <c r="A73" s="32" t="s">
        <v>379</v>
      </c>
      <c r="B73" s="33">
        <v>82</v>
      </c>
      <c r="C73" s="33" t="s">
        <v>377</v>
      </c>
      <c r="D73" s="33" t="s">
        <v>279</v>
      </c>
      <c r="E73" s="33">
        <v>11</v>
      </c>
      <c r="F73" s="33">
        <v>44</v>
      </c>
      <c r="G73" s="34">
        <v>1</v>
      </c>
      <c r="H73" s="33">
        <v>6</v>
      </c>
      <c r="I73" s="33" t="s">
        <v>280</v>
      </c>
    </row>
    <row r="74" spans="1:9" ht="16.5">
      <c r="A74" s="32" t="s">
        <v>380</v>
      </c>
      <c r="B74" s="33">
        <v>30</v>
      </c>
      <c r="C74" s="33" t="s">
        <v>377</v>
      </c>
      <c r="D74" s="33" t="s">
        <v>279</v>
      </c>
      <c r="E74" s="33">
        <v>11</v>
      </c>
      <c r="F74" s="33">
        <v>44</v>
      </c>
      <c r="G74" s="34">
        <v>1</v>
      </c>
      <c r="H74" s="33">
        <v>6.8</v>
      </c>
      <c r="I74" s="33" t="s">
        <v>280</v>
      </c>
    </row>
    <row r="75" spans="1:9">
      <c r="A75" s="32" t="s">
        <v>381</v>
      </c>
      <c r="B75" s="33">
        <v>46</v>
      </c>
      <c r="C75" s="33" t="s">
        <v>382</v>
      </c>
      <c r="D75" s="33">
        <v>14</v>
      </c>
      <c r="E75" s="33">
        <v>0.4</v>
      </c>
      <c r="F75" s="33">
        <v>0.4</v>
      </c>
      <c r="G75" s="34">
        <v>1</v>
      </c>
      <c r="H75" s="33">
        <v>5.6</v>
      </c>
      <c r="I75" s="33">
        <v>5.4</v>
      </c>
    </row>
    <row r="76" spans="1:9">
      <c r="A76" s="32" t="s">
        <v>383</v>
      </c>
      <c r="B76" s="33">
        <v>47</v>
      </c>
      <c r="C76" s="33" t="s">
        <v>384</v>
      </c>
      <c r="D76" s="33">
        <v>65</v>
      </c>
      <c r="E76" s="33">
        <v>15</v>
      </c>
      <c r="F76" s="33">
        <v>60</v>
      </c>
      <c r="G76" s="34">
        <v>1</v>
      </c>
      <c r="H76" s="33">
        <v>5.6</v>
      </c>
      <c r="I76" s="33">
        <v>5.4</v>
      </c>
    </row>
    <row r="77" spans="1:9">
      <c r="A77" s="32" t="s">
        <v>385</v>
      </c>
      <c r="B77" s="33">
        <v>48</v>
      </c>
      <c r="C77" s="33" t="s">
        <v>386</v>
      </c>
      <c r="D77" s="33">
        <v>13</v>
      </c>
      <c r="E77" s="33">
        <v>0.8</v>
      </c>
      <c r="F77" s="33">
        <v>1.4</v>
      </c>
      <c r="G77" s="34">
        <v>1</v>
      </c>
      <c r="H77" s="33">
        <v>6.3</v>
      </c>
      <c r="I77" s="33">
        <v>5.6</v>
      </c>
    </row>
    <row r="78" spans="1:9" ht="16.5">
      <c r="A78" s="32" t="s">
        <v>387</v>
      </c>
      <c r="B78" s="33">
        <v>77</v>
      </c>
      <c r="C78" s="33" t="s">
        <v>386</v>
      </c>
      <c r="D78" s="33" t="s">
        <v>280</v>
      </c>
      <c r="E78" s="33" t="s">
        <v>280</v>
      </c>
      <c r="F78" s="33" t="s">
        <v>280</v>
      </c>
      <c r="G78" s="34">
        <v>1</v>
      </c>
      <c r="H78" s="33">
        <v>6.3</v>
      </c>
      <c r="I78" s="33">
        <v>5.6</v>
      </c>
    </row>
    <row r="79" spans="1:9" ht="16.5">
      <c r="A79" s="32" t="s">
        <v>388</v>
      </c>
      <c r="B79" s="33" t="s">
        <v>280</v>
      </c>
      <c r="C79" s="33" t="s">
        <v>389</v>
      </c>
      <c r="D79" s="33" t="s">
        <v>279</v>
      </c>
      <c r="E79" s="33">
        <v>5.4</v>
      </c>
      <c r="F79" s="33">
        <v>19</v>
      </c>
      <c r="G79" s="33" t="s">
        <v>280</v>
      </c>
      <c r="H79" s="33" t="s">
        <v>280</v>
      </c>
      <c r="I79" s="33" t="s">
        <v>280</v>
      </c>
    </row>
    <row r="80" spans="1:9">
      <c r="A80" s="32" t="s">
        <v>40</v>
      </c>
      <c r="B80" s="33">
        <v>49</v>
      </c>
      <c r="C80" s="33" t="s">
        <v>304</v>
      </c>
      <c r="D80" s="33" t="s">
        <v>285</v>
      </c>
      <c r="E80" s="33">
        <v>4</v>
      </c>
      <c r="F80" s="33">
        <v>10</v>
      </c>
      <c r="G80" s="34">
        <v>3</v>
      </c>
      <c r="H80" s="33">
        <v>6</v>
      </c>
      <c r="I80" s="33">
        <v>5.6</v>
      </c>
    </row>
    <row r="81" spans="1:9">
      <c r="A81" s="32" t="s">
        <v>39</v>
      </c>
      <c r="B81" s="33">
        <v>50</v>
      </c>
      <c r="C81" s="33" t="s">
        <v>390</v>
      </c>
      <c r="D81" s="33" t="s">
        <v>285</v>
      </c>
      <c r="E81" s="33">
        <v>2.8</v>
      </c>
      <c r="F81" s="33">
        <v>6.4</v>
      </c>
      <c r="G81" s="34">
        <v>3</v>
      </c>
      <c r="H81" s="33">
        <v>6</v>
      </c>
      <c r="I81" s="33">
        <v>5.6</v>
      </c>
    </row>
    <row r="82" spans="1:9" ht="16.5">
      <c r="A82" s="32" t="s">
        <v>391</v>
      </c>
      <c r="B82" s="33">
        <v>65</v>
      </c>
      <c r="C82" s="33" t="s">
        <v>284</v>
      </c>
      <c r="D82" s="33" t="s">
        <v>285</v>
      </c>
      <c r="E82" s="33" t="s">
        <v>280</v>
      </c>
      <c r="F82" s="33" t="s">
        <v>280</v>
      </c>
      <c r="G82" s="34">
        <v>2</v>
      </c>
      <c r="H82" s="33">
        <v>6.5</v>
      </c>
      <c r="I82" s="33">
        <v>5.6</v>
      </c>
    </row>
    <row r="83" spans="1:9">
      <c r="A83" s="32" t="s">
        <v>33</v>
      </c>
      <c r="B83" s="33">
        <v>51</v>
      </c>
      <c r="C83" s="33" t="s">
        <v>392</v>
      </c>
      <c r="D83" s="33">
        <v>10</v>
      </c>
      <c r="E83" s="33">
        <v>1.2E-2</v>
      </c>
      <c r="F83" s="33">
        <v>2.4E-2</v>
      </c>
      <c r="G83" s="34">
        <v>1</v>
      </c>
      <c r="H83" s="33">
        <v>6</v>
      </c>
      <c r="I83" s="33">
        <v>5.6</v>
      </c>
    </row>
    <row r="84" spans="1:9">
      <c r="A84" s="32" t="s">
        <v>393</v>
      </c>
      <c r="B84" s="33">
        <v>52</v>
      </c>
      <c r="C84" s="33" t="s">
        <v>394</v>
      </c>
      <c r="D84" s="33" t="s">
        <v>395</v>
      </c>
      <c r="E84" s="33">
        <v>9.1000000000000004E-3</v>
      </c>
      <c r="F84" s="33">
        <v>5.7000000000000002E-2</v>
      </c>
      <c r="G84" s="34">
        <v>3</v>
      </c>
      <c r="H84" s="33">
        <v>5.8</v>
      </c>
      <c r="I84" s="33">
        <v>5.6</v>
      </c>
    </row>
    <row r="85" spans="1:9">
      <c r="A85" s="32" t="s">
        <v>19</v>
      </c>
      <c r="B85" s="33">
        <v>53</v>
      </c>
      <c r="C85" s="33" t="s">
        <v>396</v>
      </c>
      <c r="D85" s="33" t="s">
        <v>285</v>
      </c>
      <c r="E85" s="33">
        <v>1.8</v>
      </c>
      <c r="F85" s="33">
        <v>8</v>
      </c>
      <c r="G85" s="34">
        <v>3</v>
      </c>
      <c r="H85" s="33">
        <v>6</v>
      </c>
      <c r="I85" s="33">
        <v>5.6</v>
      </c>
    </row>
    <row r="86" spans="1:9">
      <c r="A86" s="32" t="s">
        <v>397</v>
      </c>
      <c r="B86" s="33">
        <v>54</v>
      </c>
      <c r="C86" s="33" t="s">
        <v>398</v>
      </c>
      <c r="D86" s="33" t="s">
        <v>279</v>
      </c>
      <c r="E86" s="33">
        <v>13</v>
      </c>
      <c r="F86" s="33">
        <v>60</v>
      </c>
      <c r="G86" s="34">
        <v>1</v>
      </c>
      <c r="H86" s="33">
        <v>6</v>
      </c>
      <c r="I86" s="33">
        <v>5.6</v>
      </c>
    </row>
    <row r="87" spans="1:9">
      <c r="A87" s="32" t="s">
        <v>399</v>
      </c>
      <c r="B87" s="33">
        <v>55</v>
      </c>
      <c r="C87" s="33" t="s">
        <v>400</v>
      </c>
      <c r="D87" s="33" t="s">
        <v>401</v>
      </c>
      <c r="E87" s="33">
        <v>1.0999999999999999E-2</v>
      </c>
      <c r="F87" s="33">
        <v>9.1999999999999998E-3</v>
      </c>
      <c r="G87" s="34">
        <v>1</v>
      </c>
      <c r="H87" s="33">
        <v>6</v>
      </c>
      <c r="I87" s="33">
        <v>5.6</v>
      </c>
    </row>
    <row r="88" spans="1:9" ht="16.5">
      <c r="A88" s="32" t="s">
        <v>402</v>
      </c>
      <c r="B88" s="33">
        <v>80</v>
      </c>
      <c r="C88" s="33" t="s">
        <v>400</v>
      </c>
      <c r="D88" s="33" t="s">
        <v>280</v>
      </c>
      <c r="E88" s="33" t="s">
        <v>280</v>
      </c>
      <c r="F88" s="33" t="s">
        <v>280</v>
      </c>
      <c r="G88" s="34">
        <v>1</v>
      </c>
      <c r="H88" s="33">
        <v>6</v>
      </c>
      <c r="I88" s="33">
        <v>5.6</v>
      </c>
    </row>
    <row r="89" spans="1:9" ht="16.5">
      <c r="A89" s="32" t="s">
        <v>403</v>
      </c>
      <c r="B89" s="33" t="s">
        <v>280</v>
      </c>
      <c r="C89" s="33" t="s">
        <v>365</v>
      </c>
      <c r="D89" s="33" t="s">
        <v>279</v>
      </c>
      <c r="E89" s="33">
        <v>3.7</v>
      </c>
      <c r="F89" s="33">
        <v>21</v>
      </c>
      <c r="G89" s="33" t="s">
        <v>280</v>
      </c>
      <c r="H89" s="33" t="s">
        <v>280</v>
      </c>
      <c r="I89" s="33" t="s">
        <v>280</v>
      </c>
    </row>
    <row r="90" spans="1:9">
      <c r="A90" s="32" t="s">
        <v>404</v>
      </c>
      <c r="B90" s="33">
        <v>56</v>
      </c>
      <c r="C90" s="33" t="s">
        <v>284</v>
      </c>
      <c r="D90" s="33" t="s">
        <v>285</v>
      </c>
      <c r="E90" s="33" t="s">
        <v>280</v>
      </c>
      <c r="F90" s="33" t="s">
        <v>280</v>
      </c>
      <c r="G90" s="34">
        <v>3</v>
      </c>
      <c r="H90" s="33">
        <v>6</v>
      </c>
      <c r="I90" s="33">
        <v>5.6</v>
      </c>
    </row>
    <row r="91" spans="1:9">
      <c r="A91" s="32" t="s">
        <v>405</v>
      </c>
      <c r="B91" s="33">
        <v>57</v>
      </c>
      <c r="C91" s="33" t="s">
        <v>303</v>
      </c>
      <c r="D91" s="33" t="s">
        <v>279</v>
      </c>
      <c r="E91" s="33">
        <v>16</v>
      </c>
      <c r="F91" s="33">
        <v>48</v>
      </c>
      <c r="G91" s="34">
        <v>1</v>
      </c>
      <c r="H91" s="33">
        <v>6</v>
      </c>
      <c r="I91" s="33">
        <v>5.6</v>
      </c>
    </row>
    <row r="92" spans="1:9">
      <c r="A92" s="32" t="s">
        <v>406</v>
      </c>
      <c r="B92" s="33">
        <v>78</v>
      </c>
      <c r="C92" s="33" t="s">
        <v>407</v>
      </c>
      <c r="D92" s="33">
        <v>13.5</v>
      </c>
      <c r="E92" s="33">
        <v>0.5</v>
      </c>
      <c r="F92" s="33">
        <v>0.35</v>
      </c>
      <c r="G92" s="34">
        <v>2</v>
      </c>
      <c r="H92" s="33">
        <v>6</v>
      </c>
      <c r="I92" s="33">
        <v>5.6</v>
      </c>
    </row>
    <row r="93" spans="1:9" ht="16.5">
      <c r="A93" s="32" t="s">
        <v>408</v>
      </c>
      <c r="B93" s="33">
        <v>58</v>
      </c>
      <c r="C93" s="33" t="s">
        <v>407</v>
      </c>
      <c r="D93" s="33" t="s">
        <v>280</v>
      </c>
      <c r="E93" s="33" t="s">
        <v>280</v>
      </c>
      <c r="F93" s="33" t="s">
        <v>280</v>
      </c>
      <c r="G93" s="34">
        <v>2</v>
      </c>
      <c r="H93" s="33">
        <v>6</v>
      </c>
      <c r="I93" s="33">
        <v>5.6</v>
      </c>
    </row>
    <row r="94" spans="1:9" ht="16.5">
      <c r="A94" s="32" t="s">
        <v>409</v>
      </c>
      <c r="B94" s="33" t="s">
        <v>280</v>
      </c>
      <c r="C94" s="33" t="s">
        <v>410</v>
      </c>
      <c r="D94" s="33" t="s">
        <v>279</v>
      </c>
      <c r="E94" s="33">
        <v>6</v>
      </c>
      <c r="F94" s="33">
        <v>28</v>
      </c>
      <c r="G94" s="33" t="s">
        <v>280</v>
      </c>
      <c r="H94" s="33" t="s">
        <v>280</v>
      </c>
      <c r="I94" s="33" t="s">
        <v>280</v>
      </c>
    </row>
    <row r="95" spans="1:9">
      <c r="A95" s="32" t="s">
        <v>411</v>
      </c>
      <c r="B95" s="33">
        <v>69</v>
      </c>
      <c r="C95" s="33" t="s">
        <v>280</v>
      </c>
      <c r="D95" s="33" t="s">
        <v>280</v>
      </c>
      <c r="E95" s="33" t="s">
        <v>280</v>
      </c>
      <c r="F95" s="33" t="s">
        <v>280</v>
      </c>
      <c r="G95" s="34">
        <v>1</v>
      </c>
      <c r="H95" s="33">
        <v>6</v>
      </c>
      <c r="I95" s="33" t="s">
        <v>280</v>
      </c>
    </row>
    <row r="96" spans="1:9">
      <c r="A96" s="32" t="s">
        <v>412</v>
      </c>
      <c r="B96" s="33">
        <v>70</v>
      </c>
      <c r="C96" s="33" t="s">
        <v>280</v>
      </c>
      <c r="D96" s="33" t="s">
        <v>280</v>
      </c>
      <c r="E96" s="33" t="s">
        <v>280</v>
      </c>
      <c r="F96" s="33" t="s">
        <v>280</v>
      </c>
      <c r="G96" s="34">
        <v>1</v>
      </c>
      <c r="H96" s="33">
        <v>6</v>
      </c>
      <c r="I96" s="33" t="s">
        <v>280</v>
      </c>
    </row>
    <row r="97" spans="1:9">
      <c r="A97" s="32" t="s">
        <v>413</v>
      </c>
      <c r="B97" s="33">
        <v>71</v>
      </c>
      <c r="C97" s="33" t="s">
        <v>280</v>
      </c>
      <c r="D97" s="33" t="s">
        <v>280</v>
      </c>
      <c r="E97" s="33" t="s">
        <v>280</v>
      </c>
      <c r="F97" s="33" t="s">
        <v>280</v>
      </c>
      <c r="G97" s="34">
        <v>1</v>
      </c>
      <c r="H97" s="33">
        <v>6</v>
      </c>
      <c r="I97" s="33" t="s">
        <v>280</v>
      </c>
    </row>
    <row r="98" spans="1:9">
      <c r="A98" s="32" t="s">
        <v>414</v>
      </c>
      <c r="B98" s="33">
        <v>72</v>
      </c>
      <c r="C98" s="33" t="s">
        <v>280</v>
      </c>
      <c r="D98" s="33" t="s">
        <v>280</v>
      </c>
      <c r="E98" s="33" t="s">
        <v>280</v>
      </c>
      <c r="F98" s="33" t="s">
        <v>280</v>
      </c>
      <c r="G98" s="34">
        <v>1</v>
      </c>
      <c r="H98" s="33">
        <v>6</v>
      </c>
      <c r="I98" s="33" t="s">
        <v>280</v>
      </c>
    </row>
    <row r="99" spans="1:9" s="35" customFormat="1" ht="12.75">
      <c r="A99" s="35" t="s">
        <v>415</v>
      </c>
      <c r="B99" s="33">
        <v>73</v>
      </c>
      <c r="C99" s="33" t="s">
        <v>280</v>
      </c>
      <c r="D99" s="33" t="s">
        <v>280</v>
      </c>
      <c r="E99" s="33" t="s">
        <v>280</v>
      </c>
      <c r="F99" s="33" t="s">
        <v>280</v>
      </c>
      <c r="G99" s="36">
        <v>1</v>
      </c>
      <c r="H99" s="33">
        <v>6.3</v>
      </c>
      <c r="I99" s="33" t="s">
        <v>280</v>
      </c>
    </row>
    <row r="100" spans="1:9" s="35" customFormat="1" ht="12.75">
      <c r="B100" s="33"/>
      <c r="C100" s="33"/>
      <c r="D100" s="33"/>
      <c r="E100" s="33"/>
      <c r="F100" s="33"/>
      <c r="G100" s="37"/>
      <c r="H100" s="33"/>
      <c r="I100" s="33"/>
    </row>
    <row r="101" spans="1:9" ht="16.5">
      <c r="A101" s="38" t="s">
        <v>416</v>
      </c>
      <c r="G101" s="34"/>
    </row>
    <row r="102" spans="1:9" ht="16.5">
      <c r="A102" s="38" t="s">
        <v>417</v>
      </c>
      <c r="G102" s="34"/>
    </row>
    <row r="103" spans="1:9" ht="16.5">
      <c r="A103" s="38" t="s">
        <v>418</v>
      </c>
      <c r="G103" s="34"/>
    </row>
    <row r="104" spans="1:9" ht="16.5">
      <c r="A104" s="38" t="s">
        <v>419</v>
      </c>
      <c r="G104" s="34"/>
    </row>
    <row r="105" spans="1:9" ht="16.5">
      <c r="A105" s="38" t="s">
        <v>515</v>
      </c>
      <c r="G105" s="34"/>
    </row>
    <row r="106" spans="1:9" ht="16.5">
      <c r="A106" s="38" t="s">
        <v>420</v>
      </c>
      <c r="G106" s="34"/>
    </row>
    <row r="107" spans="1:9" ht="16.5">
      <c r="A107" s="38" t="s">
        <v>421</v>
      </c>
      <c r="G107" s="34"/>
    </row>
    <row r="108" spans="1:9" ht="16.5">
      <c r="A108" s="38" t="s">
        <v>422</v>
      </c>
      <c r="G108" s="34"/>
    </row>
  </sheetData>
  <mergeCells count="5">
    <mergeCell ref="E1:F1"/>
    <mergeCell ref="H1:I1"/>
    <mergeCell ref="E2:F2"/>
    <mergeCell ref="H2:I2"/>
    <mergeCell ref="E4:F4"/>
  </mergeCells>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data</vt:lpstr>
      <vt:lpstr>Mass Report</vt:lpstr>
      <vt:lpstr>Report</vt:lpstr>
      <vt:lpstr>P and K tables</vt:lpstr>
      <vt:lpstr>sufficiency ranges </vt:lpstr>
      <vt:lpstr>P and K demand</vt:lpstr>
      <vt:lpstr>'Mass Report'!Print_Area</vt:lpstr>
      <vt:lpstr>Report!Print_Area</vt:lpstr>
      <vt:lpstr>'Mass Report'!Print_Titles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dc:creator>
  <cp:lastModifiedBy>Lab Staff Account</cp:lastModifiedBy>
  <cp:lastPrinted>2017-12-14T17:37:28Z</cp:lastPrinted>
  <dcterms:created xsi:type="dcterms:W3CDTF">2016-05-16T20:06:10Z</dcterms:created>
  <dcterms:modified xsi:type="dcterms:W3CDTF">2017-12-14T17:38:38Z</dcterms:modified>
</cp:coreProperties>
</file>