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KLEP WIELUN\Downloads\Ryzyko\"/>
    </mc:Choice>
  </mc:AlternateContent>
  <xr:revisionPtr revIDLastSave="0" documentId="13_ncr:1_{CBAFD772-BAAC-4C7C-A6D4-DAF9AD8B8227}" xr6:coauthVersionLast="47" xr6:coauthVersionMax="47" xr10:uidLastSave="{00000000-0000-0000-0000-000000000000}"/>
  <bookViews>
    <workbookView xWindow="-120" yWindow="-120" windowWidth="20730" windowHeight="11160" tabRatio="862" firstSheet="2" activeTab="11" xr2:uid="{DCBB81E6-7508-416E-BE99-E0C55E6D9B55}"/>
  </bookViews>
  <sheets>
    <sheet name="FIO_PL" sheetId="2" r:id="rId1"/>
    <sheet name="SFIO_PL" sheetId="3" r:id="rId2"/>
    <sheet name="FIO_Z" sheetId="4" r:id="rId3"/>
    <sheet name="SFIO_Z" sheetId="5" r:id="rId4"/>
    <sheet name="Pokój" sheetId="1" r:id="rId5"/>
    <sheet name="Wojna" sheetId="6" r:id="rId6"/>
    <sheet name="gretl" sheetId="8" r:id="rId7"/>
    <sheet name="Ryzyko" sheetId="9" r:id="rId8"/>
    <sheet name="Efektywność" sheetId="10" r:id="rId9"/>
    <sheet name="Klasyczne miary ryzyka" sheetId="11" r:id="rId10"/>
    <sheet name="Stopy zwrotu" sheetId="12" r:id="rId11"/>
    <sheet name="Alternatywne miary ryzyka" sheetId="13" r:id="rId12"/>
  </sheets>
  <definedNames>
    <definedName name="ExternalData_1" localSheetId="0" hidden="1">FIO_PL!$A$1:$B$45</definedName>
    <definedName name="ExternalData_1" localSheetId="2" hidden="1">FIO_Z!$A$1:$B$45</definedName>
    <definedName name="ExternalData_1" localSheetId="1" hidden="1">SFIO_PL!$A$1:$B$45</definedName>
    <definedName name="ExternalData_1" localSheetId="3" hidden="1">SFIO_Z!$A$1:$B$45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3" l="1"/>
  <c r="R28" i="6"/>
  <c r="Q27" i="1"/>
  <c r="R27" i="1"/>
  <c r="O27" i="1"/>
  <c r="P27" i="1"/>
  <c r="P28" i="1"/>
  <c r="Q28" i="1"/>
  <c r="O28" i="1"/>
  <c r="X27" i="1"/>
  <c r="Y27" i="1"/>
  <c r="Z27" i="1"/>
  <c r="W27" i="1"/>
  <c r="W28" i="1"/>
  <c r="R28" i="1"/>
  <c r="Y26" i="1"/>
  <c r="G64" i="13"/>
  <c r="F64" i="13"/>
  <c r="C64" i="13"/>
  <c r="B64" i="13"/>
  <c r="G63" i="13"/>
  <c r="G65" i="13" s="1"/>
  <c r="F63" i="13"/>
  <c r="F65" i="13" s="1"/>
  <c r="C63" i="13"/>
  <c r="C65" i="13" s="1"/>
  <c r="B63" i="13"/>
  <c r="B65" i="13" s="1"/>
  <c r="G62" i="13"/>
  <c r="F62" i="13"/>
  <c r="C62" i="13"/>
  <c r="B62" i="13"/>
  <c r="G60" i="13"/>
  <c r="F60" i="13"/>
  <c r="C60" i="13"/>
  <c r="B60" i="13"/>
  <c r="G59" i="13"/>
  <c r="F59" i="13"/>
  <c r="C59" i="13"/>
  <c r="B59" i="13"/>
  <c r="G58" i="13"/>
  <c r="F58" i="13"/>
  <c r="C58" i="13"/>
  <c r="B58" i="13"/>
  <c r="G56" i="13"/>
  <c r="F56" i="13"/>
  <c r="C56" i="13"/>
  <c r="B56" i="13"/>
  <c r="G55" i="13"/>
  <c r="F55" i="13"/>
  <c r="C55" i="13"/>
  <c r="B55" i="13"/>
  <c r="G54" i="13"/>
  <c r="F54" i="13"/>
  <c r="C54" i="13"/>
  <c r="B54" i="13"/>
  <c r="G31" i="13"/>
  <c r="F31" i="13"/>
  <c r="C31" i="13"/>
  <c r="B31" i="13"/>
  <c r="G30" i="13"/>
  <c r="G32" i="13" s="1"/>
  <c r="F30" i="13"/>
  <c r="F32" i="13" s="1"/>
  <c r="C30" i="13"/>
  <c r="C32" i="13" s="1"/>
  <c r="B30" i="13"/>
  <c r="B32" i="13" s="1"/>
  <c r="G29" i="13"/>
  <c r="F29" i="13"/>
  <c r="C29" i="13"/>
  <c r="B29" i="13"/>
  <c r="G27" i="13"/>
  <c r="F27" i="13"/>
  <c r="C27" i="13"/>
  <c r="B27" i="13"/>
  <c r="F26" i="13"/>
  <c r="C26" i="13"/>
  <c r="B26" i="13"/>
  <c r="G25" i="13"/>
  <c r="F25" i="13"/>
  <c r="C25" i="13"/>
  <c r="B25" i="13"/>
  <c r="G23" i="13"/>
  <c r="F23" i="13"/>
  <c r="C23" i="13"/>
  <c r="B23" i="13"/>
  <c r="G22" i="13"/>
  <c r="F22" i="13"/>
  <c r="C22" i="13"/>
  <c r="B22" i="13"/>
  <c r="G21" i="13"/>
  <c r="F21" i="13"/>
  <c r="C21" i="13"/>
  <c r="B21" i="13"/>
  <c r="G28" i="11"/>
  <c r="G29" i="11" s="1"/>
  <c r="F28" i="11"/>
  <c r="F29" i="11" s="1"/>
  <c r="C28" i="11"/>
  <c r="C29" i="11" s="1"/>
  <c r="B28" i="11"/>
  <c r="B29" i="11" s="1"/>
  <c r="G27" i="11"/>
  <c r="F27" i="11"/>
  <c r="C27" i="11"/>
  <c r="B27" i="11"/>
  <c r="G26" i="11"/>
  <c r="F26" i="11"/>
  <c r="C26" i="11"/>
  <c r="B26" i="11"/>
  <c r="G25" i="11"/>
  <c r="F25" i="11"/>
  <c r="C25" i="11"/>
  <c r="B25" i="11"/>
  <c r="G13" i="11"/>
  <c r="G14" i="11" s="1"/>
  <c r="F13" i="11"/>
  <c r="F14" i="11" s="1"/>
  <c r="C13" i="11"/>
  <c r="C14" i="11" s="1"/>
  <c r="B13" i="11"/>
  <c r="B14" i="11" s="1"/>
  <c r="G12" i="11"/>
  <c r="F12" i="11"/>
  <c r="C12" i="11"/>
  <c r="B12" i="11"/>
  <c r="G11" i="11"/>
  <c r="F11" i="11"/>
  <c r="C11" i="11"/>
  <c r="B11" i="11"/>
  <c r="G10" i="11"/>
  <c r="F10" i="11"/>
  <c r="C10" i="11"/>
  <c r="B10" i="11"/>
  <c r="T24" i="6"/>
  <c r="S24" i="6"/>
  <c r="R24" i="6"/>
  <c r="Q24" i="6"/>
  <c r="P24" i="6"/>
  <c r="O24" i="6"/>
  <c r="T24" i="1"/>
  <c r="S24" i="1"/>
  <c r="R24" i="1"/>
  <c r="Q24" i="1"/>
  <c r="P24" i="1"/>
  <c r="O24" i="1"/>
  <c r="Z25" i="6"/>
  <c r="Y25" i="6"/>
  <c r="X25" i="6"/>
  <c r="W25" i="6"/>
  <c r="R25" i="6"/>
  <c r="P25" i="6"/>
  <c r="O25" i="6"/>
  <c r="K24" i="6"/>
  <c r="C24" i="3"/>
  <c r="Z28" i="6"/>
  <c r="Y28" i="6"/>
  <c r="X28" i="6"/>
  <c r="W28" i="6"/>
  <c r="Q28" i="6"/>
  <c r="P28" i="6"/>
  <c r="O28" i="6"/>
  <c r="Z27" i="6"/>
  <c r="Y27" i="6"/>
  <c r="X27" i="6"/>
  <c r="W27" i="6"/>
  <c r="R27" i="6"/>
  <c r="Q27" i="6"/>
  <c r="P27" i="6"/>
  <c r="O27" i="6"/>
  <c r="Z26" i="6"/>
  <c r="Y26" i="6"/>
  <c r="X26" i="6"/>
  <c r="W26" i="6"/>
  <c r="R26" i="6"/>
  <c r="Q26" i="6"/>
  <c r="P26" i="6"/>
  <c r="O26" i="6"/>
  <c r="Q25" i="6"/>
  <c r="Z24" i="6"/>
  <c r="Y24" i="6"/>
  <c r="X24" i="6"/>
  <c r="W24" i="6"/>
  <c r="V24" i="6"/>
  <c r="U24" i="6"/>
  <c r="N24" i="6"/>
  <c r="M24" i="6"/>
  <c r="L24" i="6"/>
  <c r="J24" i="6"/>
  <c r="I24" i="6"/>
  <c r="H24" i="6"/>
  <c r="G24" i="6"/>
  <c r="F24" i="6"/>
  <c r="E24" i="6"/>
  <c r="D24" i="6"/>
  <c r="C24" i="6"/>
  <c r="B24" i="6"/>
  <c r="X28" i="1"/>
  <c r="Y28" i="1"/>
  <c r="Z28" i="1"/>
  <c r="X26" i="1"/>
  <c r="Z26" i="1"/>
  <c r="W26" i="1"/>
  <c r="Y25" i="1"/>
  <c r="X25" i="1"/>
  <c r="W25" i="1"/>
  <c r="Z25" i="1"/>
  <c r="P26" i="1"/>
  <c r="Q26" i="1"/>
  <c r="R26" i="1"/>
  <c r="O26" i="1"/>
  <c r="O25" i="1"/>
  <c r="R25" i="1"/>
  <c r="Q25" i="1"/>
  <c r="P25" i="1"/>
  <c r="C24" i="1"/>
  <c r="D24" i="1"/>
  <c r="E24" i="1"/>
  <c r="F24" i="1"/>
  <c r="G24" i="1"/>
  <c r="H24" i="1"/>
  <c r="I24" i="1"/>
  <c r="J24" i="1"/>
  <c r="K24" i="1"/>
  <c r="L24" i="1"/>
  <c r="M24" i="1"/>
  <c r="N24" i="1"/>
  <c r="U24" i="1"/>
  <c r="V24" i="1"/>
  <c r="W24" i="1"/>
  <c r="X24" i="1"/>
  <c r="Y24" i="1"/>
  <c r="Z24" i="1"/>
  <c r="B24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L2" i="5"/>
  <c r="L3" i="5"/>
  <c r="J2" i="5"/>
  <c r="J3" i="5"/>
  <c r="I2" i="5"/>
  <c r="K2" i="5" s="1"/>
  <c r="I3" i="5"/>
  <c r="K3" i="5" s="1"/>
  <c r="I6" i="5"/>
  <c r="K6" i="5" s="1"/>
  <c r="I7" i="5"/>
  <c r="K7" i="5" s="1"/>
  <c r="I10" i="5"/>
  <c r="K10" i="5" s="1"/>
  <c r="I11" i="5"/>
  <c r="K11" i="5" s="1"/>
  <c r="I14" i="5"/>
  <c r="K14" i="5" s="1"/>
  <c r="I15" i="5"/>
  <c r="K15" i="5" s="1"/>
  <c r="I18" i="5"/>
  <c r="K18" i="5" s="1"/>
  <c r="I19" i="5"/>
  <c r="K19" i="5" s="1"/>
  <c r="I22" i="5"/>
  <c r="K22" i="5" s="1"/>
  <c r="I23" i="5"/>
  <c r="K23" i="5" s="1"/>
  <c r="I26" i="5"/>
  <c r="K26" i="5" s="1"/>
  <c r="I27" i="5"/>
  <c r="K27" i="5" s="1"/>
  <c r="I30" i="5"/>
  <c r="K30" i="5" s="1"/>
  <c r="I31" i="5"/>
  <c r="K31" i="5" s="1"/>
  <c r="I34" i="5"/>
  <c r="K34" i="5" s="1"/>
  <c r="I35" i="5"/>
  <c r="K35" i="5" s="1"/>
  <c r="I38" i="5"/>
  <c r="K38" i="5" s="1"/>
  <c r="I39" i="5"/>
  <c r="K39" i="5" s="1"/>
  <c r="I42" i="5"/>
  <c r="K42" i="5" s="1"/>
  <c r="I43" i="5"/>
  <c r="K43" i="5" s="1"/>
  <c r="H4" i="5"/>
  <c r="I4" i="5" s="1"/>
  <c r="K4" i="5" s="1"/>
  <c r="H5" i="5"/>
  <c r="I5" i="5" s="1"/>
  <c r="K5" i="5" s="1"/>
  <c r="H6" i="5"/>
  <c r="H7" i="5"/>
  <c r="H8" i="5"/>
  <c r="I8" i="5" s="1"/>
  <c r="K8" i="5" s="1"/>
  <c r="H9" i="5"/>
  <c r="I9" i="5" s="1"/>
  <c r="K9" i="5" s="1"/>
  <c r="H10" i="5"/>
  <c r="H11" i="5"/>
  <c r="H12" i="5"/>
  <c r="I12" i="5" s="1"/>
  <c r="K12" i="5" s="1"/>
  <c r="H13" i="5"/>
  <c r="I13" i="5" s="1"/>
  <c r="K13" i="5" s="1"/>
  <c r="H14" i="5"/>
  <c r="H15" i="5"/>
  <c r="H16" i="5"/>
  <c r="I16" i="5" s="1"/>
  <c r="K16" i="5" s="1"/>
  <c r="H17" i="5"/>
  <c r="I17" i="5" s="1"/>
  <c r="K17" i="5" s="1"/>
  <c r="H18" i="5"/>
  <c r="H19" i="5"/>
  <c r="H20" i="5"/>
  <c r="I20" i="5" s="1"/>
  <c r="K20" i="5" s="1"/>
  <c r="H21" i="5"/>
  <c r="I21" i="5" s="1"/>
  <c r="K21" i="5" s="1"/>
  <c r="H22" i="5"/>
  <c r="H23" i="5"/>
  <c r="H24" i="5"/>
  <c r="I24" i="5" s="1"/>
  <c r="K24" i="5" s="1"/>
  <c r="H25" i="5"/>
  <c r="I25" i="5" s="1"/>
  <c r="K25" i="5" s="1"/>
  <c r="H26" i="5"/>
  <c r="H27" i="5"/>
  <c r="H28" i="5"/>
  <c r="I28" i="5" s="1"/>
  <c r="K28" i="5" s="1"/>
  <c r="H29" i="5"/>
  <c r="I29" i="5" s="1"/>
  <c r="K29" i="5" s="1"/>
  <c r="H30" i="5"/>
  <c r="H31" i="5"/>
  <c r="H32" i="5"/>
  <c r="I32" i="5" s="1"/>
  <c r="K32" i="5" s="1"/>
  <c r="H33" i="5"/>
  <c r="I33" i="5" s="1"/>
  <c r="K33" i="5" s="1"/>
  <c r="H34" i="5"/>
  <c r="H35" i="5"/>
  <c r="H36" i="5"/>
  <c r="I36" i="5" s="1"/>
  <c r="K36" i="5" s="1"/>
  <c r="H37" i="5"/>
  <c r="I37" i="5" s="1"/>
  <c r="K37" i="5" s="1"/>
  <c r="H38" i="5"/>
  <c r="H39" i="5"/>
  <c r="H40" i="5"/>
  <c r="I40" i="5" s="1"/>
  <c r="K40" i="5" s="1"/>
  <c r="H41" i="5"/>
  <c r="I41" i="5" s="1"/>
  <c r="K41" i="5" s="1"/>
  <c r="H42" i="5"/>
  <c r="H43" i="5"/>
  <c r="H44" i="5"/>
  <c r="I44" i="5" s="1"/>
  <c r="K44" i="5" s="1"/>
  <c r="H45" i="5"/>
  <c r="I45" i="5" s="1"/>
  <c r="K45" i="5" s="1"/>
  <c r="H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3" i="5"/>
  <c r="D4" i="5"/>
  <c r="L4" i="5" s="1"/>
  <c r="D5" i="5"/>
  <c r="L5" i="5" s="1"/>
  <c r="D6" i="5"/>
  <c r="L6" i="5" s="1"/>
  <c r="D7" i="5"/>
  <c r="J7" i="5" s="1"/>
  <c r="D8" i="5"/>
  <c r="L8" i="5" s="1"/>
  <c r="D9" i="5"/>
  <c r="L9" i="5" s="1"/>
  <c r="D10" i="5"/>
  <c r="L10" i="5" s="1"/>
  <c r="D11" i="5"/>
  <c r="J11" i="5" s="1"/>
  <c r="D12" i="5"/>
  <c r="L12" i="5" s="1"/>
  <c r="D13" i="5"/>
  <c r="L13" i="5" s="1"/>
  <c r="D14" i="5"/>
  <c r="L14" i="5" s="1"/>
  <c r="D15" i="5"/>
  <c r="J15" i="5" s="1"/>
  <c r="D16" i="5"/>
  <c r="L16" i="5" s="1"/>
  <c r="D17" i="5"/>
  <c r="L17" i="5" s="1"/>
  <c r="D18" i="5"/>
  <c r="J18" i="5" s="1"/>
  <c r="D19" i="5"/>
  <c r="L19" i="5" s="1"/>
  <c r="D20" i="5"/>
  <c r="L20" i="5" s="1"/>
  <c r="D21" i="5"/>
  <c r="L21" i="5" s="1"/>
  <c r="D22" i="5"/>
  <c r="L22" i="5" s="1"/>
  <c r="D23" i="5"/>
  <c r="J23" i="5" s="1"/>
  <c r="D24" i="5"/>
  <c r="L24" i="5" s="1"/>
  <c r="D25" i="5"/>
  <c r="L25" i="5" s="1"/>
  <c r="D26" i="5"/>
  <c r="L26" i="5" s="1"/>
  <c r="D27" i="5"/>
  <c r="J27" i="5" s="1"/>
  <c r="D28" i="5"/>
  <c r="L28" i="5" s="1"/>
  <c r="D29" i="5"/>
  <c r="L29" i="5" s="1"/>
  <c r="D30" i="5"/>
  <c r="L30" i="5" s="1"/>
  <c r="D31" i="5"/>
  <c r="L31" i="5" s="1"/>
  <c r="D32" i="5"/>
  <c r="L32" i="5" s="1"/>
  <c r="D33" i="5"/>
  <c r="L33" i="5" s="1"/>
  <c r="D34" i="5"/>
  <c r="L34" i="5" s="1"/>
  <c r="D35" i="5"/>
  <c r="J35" i="5" s="1"/>
  <c r="D36" i="5"/>
  <c r="L36" i="5" s="1"/>
  <c r="D37" i="5"/>
  <c r="L37" i="5" s="1"/>
  <c r="D38" i="5"/>
  <c r="L38" i="5" s="1"/>
  <c r="D39" i="5"/>
  <c r="L39" i="5" s="1"/>
  <c r="D40" i="5"/>
  <c r="L40" i="5" s="1"/>
  <c r="D41" i="5"/>
  <c r="L41" i="5" s="1"/>
  <c r="D42" i="5"/>
  <c r="L42" i="5" s="1"/>
  <c r="D43" i="5"/>
  <c r="J43" i="5" s="1"/>
  <c r="D44" i="5"/>
  <c r="L44" i="5" s="1"/>
  <c r="D45" i="5"/>
  <c r="L45" i="5" s="1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3" i="5"/>
  <c r="L2" i="4"/>
  <c r="L3" i="4"/>
  <c r="L7" i="4"/>
  <c r="L11" i="4"/>
  <c r="L15" i="4"/>
  <c r="L19" i="4"/>
  <c r="L23" i="4"/>
  <c r="L27" i="4"/>
  <c r="L31" i="4"/>
  <c r="L35" i="4"/>
  <c r="L39" i="4"/>
  <c r="L43" i="4"/>
  <c r="J2" i="4"/>
  <c r="J3" i="4"/>
  <c r="J7" i="4"/>
  <c r="J11" i="4"/>
  <c r="J15" i="4"/>
  <c r="J19" i="4"/>
  <c r="J23" i="4"/>
  <c r="J27" i="4"/>
  <c r="J31" i="4"/>
  <c r="J35" i="4"/>
  <c r="J39" i="4"/>
  <c r="J43" i="4"/>
  <c r="I2" i="4"/>
  <c r="K2" i="4" s="1"/>
  <c r="I3" i="4"/>
  <c r="K3" i="4" s="1"/>
  <c r="I7" i="4"/>
  <c r="K7" i="4" s="1"/>
  <c r="I11" i="4"/>
  <c r="K11" i="4" s="1"/>
  <c r="I15" i="4"/>
  <c r="K15" i="4" s="1"/>
  <c r="I19" i="4"/>
  <c r="K19" i="4" s="1"/>
  <c r="I23" i="4"/>
  <c r="K23" i="4" s="1"/>
  <c r="I27" i="4"/>
  <c r="K27" i="4" s="1"/>
  <c r="I31" i="4"/>
  <c r="K31" i="4" s="1"/>
  <c r="I35" i="4"/>
  <c r="K35" i="4" s="1"/>
  <c r="I39" i="4"/>
  <c r="K39" i="4" s="1"/>
  <c r="I43" i="4"/>
  <c r="K43" i="4" s="1"/>
  <c r="H4" i="4"/>
  <c r="I4" i="4" s="1"/>
  <c r="K4" i="4" s="1"/>
  <c r="H5" i="4"/>
  <c r="I5" i="4" s="1"/>
  <c r="K5" i="4" s="1"/>
  <c r="H6" i="4"/>
  <c r="I6" i="4" s="1"/>
  <c r="K6" i="4" s="1"/>
  <c r="H7" i="4"/>
  <c r="H8" i="4"/>
  <c r="I8" i="4" s="1"/>
  <c r="K8" i="4" s="1"/>
  <c r="H9" i="4"/>
  <c r="I9" i="4" s="1"/>
  <c r="K9" i="4" s="1"/>
  <c r="H10" i="4"/>
  <c r="I10" i="4" s="1"/>
  <c r="K10" i="4" s="1"/>
  <c r="H11" i="4"/>
  <c r="H12" i="4"/>
  <c r="I12" i="4" s="1"/>
  <c r="K12" i="4" s="1"/>
  <c r="H13" i="4"/>
  <c r="I13" i="4" s="1"/>
  <c r="K13" i="4" s="1"/>
  <c r="H14" i="4"/>
  <c r="I14" i="4" s="1"/>
  <c r="K14" i="4" s="1"/>
  <c r="H15" i="4"/>
  <c r="H16" i="4"/>
  <c r="I16" i="4" s="1"/>
  <c r="K16" i="4" s="1"/>
  <c r="H17" i="4"/>
  <c r="I17" i="4" s="1"/>
  <c r="K17" i="4" s="1"/>
  <c r="H18" i="4"/>
  <c r="I18" i="4" s="1"/>
  <c r="K18" i="4" s="1"/>
  <c r="H19" i="4"/>
  <c r="H20" i="4"/>
  <c r="I20" i="4" s="1"/>
  <c r="K20" i="4" s="1"/>
  <c r="H21" i="4"/>
  <c r="I21" i="4" s="1"/>
  <c r="K21" i="4" s="1"/>
  <c r="H22" i="4"/>
  <c r="I22" i="4" s="1"/>
  <c r="K22" i="4" s="1"/>
  <c r="H23" i="4"/>
  <c r="H24" i="4"/>
  <c r="I24" i="4" s="1"/>
  <c r="K24" i="4" s="1"/>
  <c r="H25" i="4"/>
  <c r="I25" i="4" s="1"/>
  <c r="K25" i="4" s="1"/>
  <c r="H26" i="4"/>
  <c r="I26" i="4" s="1"/>
  <c r="K26" i="4" s="1"/>
  <c r="H27" i="4"/>
  <c r="H28" i="4"/>
  <c r="I28" i="4" s="1"/>
  <c r="K28" i="4" s="1"/>
  <c r="H29" i="4"/>
  <c r="I29" i="4" s="1"/>
  <c r="K29" i="4" s="1"/>
  <c r="H30" i="4"/>
  <c r="I30" i="4" s="1"/>
  <c r="K30" i="4" s="1"/>
  <c r="H31" i="4"/>
  <c r="H32" i="4"/>
  <c r="I32" i="4" s="1"/>
  <c r="K32" i="4" s="1"/>
  <c r="H33" i="4"/>
  <c r="I33" i="4" s="1"/>
  <c r="K33" i="4" s="1"/>
  <c r="H34" i="4"/>
  <c r="I34" i="4" s="1"/>
  <c r="K34" i="4" s="1"/>
  <c r="H35" i="4"/>
  <c r="H36" i="4"/>
  <c r="I36" i="4" s="1"/>
  <c r="K36" i="4" s="1"/>
  <c r="H37" i="4"/>
  <c r="I37" i="4" s="1"/>
  <c r="K37" i="4" s="1"/>
  <c r="H38" i="4"/>
  <c r="I38" i="4" s="1"/>
  <c r="K38" i="4" s="1"/>
  <c r="H39" i="4"/>
  <c r="H40" i="4"/>
  <c r="I40" i="4" s="1"/>
  <c r="K40" i="4" s="1"/>
  <c r="H41" i="4"/>
  <c r="I41" i="4" s="1"/>
  <c r="K41" i="4" s="1"/>
  <c r="H42" i="4"/>
  <c r="I42" i="4" s="1"/>
  <c r="K42" i="4" s="1"/>
  <c r="H43" i="4"/>
  <c r="H44" i="4"/>
  <c r="I44" i="4" s="1"/>
  <c r="K44" i="4" s="1"/>
  <c r="H45" i="4"/>
  <c r="I45" i="4" s="1"/>
  <c r="K45" i="4" s="1"/>
  <c r="H3" i="4"/>
  <c r="F45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3" i="4"/>
  <c r="D5" i="4"/>
  <c r="L5" i="4" s="1"/>
  <c r="D6" i="4"/>
  <c r="L6" i="4" s="1"/>
  <c r="D7" i="4"/>
  <c r="D8" i="4"/>
  <c r="L8" i="4" s="1"/>
  <c r="D9" i="4"/>
  <c r="L9" i="4" s="1"/>
  <c r="D10" i="4"/>
  <c r="L10" i="4" s="1"/>
  <c r="D11" i="4"/>
  <c r="D12" i="4"/>
  <c r="L12" i="4" s="1"/>
  <c r="D13" i="4"/>
  <c r="L13" i="4" s="1"/>
  <c r="D14" i="4"/>
  <c r="L14" i="4" s="1"/>
  <c r="D15" i="4"/>
  <c r="D16" i="4"/>
  <c r="L16" i="4" s="1"/>
  <c r="D17" i="4"/>
  <c r="L17" i="4" s="1"/>
  <c r="D18" i="4"/>
  <c r="L18" i="4" s="1"/>
  <c r="D19" i="4"/>
  <c r="D20" i="4"/>
  <c r="L20" i="4" s="1"/>
  <c r="D21" i="4"/>
  <c r="L21" i="4" s="1"/>
  <c r="D22" i="4"/>
  <c r="L22" i="4" s="1"/>
  <c r="D23" i="4"/>
  <c r="D24" i="4"/>
  <c r="L24" i="4" s="1"/>
  <c r="D25" i="4"/>
  <c r="L25" i="4" s="1"/>
  <c r="D26" i="4"/>
  <c r="L26" i="4" s="1"/>
  <c r="D27" i="4"/>
  <c r="D28" i="4"/>
  <c r="L28" i="4" s="1"/>
  <c r="D29" i="4"/>
  <c r="L29" i="4" s="1"/>
  <c r="D30" i="4"/>
  <c r="L30" i="4" s="1"/>
  <c r="D31" i="4"/>
  <c r="D32" i="4"/>
  <c r="L32" i="4" s="1"/>
  <c r="D33" i="4"/>
  <c r="L33" i="4" s="1"/>
  <c r="D34" i="4"/>
  <c r="L34" i="4" s="1"/>
  <c r="D35" i="4"/>
  <c r="D36" i="4"/>
  <c r="L36" i="4" s="1"/>
  <c r="D37" i="4"/>
  <c r="L37" i="4" s="1"/>
  <c r="D38" i="4"/>
  <c r="L38" i="4" s="1"/>
  <c r="D39" i="4"/>
  <c r="D40" i="4"/>
  <c r="L40" i="4" s="1"/>
  <c r="D41" i="4"/>
  <c r="L41" i="4" s="1"/>
  <c r="D42" i="4"/>
  <c r="L42" i="4" s="1"/>
  <c r="D43" i="4"/>
  <c r="D44" i="4"/>
  <c r="L44" i="4" s="1"/>
  <c r="D45" i="4"/>
  <c r="L45" i="4" s="1"/>
  <c r="D3" i="4"/>
  <c r="D4" i="4"/>
  <c r="L4" i="4" s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3" i="4"/>
  <c r="L2" i="3"/>
  <c r="L3" i="3"/>
  <c r="J2" i="3"/>
  <c r="J3" i="3"/>
  <c r="I2" i="3"/>
  <c r="K2" i="3" s="1"/>
  <c r="H4" i="3"/>
  <c r="I4" i="3" s="1"/>
  <c r="K4" i="3" s="1"/>
  <c r="H5" i="3"/>
  <c r="I5" i="3" s="1"/>
  <c r="K5" i="3" s="1"/>
  <c r="H6" i="3"/>
  <c r="I6" i="3" s="1"/>
  <c r="K6" i="3" s="1"/>
  <c r="H7" i="3"/>
  <c r="I7" i="3" s="1"/>
  <c r="K7" i="3" s="1"/>
  <c r="H8" i="3"/>
  <c r="I8" i="3" s="1"/>
  <c r="K8" i="3" s="1"/>
  <c r="H9" i="3"/>
  <c r="I9" i="3" s="1"/>
  <c r="K9" i="3" s="1"/>
  <c r="H10" i="3"/>
  <c r="I10" i="3" s="1"/>
  <c r="K10" i="3" s="1"/>
  <c r="H11" i="3"/>
  <c r="I11" i="3" s="1"/>
  <c r="K11" i="3" s="1"/>
  <c r="H12" i="3"/>
  <c r="I12" i="3" s="1"/>
  <c r="K12" i="3" s="1"/>
  <c r="H13" i="3"/>
  <c r="I13" i="3" s="1"/>
  <c r="K13" i="3" s="1"/>
  <c r="H14" i="3"/>
  <c r="I14" i="3" s="1"/>
  <c r="K14" i="3" s="1"/>
  <c r="H15" i="3"/>
  <c r="I15" i="3" s="1"/>
  <c r="K15" i="3" s="1"/>
  <c r="H16" i="3"/>
  <c r="I16" i="3" s="1"/>
  <c r="K16" i="3" s="1"/>
  <c r="H17" i="3"/>
  <c r="I17" i="3" s="1"/>
  <c r="K17" i="3" s="1"/>
  <c r="H18" i="3"/>
  <c r="I18" i="3" s="1"/>
  <c r="K18" i="3" s="1"/>
  <c r="H19" i="3"/>
  <c r="I19" i="3" s="1"/>
  <c r="K19" i="3" s="1"/>
  <c r="H20" i="3"/>
  <c r="I20" i="3" s="1"/>
  <c r="K20" i="3" s="1"/>
  <c r="H21" i="3"/>
  <c r="I21" i="3" s="1"/>
  <c r="K21" i="3" s="1"/>
  <c r="H22" i="3"/>
  <c r="I22" i="3" s="1"/>
  <c r="K22" i="3" s="1"/>
  <c r="H23" i="3"/>
  <c r="I23" i="3" s="1"/>
  <c r="K23" i="3" s="1"/>
  <c r="H24" i="3"/>
  <c r="I24" i="3" s="1"/>
  <c r="K24" i="3" s="1"/>
  <c r="H25" i="3"/>
  <c r="I25" i="3" s="1"/>
  <c r="K25" i="3" s="1"/>
  <c r="H26" i="3"/>
  <c r="I26" i="3" s="1"/>
  <c r="K26" i="3" s="1"/>
  <c r="H27" i="3"/>
  <c r="I27" i="3" s="1"/>
  <c r="K27" i="3" s="1"/>
  <c r="H28" i="3"/>
  <c r="I28" i="3" s="1"/>
  <c r="K28" i="3" s="1"/>
  <c r="H29" i="3"/>
  <c r="I29" i="3" s="1"/>
  <c r="K29" i="3" s="1"/>
  <c r="H30" i="3"/>
  <c r="I30" i="3" s="1"/>
  <c r="K30" i="3" s="1"/>
  <c r="H31" i="3"/>
  <c r="I31" i="3" s="1"/>
  <c r="K31" i="3" s="1"/>
  <c r="H32" i="3"/>
  <c r="I32" i="3" s="1"/>
  <c r="K32" i="3" s="1"/>
  <c r="H33" i="3"/>
  <c r="I33" i="3" s="1"/>
  <c r="K33" i="3" s="1"/>
  <c r="H34" i="3"/>
  <c r="I34" i="3" s="1"/>
  <c r="K34" i="3" s="1"/>
  <c r="H35" i="3"/>
  <c r="I35" i="3" s="1"/>
  <c r="K35" i="3" s="1"/>
  <c r="H36" i="3"/>
  <c r="I36" i="3" s="1"/>
  <c r="K36" i="3" s="1"/>
  <c r="H37" i="3"/>
  <c r="I37" i="3" s="1"/>
  <c r="K37" i="3" s="1"/>
  <c r="H38" i="3"/>
  <c r="I38" i="3" s="1"/>
  <c r="K38" i="3" s="1"/>
  <c r="H39" i="3"/>
  <c r="I39" i="3" s="1"/>
  <c r="K39" i="3" s="1"/>
  <c r="H40" i="3"/>
  <c r="I40" i="3" s="1"/>
  <c r="K40" i="3" s="1"/>
  <c r="H41" i="3"/>
  <c r="I41" i="3" s="1"/>
  <c r="K41" i="3" s="1"/>
  <c r="H42" i="3"/>
  <c r="I42" i="3" s="1"/>
  <c r="K42" i="3" s="1"/>
  <c r="H43" i="3"/>
  <c r="I43" i="3" s="1"/>
  <c r="K43" i="3" s="1"/>
  <c r="H44" i="3"/>
  <c r="I44" i="3" s="1"/>
  <c r="K44" i="3" s="1"/>
  <c r="H45" i="3"/>
  <c r="I45" i="3" s="1"/>
  <c r="K45" i="3" s="1"/>
  <c r="H3" i="3"/>
  <c r="I3" i="3" s="1"/>
  <c r="K3" i="3" s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3" i="3"/>
  <c r="D4" i="3"/>
  <c r="L4" i="3" s="1"/>
  <c r="D5" i="3"/>
  <c r="L5" i="3" s="1"/>
  <c r="D6" i="3"/>
  <c r="L6" i="3" s="1"/>
  <c r="D7" i="3"/>
  <c r="J7" i="3" s="1"/>
  <c r="D8" i="3"/>
  <c r="L8" i="3" s="1"/>
  <c r="D9" i="3"/>
  <c r="L9" i="3" s="1"/>
  <c r="D10" i="3"/>
  <c r="L10" i="3" s="1"/>
  <c r="D11" i="3"/>
  <c r="J11" i="3" s="1"/>
  <c r="D12" i="3"/>
  <c r="L12" i="3" s="1"/>
  <c r="D13" i="3"/>
  <c r="L13" i="3" s="1"/>
  <c r="D14" i="3"/>
  <c r="L14" i="3" s="1"/>
  <c r="D15" i="3"/>
  <c r="L15" i="3" s="1"/>
  <c r="D16" i="3"/>
  <c r="L16" i="3" s="1"/>
  <c r="D17" i="3"/>
  <c r="L17" i="3" s="1"/>
  <c r="D18" i="3"/>
  <c r="L18" i="3" s="1"/>
  <c r="D19" i="3"/>
  <c r="J19" i="3" s="1"/>
  <c r="D20" i="3"/>
  <c r="L20" i="3" s="1"/>
  <c r="D21" i="3"/>
  <c r="L21" i="3" s="1"/>
  <c r="D22" i="3"/>
  <c r="L22" i="3" s="1"/>
  <c r="D23" i="3"/>
  <c r="L23" i="3" s="1"/>
  <c r="D24" i="3"/>
  <c r="L24" i="3" s="1"/>
  <c r="D25" i="3"/>
  <c r="L25" i="3" s="1"/>
  <c r="D26" i="3"/>
  <c r="L26" i="3" s="1"/>
  <c r="D27" i="3"/>
  <c r="J27" i="3" s="1"/>
  <c r="D28" i="3"/>
  <c r="L28" i="3" s="1"/>
  <c r="D29" i="3"/>
  <c r="L29" i="3" s="1"/>
  <c r="D30" i="3"/>
  <c r="L30" i="3" s="1"/>
  <c r="D31" i="3"/>
  <c r="L31" i="3" s="1"/>
  <c r="D32" i="3"/>
  <c r="L32" i="3" s="1"/>
  <c r="D33" i="3"/>
  <c r="L33" i="3" s="1"/>
  <c r="D34" i="3"/>
  <c r="L34" i="3" s="1"/>
  <c r="D35" i="3"/>
  <c r="L35" i="3" s="1"/>
  <c r="D36" i="3"/>
  <c r="L36" i="3" s="1"/>
  <c r="D37" i="3"/>
  <c r="L37" i="3" s="1"/>
  <c r="D38" i="3"/>
  <c r="L38" i="3" s="1"/>
  <c r="D39" i="3"/>
  <c r="L39" i="3" s="1"/>
  <c r="D40" i="3"/>
  <c r="L40" i="3" s="1"/>
  <c r="D41" i="3"/>
  <c r="L41" i="3" s="1"/>
  <c r="D42" i="3"/>
  <c r="L42" i="3" s="1"/>
  <c r="D43" i="3"/>
  <c r="J43" i="3" s="1"/>
  <c r="D44" i="3"/>
  <c r="L44" i="3" s="1"/>
  <c r="D45" i="3"/>
  <c r="L45" i="3" s="1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3" i="3"/>
  <c r="L2" i="2"/>
  <c r="L5" i="2"/>
  <c r="L9" i="2"/>
  <c r="L13" i="2"/>
  <c r="L17" i="2"/>
  <c r="L21" i="2"/>
  <c r="L25" i="2"/>
  <c r="L29" i="2"/>
  <c r="L33" i="2"/>
  <c r="L37" i="2"/>
  <c r="L41" i="2"/>
  <c r="L45" i="2"/>
  <c r="J2" i="2"/>
  <c r="J5" i="2"/>
  <c r="J9" i="2"/>
  <c r="J13" i="2"/>
  <c r="J17" i="2"/>
  <c r="J21" i="2"/>
  <c r="J25" i="2"/>
  <c r="J29" i="2"/>
  <c r="J33" i="2"/>
  <c r="J34" i="2"/>
  <c r="J37" i="2"/>
  <c r="J38" i="2"/>
  <c r="J41" i="2"/>
  <c r="J42" i="2"/>
  <c r="J45" i="2"/>
  <c r="I2" i="2"/>
  <c r="K2" i="2" s="1"/>
  <c r="I5" i="2"/>
  <c r="K5" i="2" s="1"/>
  <c r="I6" i="2"/>
  <c r="K6" i="2" s="1"/>
  <c r="I9" i="2"/>
  <c r="K9" i="2" s="1"/>
  <c r="I10" i="2"/>
  <c r="K10" i="2" s="1"/>
  <c r="I13" i="2"/>
  <c r="K13" i="2" s="1"/>
  <c r="I14" i="2"/>
  <c r="K14" i="2" s="1"/>
  <c r="I17" i="2"/>
  <c r="K17" i="2" s="1"/>
  <c r="I18" i="2"/>
  <c r="K18" i="2" s="1"/>
  <c r="I21" i="2"/>
  <c r="K21" i="2" s="1"/>
  <c r="I22" i="2"/>
  <c r="K22" i="2" s="1"/>
  <c r="I25" i="2"/>
  <c r="K25" i="2" s="1"/>
  <c r="I26" i="2"/>
  <c r="K26" i="2" s="1"/>
  <c r="I29" i="2"/>
  <c r="K29" i="2" s="1"/>
  <c r="I30" i="2"/>
  <c r="K30" i="2" s="1"/>
  <c r="I33" i="2"/>
  <c r="K33" i="2" s="1"/>
  <c r="I34" i="2"/>
  <c r="K34" i="2" s="1"/>
  <c r="I37" i="2"/>
  <c r="K37" i="2" s="1"/>
  <c r="I38" i="2"/>
  <c r="K38" i="2" s="1"/>
  <c r="I41" i="2"/>
  <c r="K41" i="2" s="1"/>
  <c r="I42" i="2"/>
  <c r="K42" i="2" s="1"/>
  <c r="I45" i="2"/>
  <c r="K45" i="2" s="1"/>
  <c r="H4" i="2"/>
  <c r="I4" i="2" s="1"/>
  <c r="K4" i="2" s="1"/>
  <c r="H5" i="2"/>
  <c r="H6" i="2"/>
  <c r="H7" i="2"/>
  <c r="I7" i="2" s="1"/>
  <c r="K7" i="2" s="1"/>
  <c r="H8" i="2"/>
  <c r="I8" i="2" s="1"/>
  <c r="K8" i="2" s="1"/>
  <c r="H9" i="2"/>
  <c r="H10" i="2"/>
  <c r="H11" i="2"/>
  <c r="I11" i="2" s="1"/>
  <c r="K11" i="2" s="1"/>
  <c r="H12" i="2"/>
  <c r="I12" i="2" s="1"/>
  <c r="K12" i="2" s="1"/>
  <c r="H13" i="2"/>
  <c r="H14" i="2"/>
  <c r="H15" i="2"/>
  <c r="I15" i="2" s="1"/>
  <c r="K15" i="2" s="1"/>
  <c r="H16" i="2"/>
  <c r="I16" i="2" s="1"/>
  <c r="K16" i="2" s="1"/>
  <c r="H17" i="2"/>
  <c r="H18" i="2"/>
  <c r="H19" i="2"/>
  <c r="I19" i="2" s="1"/>
  <c r="K19" i="2" s="1"/>
  <c r="H20" i="2"/>
  <c r="I20" i="2" s="1"/>
  <c r="K20" i="2" s="1"/>
  <c r="H21" i="2"/>
  <c r="H22" i="2"/>
  <c r="H23" i="2"/>
  <c r="I23" i="2" s="1"/>
  <c r="K23" i="2" s="1"/>
  <c r="H24" i="2"/>
  <c r="I24" i="2" s="1"/>
  <c r="K24" i="2" s="1"/>
  <c r="H25" i="2"/>
  <c r="H26" i="2"/>
  <c r="H27" i="2"/>
  <c r="I27" i="2" s="1"/>
  <c r="K27" i="2" s="1"/>
  <c r="H28" i="2"/>
  <c r="I28" i="2" s="1"/>
  <c r="K28" i="2" s="1"/>
  <c r="H29" i="2"/>
  <c r="H30" i="2"/>
  <c r="H31" i="2"/>
  <c r="I31" i="2" s="1"/>
  <c r="K31" i="2" s="1"/>
  <c r="H32" i="2"/>
  <c r="I32" i="2" s="1"/>
  <c r="K32" i="2" s="1"/>
  <c r="H33" i="2"/>
  <c r="H34" i="2"/>
  <c r="H35" i="2"/>
  <c r="I35" i="2" s="1"/>
  <c r="K35" i="2" s="1"/>
  <c r="H36" i="2"/>
  <c r="I36" i="2" s="1"/>
  <c r="K36" i="2" s="1"/>
  <c r="H37" i="2"/>
  <c r="H38" i="2"/>
  <c r="H39" i="2"/>
  <c r="I39" i="2" s="1"/>
  <c r="K39" i="2" s="1"/>
  <c r="H40" i="2"/>
  <c r="I40" i="2" s="1"/>
  <c r="K40" i="2" s="1"/>
  <c r="H41" i="2"/>
  <c r="H42" i="2"/>
  <c r="H43" i="2"/>
  <c r="I43" i="2" s="1"/>
  <c r="K43" i="2" s="1"/>
  <c r="H44" i="2"/>
  <c r="I44" i="2" s="1"/>
  <c r="K44" i="2" s="1"/>
  <c r="H45" i="2"/>
  <c r="H3" i="2"/>
  <c r="I3" i="2" s="1"/>
  <c r="K3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3" i="2"/>
  <c r="D45" i="2"/>
  <c r="D44" i="2"/>
  <c r="L44" i="2" s="1"/>
  <c r="D43" i="2"/>
  <c r="L43" i="2" s="1"/>
  <c r="D42" i="2"/>
  <c r="L42" i="2" s="1"/>
  <c r="D41" i="2"/>
  <c r="D40" i="2"/>
  <c r="L40" i="2" s="1"/>
  <c r="D39" i="2"/>
  <c r="L39" i="2" s="1"/>
  <c r="D38" i="2"/>
  <c r="L38" i="2" s="1"/>
  <c r="D37" i="2"/>
  <c r="D36" i="2"/>
  <c r="L36" i="2" s="1"/>
  <c r="D35" i="2"/>
  <c r="L35" i="2" s="1"/>
  <c r="D34" i="2"/>
  <c r="L34" i="2" s="1"/>
  <c r="D33" i="2"/>
  <c r="D32" i="2"/>
  <c r="L32" i="2" s="1"/>
  <c r="D31" i="2"/>
  <c r="L31" i="2" s="1"/>
  <c r="D30" i="2"/>
  <c r="L30" i="2" s="1"/>
  <c r="D29" i="2"/>
  <c r="D28" i="2"/>
  <c r="L28" i="2" s="1"/>
  <c r="D27" i="2"/>
  <c r="L27" i="2" s="1"/>
  <c r="D26" i="2"/>
  <c r="L26" i="2" s="1"/>
  <c r="D25" i="2"/>
  <c r="D24" i="2"/>
  <c r="L24" i="2" s="1"/>
  <c r="D23" i="2"/>
  <c r="L23" i="2" s="1"/>
  <c r="D22" i="2"/>
  <c r="L22" i="2" s="1"/>
  <c r="D21" i="2"/>
  <c r="D20" i="2"/>
  <c r="L20" i="2" s="1"/>
  <c r="D19" i="2"/>
  <c r="L19" i="2" s="1"/>
  <c r="D18" i="2"/>
  <c r="L18" i="2" s="1"/>
  <c r="D17" i="2"/>
  <c r="D16" i="2"/>
  <c r="L16" i="2" s="1"/>
  <c r="D15" i="2"/>
  <c r="L15" i="2" s="1"/>
  <c r="D14" i="2"/>
  <c r="L14" i="2" s="1"/>
  <c r="D13" i="2"/>
  <c r="D12" i="2"/>
  <c r="L12" i="2" s="1"/>
  <c r="D11" i="2"/>
  <c r="L11" i="2" s="1"/>
  <c r="D10" i="2"/>
  <c r="L10" i="2" s="1"/>
  <c r="D9" i="2"/>
  <c r="D8" i="2"/>
  <c r="L8" i="2" s="1"/>
  <c r="D7" i="2"/>
  <c r="L7" i="2" s="1"/>
  <c r="D6" i="2"/>
  <c r="L6" i="2" s="1"/>
  <c r="D5" i="2"/>
  <c r="D4" i="2"/>
  <c r="D3" i="2"/>
  <c r="L3" i="2" s="1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J39" i="5" l="1"/>
  <c r="J31" i="5"/>
  <c r="J19" i="5"/>
  <c r="L43" i="5"/>
  <c r="L35" i="5"/>
  <c r="L27" i="5"/>
  <c r="L23" i="5"/>
  <c r="L15" i="5"/>
  <c r="L11" i="5"/>
  <c r="L7" i="5"/>
  <c r="J42" i="5"/>
  <c r="J34" i="5"/>
  <c r="J22" i="5"/>
  <c r="J14" i="5"/>
  <c r="L18" i="5"/>
  <c r="J45" i="5"/>
  <c r="J41" i="5"/>
  <c r="J37" i="5"/>
  <c r="J33" i="5"/>
  <c r="J29" i="5"/>
  <c r="J25" i="5"/>
  <c r="J21" i="5"/>
  <c r="J17" i="5"/>
  <c r="J13" i="5"/>
  <c r="J9" i="5"/>
  <c r="J5" i="5"/>
  <c r="J38" i="5"/>
  <c r="J30" i="5"/>
  <c r="J26" i="5"/>
  <c r="J10" i="5"/>
  <c r="J6" i="5"/>
  <c r="J44" i="5"/>
  <c r="J40" i="5"/>
  <c r="J36" i="5"/>
  <c r="J32" i="5"/>
  <c r="J28" i="5"/>
  <c r="J24" i="5"/>
  <c r="J20" i="5"/>
  <c r="J16" i="5"/>
  <c r="J12" i="5"/>
  <c r="J8" i="5"/>
  <c r="J4" i="5"/>
  <c r="J42" i="4"/>
  <c r="J38" i="4"/>
  <c r="J34" i="4"/>
  <c r="J30" i="4"/>
  <c r="J26" i="4"/>
  <c r="J22" i="4"/>
  <c r="J18" i="4"/>
  <c r="J14" i="4"/>
  <c r="J10" i="4"/>
  <c r="J6" i="4"/>
  <c r="J45" i="4"/>
  <c r="J41" i="4"/>
  <c r="J37" i="4"/>
  <c r="J33" i="4"/>
  <c r="J29" i="4"/>
  <c r="J25" i="4"/>
  <c r="J21" i="4"/>
  <c r="J17" i="4"/>
  <c r="J13" i="4"/>
  <c r="J9" i="4"/>
  <c r="J5" i="4"/>
  <c r="J44" i="4"/>
  <c r="J40" i="4"/>
  <c r="J36" i="4"/>
  <c r="J32" i="4"/>
  <c r="J28" i="4"/>
  <c r="J24" i="4"/>
  <c r="J20" i="4"/>
  <c r="J16" i="4"/>
  <c r="J12" i="4"/>
  <c r="J8" i="4"/>
  <c r="J4" i="4"/>
  <c r="J35" i="3"/>
  <c r="J23" i="3"/>
  <c r="L43" i="3"/>
  <c r="L27" i="3"/>
  <c r="L19" i="3"/>
  <c r="L11" i="3"/>
  <c r="L7" i="3"/>
  <c r="J42" i="3"/>
  <c r="J38" i="3"/>
  <c r="J34" i="3"/>
  <c r="J30" i="3"/>
  <c r="J26" i="3"/>
  <c r="J22" i="3"/>
  <c r="J18" i="3"/>
  <c r="J14" i="3"/>
  <c r="J10" i="3"/>
  <c r="J6" i="3"/>
  <c r="J31" i="3"/>
  <c r="J45" i="3"/>
  <c r="J41" i="3"/>
  <c r="J37" i="3"/>
  <c r="J33" i="3"/>
  <c r="J29" i="3"/>
  <c r="J25" i="3"/>
  <c r="J21" i="3"/>
  <c r="J17" i="3"/>
  <c r="J13" i="3"/>
  <c r="J9" i="3"/>
  <c r="J5" i="3"/>
  <c r="J39" i="3"/>
  <c r="J15" i="3"/>
  <c r="J44" i="3"/>
  <c r="J40" i="3"/>
  <c r="J36" i="3"/>
  <c r="J32" i="3"/>
  <c r="J28" i="3"/>
  <c r="J24" i="3"/>
  <c r="J20" i="3"/>
  <c r="J16" i="3"/>
  <c r="J12" i="3"/>
  <c r="J8" i="3"/>
  <c r="J4" i="3"/>
  <c r="J44" i="2"/>
  <c r="J40" i="2"/>
  <c r="J36" i="2"/>
  <c r="J32" i="2"/>
  <c r="J28" i="2"/>
  <c r="J24" i="2"/>
  <c r="J20" i="2"/>
  <c r="J16" i="2"/>
  <c r="J12" i="2"/>
  <c r="J8" i="2"/>
  <c r="J4" i="2"/>
  <c r="L4" i="2"/>
  <c r="J43" i="2"/>
  <c r="J39" i="2"/>
  <c r="J35" i="2"/>
  <c r="J31" i="2"/>
  <c r="J27" i="2"/>
  <c r="J23" i="2"/>
  <c r="J19" i="2"/>
  <c r="J15" i="2"/>
  <c r="J11" i="2"/>
  <c r="J7" i="2"/>
  <c r="J3" i="2"/>
  <c r="J30" i="2"/>
  <c r="J26" i="2"/>
  <c r="J22" i="2"/>
  <c r="J18" i="2"/>
  <c r="J14" i="2"/>
  <c r="J10" i="2"/>
  <c r="J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8C0014-7406-432F-B966-39443F92FD49}" keepAlive="1" name="Zapytanie — FIO_PL" description="Połączenie z zapytaniem „FIO_PL” w skoroszycie." type="5" refreshedVersion="8" background="1" saveData="1">
    <dbPr connection="Provider=Microsoft.Mashup.OleDb.1;Data Source=$Workbook$;Location=FIO_PL;Extended Properties=&quot;&quot;" command="SELECT * FROM [FIO_PL]"/>
  </connection>
  <connection id="2" xr16:uid="{C861B5AA-C4D4-4A6F-81FD-DE2EA9A15186}" keepAlive="1" name="Zapytanie — FIO_Z" description="Połączenie z zapytaniem „FIO_Z” w skoroszycie." type="5" refreshedVersion="8" background="1" saveData="1">
    <dbPr connection="Provider=Microsoft.Mashup.OleDb.1;Data Source=$Workbook$;Location=FIO_Z;Extended Properties=&quot;&quot;" command="SELECT * FROM [FIO_Z]"/>
  </connection>
  <connection id="3" xr16:uid="{666EED72-9AC4-4274-9C72-17D26C7CACEA}" keepAlive="1" name="Zapytanie — SFIO_PL" description="Połączenie z zapytaniem „SFIO_PL” w skoroszycie." type="5" refreshedVersion="8" background="1" saveData="1">
    <dbPr connection="Provider=Microsoft.Mashup.OleDb.1;Data Source=$Workbook$;Location=SFIO_PL;Extended Properties=&quot;&quot;" command="SELECT * FROM [SFIO_PL]"/>
  </connection>
  <connection id="4" xr16:uid="{02828101-970F-4D4E-9512-60CB18407E9E}" keepAlive="1" name="Zapytanie — SFIO_Z" description="Połączenie z zapytaniem „SFIO_Z” w skoroszycie." type="5" refreshedVersion="8" background="1" saveData="1">
    <dbPr connection="Provider=Microsoft.Mashup.OleDb.1;Data Source=$Workbook$;Location=SFIO_Z;Extended Properties=&quot;&quot;" command="SELECT * FROM [SFIO_Z]"/>
  </connection>
</connections>
</file>

<file path=xl/sharedStrings.xml><?xml version="1.0" encoding="utf-8"?>
<sst xmlns="http://schemas.openxmlformats.org/spreadsheetml/2006/main" count="453" uniqueCount="180">
  <si>
    <t>Data</t>
  </si>
  <si>
    <t>Cena</t>
  </si>
  <si>
    <t>Prosta stopa zwrotu</t>
  </si>
  <si>
    <t>Logarytmiczna stopa zwrotu</t>
  </si>
  <si>
    <t>Instrument wolny od ryzyka</t>
  </si>
  <si>
    <t>Stopa wolna od ryzyka</t>
  </si>
  <si>
    <t>Rynkowa stopa zwrotu</t>
  </si>
  <si>
    <t>Wzorcowa stopa zwrotu</t>
  </si>
  <si>
    <t>Wzorcowa rynkowa stopa zwrotu</t>
  </si>
  <si>
    <t>Pozytywna stopa zwrotu</t>
  </si>
  <si>
    <t>Stopa WIG</t>
  </si>
  <si>
    <t>WIG</t>
  </si>
  <si>
    <t>MSCI Wolrd Index</t>
  </si>
  <si>
    <t>Stopa MSCI</t>
  </si>
  <si>
    <t>Rp_FIO_PL</t>
  </si>
  <si>
    <t>Rp_SFIO_PL</t>
  </si>
  <si>
    <t>Rp_FIO_Z</t>
  </si>
  <si>
    <t>Rp_SFIO_Z</t>
  </si>
  <si>
    <t>Rl_FIO_PL</t>
  </si>
  <si>
    <t>Rl_SFIO_PL</t>
  </si>
  <si>
    <t>Rl_FIO_Z</t>
  </si>
  <si>
    <t>Rl_SFIO_Z</t>
  </si>
  <si>
    <t>Rf</t>
  </si>
  <si>
    <t>Rm_FIO_PL</t>
  </si>
  <si>
    <t>Rm_SFIO_PL</t>
  </si>
  <si>
    <t>Rm_FIO_Z</t>
  </si>
  <si>
    <t>Rm_SFIO_Z</t>
  </si>
  <si>
    <t>Rw_FIO_PL</t>
  </si>
  <si>
    <t>Rw_SFIO_PL</t>
  </si>
  <si>
    <t>Rw_FIO_Z</t>
  </si>
  <si>
    <t>Rw_SFIO_Z</t>
  </si>
  <si>
    <t>Rw_WIG</t>
  </si>
  <si>
    <t>Rl_WIG</t>
  </si>
  <si>
    <t>Rt+_FIO_PL</t>
  </si>
  <si>
    <t>Rt+_SFIO_PL</t>
  </si>
  <si>
    <t>Rt+_FIO_Z</t>
  </si>
  <si>
    <t>Rt+_SFIO_Z</t>
  </si>
  <si>
    <t>Rw_MSCI</t>
  </si>
  <si>
    <t>Rl_MSCI</t>
  </si>
  <si>
    <t>Sr. Stopy</t>
  </si>
  <si>
    <t>Średnia:</t>
  </si>
  <si>
    <t>Suma:</t>
  </si>
  <si>
    <t>Śr. minRtj 5%</t>
  </si>
  <si>
    <t>Su. minRtj 5%</t>
  </si>
  <si>
    <t>Rp_FIO_PL_P</t>
  </si>
  <si>
    <t>Rp_SFIO_PL_P</t>
  </si>
  <si>
    <t>Rp_FIO_Z_P</t>
  </si>
  <si>
    <t>Rp_SFIO_Z_P</t>
  </si>
  <si>
    <t>Rl_FIO_PL_P</t>
  </si>
  <si>
    <t>Rl_SFIO_PL_P</t>
  </si>
  <si>
    <t>Rl_FIO_Z_P</t>
  </si>
  <si>
    <t>Rl_SFIO_Z_P</t>
  </si>
  <si>
    <t>Rf_P</t>
  </si>
  <si>
    <t>Rm_FIO_PL_P</t>
  </si>
  <si>
    <t>Rm_SFIO_PL_P</t>
  </si>
  <si>
    <t>Rm_FIO_Z_P</t>
  </si>
  <si>
    <t>Rm_SFIO_Z_P</t>
  </si>
  <si>
    <t>Rw_FIO_PL_P</t>
  </si>
  <si>
    <t>Rw_SFIO_PL_P</t>
  </si>
  <si>
    <t>Rw_FIO_Z_P</t>
  </si>
  <si>
    <t>Rw_SFIO_Z_P</t>
  </si>
  <si>
    <t>Rw_WIG_P</t>
  </si>
  <si>
    <t>Rw_MSCI_P</t>
  </si>
  <si>
    <t>Rl_WIG_P</t>
  </si>
  <si>
    <t>Rl_MSCI_P</t>
  </si>
  <si>
    <t>Rt+_FIO_PL_P</t>
  </si>
  <si>
    <t>Rt+_SFIO_PL_P</t>
  </si>
  <si>
    <t>Rt+_FIO_Z_P</t>
  </si>
  <si>
    <t>Rt+_SFIO_Z_P</t>
  </si>
  <si>
    <t>Rp_FIO_PL_W</t>
  </si>
  <si>
    <t>Rp_SFIO_PL_W</t>
  </si>
  <si>
    <t>Rp_FIO_Z_W</t>
  </si>
  <si>
    <t>Rp_SFIO_Z_W</t>
  </si>
  <si>
    <t>Rl_FIO_PL_W</t>
  </si>
  <si>
    <t>Rl_SFIO_PL_W</t>
  </si>
  <si>
    <t>Rl_FIO_Z_W</t>
  </si>
  <si>
    <t>Rl_SFIO_Z_W</t>
  </si>
  <si>
    <t>Rf_W</t>
  </si>
  <si>
    <t>Rm_FIO_PL_W</t>
  </si>
  <si>
    <t>Rm_SFIO_PL_W</t>
  </si>
  <si>
    <t>Rm_FIO_Z_W</t>
  </si>
  <si>
    <t>Rm_SFIO_Z_W</t>
  </si>
  <si>
    <t>Rw_FIO_PL_W</t>
  </si>
  <si>
    <t>Rw_SFIO_PL_W</t>
  </si>
  <si>
    <t>Rw_FIO_Z_W</t>
  </si>
  <si>
    <t>Rw_SFIO_Z_W</t>
  </si>
  <si>
    <t>Rw_WIG_W</t>
  </si>
  <si>
    <t>Rw_MSCI_W</t>
  </si>
  <si>
    <t>Rl_WIG_W</t>
  </si>
  <si>
    <t>Rl_MSCI_W</t>
  </si>
  <si>
    <t>Rt+_FIO_PL_W</t>
  </si>
  <si>
    <t>Rt+_SFIO_PL_W</t>
  </si>
  <si>
    <t>Rt+_FIO_Z_W</t>
  </si>
  <si>
    <t>Rt+_SFIO_Z_W</t>
  </si>
  <si>
    <t>Wyszczególnienie</t>
  </si>
  <si>
    <t>Ryzyko systematyczne</t>
  </si>
  <si>
    <t>Ryzyko całkowite</t>
  </si>
  <si>
    <t>Ryzyko negatywne</t>
  </si>
  <si>
    <t>Fundusze</t>
  </si>
  <si>
    <t>Beta</t>
  </si>
  <si>
    <t>Sigma_p</t>
  </si>
  <si>
    <t>Sigma_(-)p</t>
  </si>
  <si>
    <t>FIO_PL_P</t>
  </si>
  <si>
    <t>SFIO_PL_P</t>
  </si>
  <si>
    <t>FIO_Z_P</t>
  </si>
  <si>
    <t>SFIO_Z_P</t>
  </si>
  <si>
    <t>WIG_P</t>
  </si>
  <si>
    <t>MSCI_P</t>
  </si>
  <si>
    <t>Odchylenie standardowe</t>
  </si>
  <si>
    <t>Stopa zwrotu</t>
  </si>
  <si>
    <t>Okres pokoju</t>
  </si>
  <si>
    <t>Okres kryzysu</t>
  </si>
  <si>
    <t>FIO_PL</t>
  </si>
  <si>
    <t>SFIO_PL</t>
  </si>
  <si>
    <t>Rl</t>
  </si>
  <si>
    <t>Rm</t>
  </si>
  <si>
    <t>Ryzyko systematyczne (beta)</t>
  </si>
  <si>
    <t>Ryzyko funduszu (odchylenie)</t>
  </si>
  <si>
    <t>Ryzyko rynkowe (odchylenie)</t>
  </si>
  <si>
    <t>Klasyczne miary ryzyka</t>
  </si>
  <si>
    <t>Treynor</t>
  </si>
  <si>
    <t>Sharpe</t>
  </si>
  <si>
    <t>alfa-Sharpe'a</t>
  </si>
  <si>
    <t>alfa-Jensen'a</t>
  </si>
  <si>
    <t>Zmodyfikowany alfa-Jensen'a</t>
  </si>
  <si>
    <t>FIO_Z</t>
  </si>
  <si>
    <t>SFIO_Z</t>
  </si>
  <si>
    <t>Stipy zwrotu</t>
  </si>
  <si>
    <t>Cały okres</t>
  </si>
  <si>
    <t>FIO_PL_Rm</t>
  </si>
  <si>
    <t>SFIO_PL_Rm</t>
  </si>
  <si>
    <t>FIO_Z_Rm</t>
  </si>
  <si>
    <t>SFIO_Z_Rm</t>
  </si>
  <si>
    <t>OBLIGACJE_Rf</t>
  </si>
  <si>
    <t>Rw</t>
  </si>
  <si>
    <t>Rt+</t>
  </si>
  <si>
    <t>Rt-</t>
  </si>
  <si>
    <t>Suma Rt+</t>
  </si>
  <si>
    <t>SumaRt-</t>
  </si>
  <si>
    <t>Semi-odchylenie</t>
  </si>
  <si>
    <t>minRt</t>
  </si>
  <si>
    <t>minRtj</t>
  </si>
  <si>
    <t>suma minRtj</t>
  </si>
  <si>
    <t>Z(MVaR)</t>
  </si>
  <si>
    <t>Alternatywne miary ryzyka</t>
  </si>
  <si>
    <t>Grupa I</t>
  </si>
  <si>
    <t>Sortino</t>
  </si>
  <si>
    <t>UPR</t>
  </si>
  <si>
    <t>Omega</t>
  </si>
  <si>
    <t>Grupa II</t>
  </si>
  <si>
    <t>Calmara</t>
  </si>
  <si>
    <t>Sterlinga</t>
  </si>
  <si>
    <t>Burkego</t>
  </si>
  <si>
    <t>Grupa III</t>
  </si>
  <si>
    <t>VaR</t>
  </si>
  <si>
    <t>MVaR</t>
  </si>
  <si>
    <t>warunkowy wskaźnik Sharp'a</t>
  </si>
  <si>
    <t>Zmodyfiowany wskaźnik Sharp'a</t>
  </si>
  <si>
    <t>MSCI_W</t>
  </si>
  <si>
    <t>FIO_PL_W</t>
  </si>
  <si>
    <t>SFIO_PL_W</t>
  </si>
  <si>
    <t>FIO_Z_W</t>
  </si>
  <si>
    <t>SFIO_Z_W</t>
  </si>
  <si>
    <t>WIG_W</t>
  </si>
  <si>
    <t>Okres wojny</t>
  </si>
  <si>
    <t>Źródło: Opracowanie własne na podstawie: Daych historycznych www.stooq.pl Santander Akcji Polskich</t>
  </si>
  <si>
    <t>Źródło: Opracowanie własne na podstawie: Daych historycznych www.stooq.pl Santander Prestiż Akcji Polskich</t>
  </si>
  <si>
    <t>Źródło: Opracowanie własne na podstawie: Daych historycznych www.stooq.pl Santander Akcji Spółek Wzrostowych</t>
  </si>
  <si>
    <t>Źródło: Opracowanie własne na podstawie: Daych historycznych www.stooq.pl Santander Prestiż Akcji Globalnych</t>
  </si>
  <si>
    <t>Źródło: Opracowanie własne na podstawie: Daych historycznych www.stooq.p WIG</t>
  </si>
  <si>
    <t>Źródło: Opracowanie własne na podstawie: Daych historycznych www.stooq.p MSCI</t>
  </si>
  <si>
    <t>Źródło: Opracowanie własne na podstawie: Daych historycznych www.stooq.pl Indeks obligacji</t>
  </si>
  <si>
    <t>Źródło: Opracowanie własne na podstawie: Daych historycznych www.stooq.pl Santander Akcji Polskich i WIG</t>
  </si>
  <si>
    <t>Źródło: Opracowanie własne na podstawie: Daych historycznych www.stooq.pl Santander Prestiż Akcji Polskich i WIG</t>
  </si>
  <si>
    <t>Źródło: Opracowanie własne na podstawie: Daych historycznych www.stooq.pl Santander Akcji Spółek Wzrostowych i MSCI</t>
  </si>
  <si>
    <t>Źródło: Opracowanie własne na podstawie: Daych historycznych www.stooq.pl Santander Prestiż Akcji Globalnych i MSCI</t>
  </si>
  <si>
    <t>FIO_PL_C</t>
  </si>
  <si>
    <t>SFIO_PL_C</t>
  </si>
  <si>
    <t>FIO_Z_C</t>
  </si>
  <si>
    <t>SFIO_Z_C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</si>
</sst>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1"/>
      <color theme="0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name val="Aptos Narrow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2" borderId="1" xfId="0" applyFont="1" applyFill="1" applyBorder="1"/>
    <xf numFmtId="14" fontId="0" fillId="3" borderId="1" xfId="0" applyNumberFormat="1" applyFill="1" applyBorder="1"/>
    <xf numFmtId="14" fontId="0" fillId="0" borderId="1" xfId="0" applyNumberFormat="1" applyBorder="1"/>
    <xf numFmtId="14" fontId="0" fillId="0" borderId="2" xfId="0" applyNumberFormat="1" applyBorder="1"/>
    <xf numFmtId="0" fontId="0" fillId="0" borderId="4" xfId="0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0" fillId="5" borderId="0" xfId="0" applyFill="1"/>
    <xf numFmtId="0" fontId="0" fillId="6" borderId="0" xfId="0" applyFill="1"/>
    <xf numFmtId="0" fontId="0" fillId="6" borderId="4" xfId="0" applyFill="1" applyBorder="1"/>
    <xf numFmtId="0" fontId="3" fillId="7" borderId="5" xfId="0" applyFont="1" applyFill="1" applyBorder="1"/>
    <xf numFmtId="0" fontId="3" fillId="7" borderId="6" xfId="0" applyFont="1" applyFill="1" applyBorder="1"/>
    <xf numFmtId="0" fontId="3" fillId="7" borderId="7" xfId="0" applyFont="1" applyFill="1" applyBorder="1"/>
    <xf numFmtId="0" fontId="4" fillId="6" borderId="3" xfId="0" applyFont="1" applyFill="1" applyBorder="1"/>
  </cellXfs>
  <cellStyles count="1">
    <cellStyle name="Normalny" xfId="0" builtinId="0"/>
  </cellStyles>
  <dxfs count="100"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left style="thin">
          <color auto="1"/>
        </left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charset val="238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238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238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9" formatCode="yyyy/mm/dd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9" formatCode="yyyy/mm/dd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</border>
    </dxf>
    <dxf>
      <numFmt numFmtId="19" formatCode="yyyy/mm/dd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9" formatCode="yyyy/mm/dd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</dxf>
    <dxf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Rl_FIO_PL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Pokój!$A$2:$A$23</c:f>
              <c:numCache>
                <c:formatCode>m/d/yyyy</c:formatCode>
                <c:ptCount val="22"/>
                <c:pt idx="0">
                  <c:v>45508</c:v>
                </c:pt>
                <c:pt idx="1">
                  <c:v>45515</c:v>
                </c:pt>
                <c:pt idx="2">
                  <c:v>45522</c:v>
                </c:pt>
                <c:pt idx="3">
                  <c:v>45529</c:v>
                </c:pt>
                <c:pt idx="4">
                  <c:v>45536</c:v>
                </c:pt>
                <c:pt idx="5">
                  <c:v>45543</c:v>
                </c:pt>
                <c:pt idx="6">
                  <c:v>45550</c:v>
                </c:pt>
                <c:pt idx="7">
                  <c:v>45557</c:v>
                </c:pt>
                <c:pt idx="8">
                  <c:v>45564</c:v>
                </c:pt>
                <c:pt idx="9">
                  <c:v>45571</c:v>
                </c:pt>
                <c:pt idx="10">
                  <c:v>45578</c:v>
                </c:pt>
                <c:pt idx="11">
                  <c:v>45585</c:v>
                </c:pt>
                <c:pt idx="12">
                  <c:v>45592</c:v>
                </c:pt>
                <c:pt idx="13">
                  <c:v>45599</c:v>
                </c:pt>
                <c:pt idx="14">
                  <c:v>45606</c:v>
                </c:pt>
                <c:pt idx="15">
                  <c:v>45613</c:v>
                </c:pt>
                <c:pt idx="16">
                  <c:v>45620</c:v>
                </c:pt>
                <c:pt idx="17">
                  <c:v>45627</c:v>
                </c:pt>
                <c:pt idx="18">
                  <c:v>45634</c:v>
                </c:pt>
                <c:pt idx="19">
                  <c:v>45641</c:v>
                </c:pt>
                <c:pt idx="20">
                  <c:v>45648</c:v>
                </c:pt>
                <c:pt idx="21">
                  <c:v>45655</c:v>
                </c:pt>
              </c:numCache>
            </c:numRef>
          </c:cat>
          <c:val>
            <c:numRef>
              <c:f>Pokój!$F$2:$F$23</c:f>
              <c:numCache>
                <c:formatCode>General</c:formatCode>
                <c:ptCount val="22"/>
                <c:pt idx="0">
                  <c:v>0</c:v>
                </c:pt>
                <c:pt idx="1">
                  <c:v>-2.2798914964805785</c:v>
                </c:pt>
                <c:pt idx="2">
                  <c:v>6.0205246679233477</c:v>
                </c:pt>
                <c:pt idx="3">
                  <c:v>-0.89224345269148986</c:v>
                </c:pt>
                <c:pt idx="4">
                  <c:v>0.77373662468056781</c:v>
                </c:pt>
                <c:pt idx="5">
                  <c:v>-3.9299767661405909</c:v>
                </c:pt>
                <c:pt idx="6">
                  <c:v>0.85960414697980381</c:v>
                </c:pt>
                <c:pt idx="7">
                  <c:v>-0.46982008593079844</c:v>
                </c:pt>
                <c:pt idx="8">
                  <c:v>4.0920269789362731</c:v>
                </c:pt>
                <c:pt idx="9">
                  <c:v>-3.0532153152376158</c:v>
                </c:pt>
                <c:pt idx="10">
                  <c:v>1.3285219551321661</c:v>
                </c:pt>
                <c:pt idx="11">
                  <c:v>-0.86354588237678409</c:v>
                </c:pt>
                <c:pt idx="12">
                  <c:v>-2.0375603033017993</c:v>
                </c:pt>
                <c:pt idx="13">
                  <c:v>-1.4931841093799181</c:v>
                </c:pt>
                <c:pt idx="14">
                  <c:v>3.3692587094417332</c:v>
                </c:pt>
                <c:pt idx="15">
                  <c:v>-3.2231056403104681</c:v>
                </c:pt>
                <c:pt idx="16">
                  <c:v>0.43718191833859876</c:v>
                </c:pt>
                <c:pt idx="17">
                  <c:v>-0.18712969386245165</c:v>
                </c:pt>
                <c:pt idx="18">
                  <c:v>3.8379889096216444</c:v>
                </c:pt>
                <c:pt idx="19">
                  <c:v>-1.1481644915385569</c:v>
                </c:pt>
                <c:pt idx="20">
                  <c:v>-2.8147723726978118</c:v>
                </c:pt>
                <c:pt idx="21">
                  <c:v>0.31207764847716757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4-4827-B0DE-A3CDCFB35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788728"/>
        <c:axId val="686785848"/>
      </c:lineChart>
      <c:dateAx>
        <c:axId val="686788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6785848"/>
        <c:crosses val="autoZero"/>
        <c:auto val="1"/>
        <c:lblOffset val="100"/>
        <c:baseTimeUnit val="days"/>
      </c:dateAx>
      <c:valAx>
        <c:axId val="68678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6788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Rl_FIO_PL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Wojna!$A$2:$A$23</c:f>
              <c:numCache>
                <c:formatCode>m/d/yyyy</c:formatCode>
                <c:ptCount val="22"/>
                <c:pt idx="0">
                  <c:v>45662</c:v>
                </c:pt>
                <c:pt idx="1">
                  <c:v>45669</c:v>
                </c:pt>
                <c:pt idx="2">
                  <c:v>45676</c:v>
                </c:pt>
                <c:pt idx="3">
                  <c:v>45683</c:v>
                </c:pt>
                <c:pt idx="4">
                  <c:v>45690</c:v>
                </c:pt>
                <c:pt idx="5">
                  <c:v>45697</c:v>
                </c:pt>
                <c:pt idx="6">
                  <c:v>45704</c:v>
                </c:pt>
                <c:pt idx="7">
                  <c:v>45711</c:v>
                </c:pt>
                <c:pt idx="8">
                  <c:v>45718</c:v>
                </c:pt>
                <c:pt idx="9">
                  <c:v>45725</c:v>
                </c:pt>
                <c:pt idx="10">
                  <c:v>45732</c:v>
                </c:pt>
                <c:pt idx="11">
                  <c:v>45739</c:v>
                </c:pt>
                <c:pt idx="12">
                  <c:v>45746</c:v>
                </c:pt>
                <c:pt idx="13">
                  <c:v>45753</c:v>
                </c:pt>
                <c:pt idx="14">
                  <c:v>45760</c:v>
                </c:pt>
                <c:pt idx="15">
                  <c:v>45767</c:v>
                </c:pt>
                <c:pt idx="16">
                  <c:v>45774</c:v>
                </c:pt>
                <c:pt idx="17">
                  <c:v>45781</c:v>
                </c:pt>
                <c:pt idx="18">
                  <c:v>45788</c:v>
                </c:pt>
                <c:pt idx="19">
                  <c:v>45795</c:v>
                </c:pt>
                <c:pt idx="20">
                  <c:v>45802</c:v>
                </c:pt>
                <c:pt idx="21">
                  <c:v>45809</c:v>
                </c:pt>
              </c:numCache>
            </c:numRef>
          </c:cat>
          <c:val>
            <c:numRef>
              <c:f>Wojna!$F$2:$F$23</c:f>
              <c:numCache>
                <c:formatCode>General</c:formatCode>
                <c:ptCount val="22"/>
                <c:pt idx="0">
                  <c:v>1.872675365644606</c:v>
                </c:pt>
                <c:pt idx="1">
                  <c:v>1.0949014489670523</c:v>
                </c:pt>
                <c:pt idx="2">
                  <c:v>1.5010789206127204</c:v>
                </c:pt>
                <c:pt idx="3">
                  <c:v>2.3364172632963056</c:v>
                </c:pt>
                <c:pt idx="4">
                  <c:v>1.6169745951263355</c:v>
                </c:pt>
                <c:pt idx="5">
                  <c:v>2.1160812251762402</c:v>
                </c:pt>
                <c:pt idx="6">
                  <c:v>2.6382860356611539</c:v>
                </c:pt>
                <c:pt idx="7">
                  <c:v>1.2665267906048308</c:v>
                </c:pt>
                <c:pt idx="8">
                  <c:v>-1.1573366068719169</c:v>
                </c:pt>
                <c:pt idx="9">
                  <c:v>1.1033846228278632</c:v>
                </c:pt>
                <c:pt idx="10">
                  <c:v>2.9074907455632673</c:v>
                </c:pt>
                <c:pt idx="11">
                  <c:v>-5.2433803525854292E-2</c:v>
                </c:pt>
                <c:pt idx="12">
                  <c:v>0.54049473399104242</c:v>
                </c:pt>
                <c:pt idx="13">
                  <c:v>-8.5068938856676635</c:v>
                </c:pt>
                <c:pt idx="14">
                  <c:v>2.0611559735065366</c:v>
                </c:pt>
                <c:pt idx="15">
                  <c:v>3.6956968153882741</c:v>
                </c:pt>
                <c:pt idx="16">
                  <c:v>4.9002916547742235</c:v>
                </c:pt>
                <c:pt idx="17">
                  <c:v>1.0327696976907412</c:v>
                </c:pt>
                <c:pt idx="18">
                  <c:v>2.297803393807377</c:v>
                </c:pt>
                <c:pt idx="19">
                  <c:v>-0.76008297193436192</c:v>
                </c:pt>
                <c:pt idx="20">
                  <c:v>-2.9968572701169522</c:v>
                </c:pt>
                <c:pt idx="21">
                  <c:v>1.3242977919131513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6-4050-92BA-13BE32A39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459200"/>
        <c:axId val="741455240"/>
      </c:lineChart>
      <c:dateAx>
        <c:axId val="741459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455240"/>
        <c:crosses val="autoZero"/>
        <c:auto val="1"/>
        <c:lblOffset val="100"/>
        <c:baseTimeUnit val="days"/>
      </c:dateAx>
      <c:valAx>
        <c:axId val="74145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45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Rl_SFIO_PL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Wojna!$A$2:$A$23</c:f>
              <c:numCache>
                <c:formatCode>m/d/yyyy</c:formatCode>
                <c:ptCount val="22"/>
                <c:pt idx="0">
                  <c:v>45662</c:v>
                </c:pt>
                <c:pt idx="1">
                  <c:v>45669</c:v>
                </c:pt>
                <c:pt idx="2">
                  <c:v>45676</c:v>
                </c:pt>
                <c:pt idx="3">
                  <c:v>45683</c:v>
                </c:pt>
                <c:pt idx="4">
                  <c:v>45690</c:v>
                </c:pt>
                <c:pt idx="5">
                  <c:v>45697</c:v>
                </c:pt>
                <c:pt idx="6">
                  <c:v>45704</c:v>
                </c:pt>
                <c:pt idx="7">
                  <c:v>45711</c:v>
                </c:pt>
                <c:pt idx="8">
                  <c:v>45718</c:v>
                </c:pt>
                <c:pt idx="9">
                  <c:v>45725</c:v>
                </c:pt>
                <c:pt idx="10">
                  <c:v>45732</c:v>
                </c:pt>
                <c:pt idx="11">
                  <c:v>45739</c:v>
                </c:pt>
                <c:pt idx="12">
                  <c:v>45746</c:v>
                </c:pt>
                <c:pt idx="13">
                  <c:v>45753</c:v>
                </c:pt>
                <c:pt idx="14">
                  <c:v>45760</c:v>
                </c:pt>
                <c:pt idx="15">
                  <c:v>45767</c:v>
                </c:pt>
                <c:pt idx="16">
                  <c:v>45774</c:v>
                </c:pt>
                <c:pt idx="17">
                  <c:v>45781</c:v>
                </c:pt>
                <c:pt idx="18">
                  <c:v>45788</c:v>
                </c:pt>
                <c:pt idx="19">
                  <c:v>45795</c:v>
                </c:pt>
                <c:pt idx="20">
                  <c:v>45802</c:v>
                </c:pt>
                <c:pt idx="21">
                  <c:v>45809</c:v>
                </c:pt>
              </c:numCache>
            </c:numRef>
          </c:cat>
          <c:val>
            <c:numRef>
              <c:f>Wojna!$G$2:$G$23</c:f>
              <c:numCache>
                <c:formatCode>General</c:formatCode>
                <c:ptCount val="22"/>
                <c:pt idx="0">
                  <c:v>1.8648225591588579</c:v>
                </c:pt>
                <c:pt idx="1">
                  <c:v>0.9202100122565412</c:v>
                </c:pt>
                <c:pt idx="2">
                  <c:v>1.4128804564582473</c:v>
                </c:pt>
                <c:pt idx="3">
                  <c:v>2.5306194863785985</c:v>
                </c:pt>
                <c:pt idx="4">
                  <c:v>1.4470793700864406</c:v>
                </c:pt>
                <c:pt idx="5">
                  <c:v>2.2440137844603223</c:v>
                </c:pt>
                <c:pt idx="6">
                  <c:v>2.4440957815573188</c:v>
                </c:pt>
                <c:pt idx="7">
                  <c:v>1.4427295668531233</c:v>
                </c:pt>
                <c:pt idx="8">
                  <c:v>-0.95447627463151274</c:v>
                </c:pt>
                <c:pt idx="9">
                  <c:v>1.0670486869142841</c:v>
                </c:pt>
                <c:pt idx="10">
                  <c:v>2.8644593279963231</c:v>
                </c:pt>
                <c:pt idx="11">
                  <c:v>0.40125357415847168</c:v>
                </c:pt>
                <c:pt idx="12">
                  <c:v>0.7609182463816051</c:v>
                </c:pt>
                <c:pt idx="13">
                  <c:v>-7.8612175557185138</c:v>
                </c:pt>
                <c:pt idx="14">
                  <c:v>1.8515895487281804</c:v>
                </c:pt>
                <c:pt idx="15">
                  <c:v>3.4064015700025796</c:v>
                </c:pt>
                <c:pt idx="16">
                  <c:v>4.3019351952538303</c:v>
                </c:pt>
                <c:pt idx="17">
                  <c:v>0.70998581151434381</c:v>
                </c:pt>
                <c:pt idx="18">
                  <c:v>2.6286566795524253</c:v>
                </c:pt>
                <c:pt idx="19">
                  <c:v>-0.46256642105229384</c:v>
                </c:pt>
                <c:pt idx="20">
                  <c:v>-2.3416942259511369</c:v>
                </c:pt>
                <c:pt idx="21">
                  <c:v>1.1823806926054796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8-458F-A2FD-D6992EC2B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457760"/>
        <c:axId val="741456320"/>
      </c:lineChart>
      <c:dateAx>
        <c:axId val="741457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456320"/>
        <c:crosses val="autoZero"/>
        <c:auto val="1"/>
        <c:lblOffset val="100"/>
        <c:baseTimeUnit val="days"/>
      </c:dateAx>
      <c:valAx>
        <c:axId val="7414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45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Rl_FIO_Z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Wojna!$A$2:$A$23</c:f>
              <c:numCache>
                <c:formatCode>m/d/yyyy</c:formatCode>
                <c:ptCount val="22"/>
                <c:pt idx="0">
                  <c:v>45662</c:v>
                </c:pt>
                <c:pt idx="1">
                  <c:v>45669</c:v>
                </c:pt>
                <c:pt idx="2">
                  <c:v>45676</c:v>
                </c:pt>
                <c:pt idx="3">
                  <c:v>45683</c:v>
                </c:pt>
                <c:pt idx="4">
                  <c:v>45690</c:v>
                </c:pt>
                <c:pt idx="5">
                  <c:v>45697</c:v>
                </c:pt>
                <c:pt idx="6">
                  <c:v>45704</c:v>
                </c:pt>
                <c:pt idx="7">
                  <c:v>45711</c:v>
                </c:pt>
                <c:pt idx="8">
                  <c:v>45718</c:v>
                </c:pt>
                <c:pt idx="9">
                  <c:v>45725</c:v>
                </c:pt>
                <c:pt idx="10">
                  <c:v>45732</c:v>
                </c:pt>
                <c:pt idx="11">
                  <c:v>45739</c:v>
                </c:pt>
                <c:pt idx="12">
                  <c:v>45746</c:v>
                </c:pt>
                <c:pt idx="13">
                  <c:v>45753</c:v>
                </c:pt>
                <c:pt idx="14">
                  <c:v>45760</c:v>
                </c:pt>
                <c:pt idx="15">
                  <c:v>45767</c:v>
                </c:pt>
                <c:pt idx="16">
                  <c:v>45774</c:v>
                </c:pt>
                <c:pt idx="17">
                  <c:v>45781</c:v>
                </c:pt>
                <c:pt idx="18">
                  <c:v>45788</c:v>
                </c:pt>
                <c:pt idx="19">
                  <c:v>45795</c:v>
                </c:pt>
                <c:pt idx="20">
                  <c:v>45802</c:v>
                </c:pt>
                <c:pt idx="21">
                  <c:v>45809</c:v>
                </c:pt>
              </c:numCache>
            </c:numRef>
          </c:cat>
          <c:val>
            <c:numRef>
              <c:f>Wojna!$H$2:$H$23</c:f>
              <c:numCache>
                <c:formatCode>General</c:formatCode>
                <c:ptCount val="22"/>
                <c:pt idx="0">
                  <c:v>1.1989445472037144</c:v>
                </c:pt>
                <c:pt idx="1">
                  <c:v>-0.64379878394196366</c:v>
                </c:pt>
                <c:pt idx="2">
                  <c:v>1.4291192294546207</c:v>
                </c:pt>
                <c:pt idx="3">
                  <c:v>1.2653820322847542</c:v>
                </c:pt>
                <c:pt idx="4">
                  <c:v>-1.2290051675693086</c:v>
                </c:pt>
                <c:pt idx="5">
                  <c:v>0.56215580085656069</c:v>
                </c:pt>
                <c:pt idx="6">
                  <c:v>1.9341577157677508</c:v>
                </c:pt>
                <c:pt idx="7">
                  <c:v>-0.72986527826983905</c:v>
                </c:pt>
                <c:pt idx="8">
                  <c:v>-1.6573969734579328</c:v>
                </c:pt>
                <c:pt idx="9">
                  <c:v>-2.4828861653869883</c:v>
                </c:pt>
                <c:pt idx="10">
                  <c:v>-0.44792908040460566</c:v>
                </c:pt>
                <c:pt idx="11">
                  <c:v>0.46654932065950716</c:v>
                </c:pt>
                <c:pt idx="12">
                  <c:v>-2.2024419659974197</c:v>
                </c:pt>
                <c:pt idx="13">
                  <c:v>-8.3936205691078438</c:v>
                </c:pt>
                <c:pt idx="14">
                  <c:v>4.6510606659671287</c:v>
                </c:pt>
                <c:pt idx="15">
                  <c:v>-0.61441081202931913</c:v>
                </c:pt>
                <c:pt idx="16">
                  <c:v>5.0587279810346732</c:v>
                </c:pt>
                <c:pt idx="17">
                  <c:v>2.427303635620655</c:v>
                </c:pt>
                <c:pt idx="18">
                  <c:v>0.95466118835799108</c:v>
                </c:pt>
                <c:pt idx="19">
                  <c:v>3.6596012026808262</c:v>
                </c:pt>
                <c:pt idx="20">
                  <c:v>-2.0285393095433011</c:v>
                </c:pt>
                <c:pt idx="21">
                  <c:v>1.4632666508469085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8-4A0C-8C91-56C8E4ADF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448040"/>
        <c:axId val="741449120"/>
      </c:lineChart>
      <c:dateAx>
        <c:axId val="741448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449120"/>
        <c:crosses val="autoZero"/>
        <c:auto val="1"/>
        <c:lblOffset val="100"/>
        <c:baseTimeUnit val="days"/>
      </c:dateAx>
      <c:valAx>
        <c:axId val="7414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44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Rl_SFIO_Z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Wojna!$A$2:$A$23</c:f>
              <c:numCache>
                <c:formatCode>m/d/yyyy</c:formatCode>
                <c:ptCount val="22"/>
                <c:pt idx="0">
                  <c:v>45662</c:v>
                </c:pt>
                <c:pt idx="1">
                  <c:v>45669</c:v>
                </c:pt>
                <c:pt idx="2">
                  <c:v>45676</c:v>
                </c:pt>
                <c:pt idx="3">
                  <c:v>45683</c:v>
                </c:pt>
                <c:pt idx="4">
                  <c:v>45690</c:v>
                </c:pt>
                <c:pt idx="5">
                  <c:v>45697</c:v>
                </c:pt>
                <c:pt idx="6">
                  <c:v>45704</c:v>
                </c:pt>
                <c:pt idx="7">
                  <c:v>45711</c:v>
                </c:pt>
                <c:pt idx="8">
                  <c:v>45718</c:v>
                </c:pt>
                <c:pt idx="9">
                  <c:v>45725</c:v>
                </c:pt>
                <c:pt idx="10">
                  <c:v>45732</c:v>
                </c:pt>
                <c:pt idx="11">
                  <c:v>45739</c:v>
                </c:pt>
                <c:pt idx="12">
                  <c:v>45746</c:v>
                </c:pt>
                <c:pt idx="13">
                  <c:v>45753</c:v>
                </c:pt>
                <c:pt idx="14">
                  <c:v>45760</c:v>
                </c:pt>
                <c:pt idx="15">
                  <c:v>45767</c:v>
                </c:pt>
                <c:pt idx="16">
                  <c:v>45774</c:v>
                </c:pt>
                <c:pt idx="17">
                  <c:v>45781</c:v>
                </c:pt>
                <c:pt idx="18">
                  <c:v>45788</c:v>
                </c:pt>
                <c:pt idx="19">
                  <c:v>45795</c:v>
                </c:pt>
                <c:pt idx="20">
                  <c:v>45802</c:v>
                </c:pt>
                <c:pt idx="21">
                  <c:v>45809</c:v>
                </c:pt>
              </c:numCache>
            </c:numRef>
          </c:cat>
          <c:val>
            <c:numRef>
              <c:f>Wojna!$I$2:$I$23</c:f>
              <c:numCache>
                <c:formatCode>General</c:formatCode>
                <c:ptCount val="22"/>
                <c:pt idx="0">
                  <c:v>-9.7192155097110391E-2</c:v>
                </c:pt>
                <c:pt idx="1">
                  <c:v>0.16074474700417243</c:v>
                </c:pt>
                <c:pt idx="2">
                  <c:v>0.23671687749894751</c:v>
                </c:pt>
                <c:pt idx="3">
                  <c:v>2.5418751485656808</c:v>
                </c:pt>
                <c:pt idx="4">
                  <c:v>-0.50811702718214091</c:v>
                </c:pt>
                <c:pt idx="5">
                  <c:v>0.37611572968701174</c:v>
                </c:pt>
                <c:pt idx="6">
                  <c:v>0.18197735167650583</c:v>
                </c:pt>
                <c:pt idx="7">
                  <c:v>3.5384599742681967E-2</c:v>
                </c:pt>
                <c:pt idx="8">
                  <c:v>-3.6472474376869615</c:v>
                </c:pt>
                <c:pt idx="9">
                  <c:v>-1.3217120213968483</c:v>
                </c:pt>
                <c:pt idx="10">
                  <c:v>-3.4789858031763239</c:v>
                </c:pt>
                <c:pt idx="11">
                  <c:v>2.3226407717544926</c:v>
                </c:pt>
                <c:pt idx="12">
                  <c:v>7.0776107172264804E-2</c:v>
                </c:pt>
                <c:pt idx="13">
                  <c:v>-4.1686181845539227</c:v>
                </c:pt>
                <c:pt idx="14">
                  <c:v>-3.4949457332299545</c:v>
                </c:pt>
                <c:pt idx="15">
                  <c:v>0.96763709525811481</c:v>
                </c:pt>
                <c:pt idx="16">
                  <c:v>2.800472053561692</c:v>
                </c:pt>
                <c:pt idx="17">
                  <c:v>1.7063912132726244</c:v>
                </c:pt>
                <c:pt idx="18">
                  <c:v>0.7527211798354958</c:v>
                </c:pt>
                <c:pt idx="19">
                  <c:v>3.2794164020886529</c:v>
                </c:pt>
                <c:pt idx="20">
                  <c:v>-0.18902022929363205</c:v>
                </c:pt>
                <c:pt idx="21">
                  <c:v>0.54436558395840873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1-4CB9-B2F1-ADA350274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476120"/>
        <c:axId val="741485120"/>
      </c:lineChart>
      <c:dateAx>
        <c:axId val="741476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485120"/>
        <c:crosses val="autoZero"/>
        <c:auto val="1"/>
        <c:lblOffset val="100"/>
        <c:baseTimeUnit val="days"/>
      </c:dateAx>
      <c:valAx>
        <c:axId val="7414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476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Rm_FIO_PL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Wojna!$A$2:$A$23</c:f>
              <c:numCache>
                <c:formatCode>m/d/yyyy</c:formatCode>
                <c:ptCount val="22"/>
                <c:pt idx="0">
                  <c:v>45662</c:v>
                </c:pt>
                <c:pt idx="1">
                  <c:v>45669</c:v>
                </c:pt>
                <c:pt idx="2">
                  <c:v>45676</c:v>
                </c:pt>
                <c:pt idx="3">
                  <c:v>45683</c:v>
                </c:pt>
                <c:pt idx="4">
                  <c:v>45690</c:v>
                </c:pt>
                <c:pt idx="5">
                  <c:v>45697</c:v>
                </c:pt>
                <c:pt idx="6">
                  <c:v>45704</c:v>
                </c:pt>
                <c:pt idx="7">
                  <c:v>45711</c:v>
                </c:pt>
                <c:pt idx="8">
                  <c:v>45718</c:v>
                </c:pt>
                <c:pt idx="9">
                  <c:v>45725</c:v>
                </c:pt>
                <c:pt idx="10">
                  <c:v>45732</c:v>
                </c:pt>
                <c:pt idx="11">
                  <c:v>45739</c:v>
                </c:pt>
                <c:pt idx="12">
                  <c:v>45746</c:v>
                </c:pt>
                <c:pt idx="13">
                  <c:v>45753</c:v>
                </c:pt>
                <c:pt idx="14">
                  <c:v>45760</c:v>
                </c:pt>
                <c:pt idx="15">
                  <c:v>45767</c:v>
                </c:pt>
                <c:pt idx="16">
                  <c:v>45774</c:v>
                </c:pt>
                <c:pt idx="17">
                  <c:v>45781</c:v>
                </c:pt>
                <c:pt idx="18">
                  <c:v>45788</c:v>
                </c:pt>
                <c:pt idx="19">
                  <c:v>45795</c:v>
                </c:pt>
                <c:pt idx="20">
                  <c:v>45802</c:v>
                </c:pt>
                <c:pt idx="21">
                  <c:v>45809</c:v>
                </c:pt>
              </c:numCache>
            </c:numRef>
          </c:cat>
          <c:val>
            <c:numRef>
              <c:f>Wojna!$K$2:$K$23</c:f>
              <c:numCache>
                <c:formatCode>General</c:formatCode>
                <c:ptCount val="22"/>
                <c:pt idx="0">
                  <c:v>1.9866594310596724</c:v>
                </c:pt>
                <c:pt idx="1">
                  <c:v>0.93598772717972101</c:v>
                </c:pt>
                <c:pt idx="2">
                  <c:v>1.7674551160917102</c:v>
                </c:pt>
                <c:pt idx="3">
                  <c:v>2.5536967579372076</c:v>
                </c:pt>
                <c:pt idx="4">
                  <c:v>1.7629976218810302</c:v>
                </c:pt>
                <c:pt idx="5">
                  <c:v>2.0197753522055062</c:v>
                </c:pt>
                <c:pt idx="6">
                  <c:v>2.9160200166192762</c:v>
                </c:pt>
                <c:pt idx="7">
                  <c:v>1.4379806900181613</c:v>
                </c:pt>
                <c:pt idx="8">
                  <c:v>-1.2112475912636742</c:v>
                </c:pt>
                <c:pt idx="9">
                  <c:v>1.7406998065022721</c:v>
                </c:pt>
                <c:pt idx="10">
                  <c:v>3.6020817615466818</c:v>
                </c:pt>
                <c:pt idx="11">
                  <c:v>-0.15882524042515353</c:v>
                </c:pt>
                <c:pt idx="12">
                  <c:v>0.95338100233176115</c:v>
                </c:pt>
                <c:pt idx="13">
                  <c:v>-9.4037112180908338</c:v>
                </c:pt>
                <c:pt idx="14">
                  <c:v>2.3092051153103568</c:v>
                </c:pt>
                <c:pt idx="15">
                  <c:v>4.3434574099998136</c:v>
                </c:pt>
                <c:pt idx="16">
                  <c:v>5.1125424486476669</c:v>
                </c:pt>
                <c:pt idx="17">
                  <c:v>1.0360407260946209</c:v>
                </c:pt>
                <c:pt idx="18">
                  <c:v>2.0029789103459557</c:v>
                </c:pt>
                <c:pt idx="19">
                  <c:v>-9.3925403899265236E-2</c:v>
                </c:pt>
                <c:pt idx="20">
                  <c:v>-3.1762689875092676</c:v>
                </c:pt>
                <c:pt idx="21">
                  <c:v>1.5396997981261948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F-49DD-B2F5-64D303BEC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476480"/>
        <c:axId val="741482600"/>
      </c:lineChart>
      <c:dateAx>
        <c:axId val="741476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482600"/>
        <c:crosses val="autoZero"/>
        <c:auto val="1"/>
        <c:lblOffset val="100"/>
        <c:baseTimeUnit val="days"/>
      </c:dateAx>
      <c:valAx>
        <c:axId val="74148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47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Rm_SFIO_PL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Wojna!$A$2:$A$23</c:f>
              <c:numCache>
                <c:formatCode>m/d/yyyy</c:formatCode>
                <c:ptCount val="22"/>
                <c:pt idx="0">
                  <c:v>45662</c:v>
                </c:pt>
                <c:pt idx="1">
                  <c:v>45669</c:v>
                </c:pt>
                <c:pt idx="2">
                  <c:v>45676</c:v>
                </c:pt>
                <c:pt idx="3">
                  <c:v>45683</c:v>
                </c:pt>
                <c:pt idx="4">
                  <c:v>45690</c:v>
                </c:pt>
                <c:pt idx="5">
                  <c:v>45697</c:v>
                </c:pt>
                <c:pt idx="6">
                  <c:v>45704</c:v>
                </c:pt>
                <c:pt idx="7">
                  <c:v>45711</c:v>
                </c:pt>
                <c:pt idx="8">
                  <c:v>45718</c:v>
                </c:pt>
                <c:pt idx="9">
                  <c:v>45725</c:v>
                </c:pt>
                <c:pt idx="10">
                  <c:v>45732</c:v>
                </c:pt>
                <c:pt idx="11">
                  <c:v>45739</c:v>
                </c:pt>
                <c:pt idx="12">
                  <c:v>45746</c:v>
                </c:pt>
                <c:pt idx="13">
                  <c:v>45753</c:v>
                </c:pt>
                <c:pt idx="14">
                  <c:v>45760</c:v>
                </c:pt>
                <c:pt idx="15">
                  <c:v>45767</c:v>
                </c:pt>
                <c:pt idx="16">
                  <c:v>45774</c:v>
                </c:pt>
                <c:pt idx="17">
                  <c:v>45781</c:v>
                </c:pt>
                <c:pt idx="18">
                  <c:v>45788</c:v>
                </c:pt>
                <c:pt idx="19">
                  <c:v>45795</c:v>
                </c:pt>
                <c:pt idx="20">
                  <c:v>45802</c:v>
                </c:pt>
                <c:pt idx="21">
                  <c:v>45809</c:v>
                </c:pt>
              </c:numCache>
            </c:numRef>
          </c:cat>
          <c:val>
            <c:numRef>
              <c:f>Wojna!$L$2:$L$23</c:f>
              <c:numCache>
                <c:formatCode>General</c:formatCode>
                <c:ptCount val="22"/>
                <c:pt idx="0">
                  <c:v>1.9866594310596724</c:v>
                </c:pt>
                <c:pt idx="1">
                  <c:v>0.93598772717972101</c:v>
                </c:pt>
                <c:pt idx="2">
                  <c:v>1.7674551160917102</c:v>
                </c:pt>
                <c:pt idx="3">
                  <c:v>2.5536967579372076</c:v>
                </c:pt>
                <c:pt idx="4">
                  <c:v>1.7629976218810302</c:v>
                </c:pt>
                <c:pt idx="5">
                  <c:v>2.0197753522055062</c:v>
                </c:pt>
                <c:pt idx="6">
                  <c:v>2.9160200166192762</c:v>
                </c:pt>
                <c:pt idx="7">
                  <c:v>1.4379806900181613</c:v>
                </c:pt>
                <c:pt idx="8">
                  <c:v>-1.2112475912636742</c:v>
                </c:pt>
                <c:pt idx="9">
                  <c:v>1.7406998065022721</c:v>
                </c:pt>
                <c:pt idx="10">
                  <c:v>3.6020817615466818</c:v>
                </c:pt>
                <c:pt idx="11">
                  <c:v>-0.15882524042515353</c:v>
                </c:pt>
                <c:pt idx="12">
                  <c:v>0.95338100233176115</c:v>
                </c:pt>
                <c:pt idx="13">
                  <c:v>-9.4037112180908338</c:v>
                </c:pt>
                <c:pt idx="14">
                  <c:v>2.3092051153103568</c:v>
                </c:pt>
                <c:pt idx="15">
                  <c:v>4.3434574099998136</c:v>
                </c:pt>
                <c:pt idx="16">
                  <c:v>5.1125424486476669</c:v>
                </c:pt>
                <c:pt idx="17">
                  <c:v>1.0360407260946209</c:v>
                </c:pt>
                <c:pt idx="18">
                  <c:v>2.0029789103459557</c:v>
                </c:pt>
                <c:pt idx="19">
                  <c:v>-9.3925403899265236E-2</c:v>
                </c:pt>
                <c:pt idx="20">
                  <c:v>-3.1762689875092676</c:v>
                </c:pt>
                <c:pt idx="21">
                  <c:v>1.5396997981261948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E-43A9-AA23-A61B34D20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477560"/>
        <c:axId val="741483320"/>
      </c:lineChart>
      <c:dateAx>
        <c:axId val="741477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483320"/>
        <c:crosses val="autoZero"/>
        <c:auto val="1"/>
        <c:lblOffset val="100"/>
        <c:baseTimeUnit val="days"/>
      </c:dateAx>
      <c:valAx>
        <c:axId val="74148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47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Rm_FIO_Z</a:t>
            </a:r>
          </a:p>
        </c:rich>
      </c:tx>
      <c:layout>
        <c:manualLayout>
          <c:xMode val="edge"/>
          <c:yMode val="edge"/>
          <c:x val="0.382888888888888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Wojna!$A$2:$A$23</c:f>
              <c:numCache>
                <c:formatCode>m/d/yyyy</c:formatCode>
                <c:ptCount val="22"/>
                <c:pt idx="0">
                  <c:v>45662</c:v>
                </c:pt>
                <c:pt idx="1">
                  <c:v>45669</c:v>
                </c:pt>
                <c:pt idx="2">
                  <c:v>45676</c:v>
                </c:pt>
                <c:pt idx="3">
                  <c:v>45683</c:v>
                </c:pt>
                <c:pt idx="4">
                  <c:v>45690</c:v>
                </c:pt>
                <c:pt idx="5">
                  <c:v>45697</c:v>
                </c:pt>
                <c:pt idx="6">
                  <c:v>45704</c:v>
                </c:pt>
                <c:pt idx="7">
                  <c:v>45711</c:v>
                </c:pt>
                <c:pt idx="8">
                  <c:v>45718</c:v>
                </c:pt>
                <c:pt idx="9">
                  <c:v>45725</c:v>
                </c:pt>
                <c:pt idx="10">
                  <c:v>45732</c:v>
                </c:pt>
                <c:pt idx="11">
                  <c:v>45739</c:v>
                </c:pt>
                <c:pt idx="12">
                  <c:v>45746</c:v>
                </c:pt>
                <c:pt idx="13">
                  <c:v>45753</c:v>
                </c:pt>
                <c:pt idx="14">
                  <c:v>45760</c:v>
                </c:pt>
                <c:pt idx="15">
                  <c:v>45767</c:v>
                </c:pt>
                <c:pt idx="16">
                  <c:v>45774</c:v>
                </c:pt>
                <c:pt idx="17">
                  <c:v>45781</c:v>
                </c:pt>
                <c:pt idx="18">
                  <c:v>45788</c:v>
                </c:pt>
                <c:pt idx="19">
                  <c:v>45795</c:v>
                </c:pt>
                <c:pt idx="20">
                  <c:v>45802</c:v>
                </c:pt>
                <c:pt idx="21">
                  <c:v>45809</c:v>
                </c:pt>
              </c:numCache>
            </c:numRef>
          </c:cat>
          <c:val>
            <c:numRef>
              <c:f>Wojna!$M$2:$M$23</c:f>
              <c:numCache>
                <c:formatCode>General</c:formatCode>
                <c:ptCount val="22"/>
                <c:pt idx="0">
                  <c:v>-0.83661493574649493</c:v>
                </c:pt>
                <c:pt idx="1">
                  <c:v>-1.5749690499724165</c:v>
                </c:pt>
                <c:pt idx="2">
                  <c:v>3.0179233158573804</c:v>
                </c:pt>
                <c:pt idx="3">
                  <c:v>2.1058584739258759</c:v>
                </c:pt>
                <c:pt idx="4">
                  <c:v>2.4322023712261807E-2</c:v>
                </c:pt>
                <c:pt idx="5">
                  <c:v>-1.0430342278872446</c:v>
                </c:pt>
                <c:pt idx="6">
                  <c:v>1.5524349655603733</c:v>
                </c:pt>
                <c:pt idx="7">
                  <c:v>-0.58238456283225737</c:v>
                </c:pt>
                <c:pt idx="8">
                  <c:v>-2.9722683601542297</c:v>
                </c:pt>
                <c:pt idx="9">
                  <c:v>-1.9408254127159477</c:v>
                </c:pt>
                <c:pt idx="10">
                  <c:v>-1.19145968661144</c:v>
                </c:pt>
                <c:pt idx="11">
                  <c:v>1.7353087497052881</c:v>
                </c:pt>
                <c:pt idx="12">
                  <c:v>-1.1849590933423284</c:v>
                </c:pt>
                <c:pt idx="13">
                  <c:v>-7.8279120638260551</c:v>
                </c:pt>
                <c:pt idx="14">
                  <c:v>1.3174450073590591</c:v>
                </c:pt>
                <c:pt idx="15">
                  <c:v>1.8498895313927539</c:v>
                </c:pt>
                <c:pt idx="16">
                  <c:v>3.4527291768462969</c:v>
                </c:pt>
                <c:pt idx="17">
                  <c:v>2.9842751565660204</c:v>
                </c:pt>
                <c:pt idx="18">
                  <c:v>-4.2131873384972603E-2</c:v>
                </c:pt>
                <c:pt idx="19">
                  <c:v>3.5843757643551131</c:v>
                </c:pt>
                <c:pt idx="20">
                  <c:v>-1.3919818631262137</c:v>
                </c:pt>
                <c:pt idx="21">
                  <c:v>1.5950606055970331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7-456D-9A9C-D78CCD441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491600"/>
        <c:axId val="741487280"/>
      </c:lineChart>
      <c:dateAx>
        <c:axId val="741491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487280"/>
        <c:crosses val="autoZero"/>
        <c:auto val="1"/>
        <c:lblOffset val="100"/>
        <c:baseTimeUnit val="days"/>
      </c:dateAx>
      <c:valAx>
        <c:axId val="7414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49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Rm_SFIO_Z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Wojna!$A$2:$A$23</c:f>
              <c:numCache>
                <c:formatCode>m/d/yyyy</c:formatCode>
                <c:ptCount val="22"/>
                <c:pt idx="0">
                  <c:v>45662</c:v>
                </c:pt>
                <c:pt idx="1">
                  <c:v>45669</c:v>
                </c:pt>
                <c:pt idx="2">
                  <c:v>45676</c:v>
                </c:pt>
                <c:pt idx="3">
                  <c:v>45683</c:v>
                </c:pt>
                <c:pt idx="4">
                  <c:v>45690</c:v>
                </c:pt>
                <c:pt idx="5">
                  <c:v>45697</c:v>
                </c:pt>
                <c:pt idx="6">
                  <c:v>45704</c:v>
                </c:pt>
                <c:pt idx="7">
                  <c:v>45711</c:v>
                </c:pt>
                <c:pt idx="8">
                  <c:v>45718</c:v>
                </c:pt>
                <c:pt idx="9">
                  <c:v>45725</c:v>
                </c:pt>
                <c:pt idx="10">
                  <c:v>45732</c:v>
                </c:pt>
                <c:pt idx="11">
                  <c:v>45739</c:v>
                </c:pt>
                <c:pt idx="12">
                  <c:v>45746</c:v>
                </c:pt>
                <c:pt idx="13">
                  <c:v>45753</c:v>
                </c:pt>
                <c:pt idx="14">
                  <c:v>45760</c:v>
                </c:pt>
                <c:pt idx="15">
                  <c:v>45767</c:v>
                </c:pt>
                <c:pt idx="16">
                  <c:v>45774</c:v>
                </c:pt>
                <c:pt idx="17">
                  <c:v>45781</c:v>
                </c:pt>
                <c:pt idx="18">
                  <c:v>45788</c:v>
                </c:pt>
                <c:pt idx="19">
                  <c:v>45795</c:v>
                </c:pt>
                <c:pt idx="20">
                  <c:v>45802</c:v>
                </c:pt>
                <c:pt idx="21">
                  <c:v>45809</c:v>
                </c:pt>
              </c:numCache>
            </c:numRef>
          </c:cat>
          <c:val>
            <c:numRef>
              <c:f>Wojna!$N$2:$N$23</c:f>
              <c:numCache>
                <c:formatCode>General</c:formatCode>
                <c:ptCount val="22"/>
                <c:pt idx="0">
                  <c:v>-0.83661493574649493</c:v>
                </c:pt>
                <c:pt idx="1">
                  <c:v>-1.5749690499724165</c:v>
                </c:pt>
                <c:pt idx="2">
                  <c:v>3.0179233158573804</c:v>
                </c:pt>
                <c:pt idx="3">
                  <c:v>2.1058584739258759</c:v>
                </c:pt>
                <c:pt idx="4">
                  <c:v>2.4322023712261807E-2</c:v>
                </c:pt>
                <c:pt idx="5">
                  <c:v>-1.0430342278872446</c:v>
                </c:pt>
                <c:pt idx="6">
                  <c:v>1.5524349655603733</c:v>
                </c:pt>
                <c:pt idx="7">
                  <c:v>-0.58238456283225737</c:v>
                </c:pt>
                <c:pt idx="8">
                  <c:v>-2.9722683601542297</c:v>
                </c:pt>
                <c:pt idx="9">
                  <c:v>-1.9408254127159477</c:v>
                </c:pt>
                <c:pt idx="10">
                  <c:v>-1.19145968661144</c:v>
                </c:pt>
                <c:pt idx="11">
                  <c:v>1.7353087497052881</c:v>
                </c:pt>
                <c:pt idx="12">
                  <c:v>-1.1849590933423284</c:v>
                </c:pt>
                <c:pt idx="13">
                  <c:v>-7.8279120638260551</c:v>
                </c:pt>
                <c:pt idx="14">
                  <c:v>1.3174450073590591</c:v>
                </c:pt>
                <c:pt idx="15">
                  <c:v>1.8498895313927539</c:v>
                </c:pt>
                <c:pt idx="16">
                  <c:v>3.4527291768462969</c:v>
                </c:pt>
                <c:pt idx="17">
                  <c:v>2.9842751565660204</c:v>
                </c:pt>
                <c:pt idx="18">
                  <c:v>-4.2131873384972603E-2</c:v>
                </c:pt>
                <c:pt idx="19">
                  <c:v>3.5843757643551131</c:v>
                </c:pt>
                <c:pt idx="20">
                  <c:v>-1.3919818631262137</c:v>
                </c:pt>
                <c:pt idx="21">
                  <c:v>1.5950606055970331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D-4ABD-BCDD-49D06CF5E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466760"/>
        <c:axId val="741471440"/>
      </c:lineChart>
      <c:dateAx>
        <c:axId val="741466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471440"/>
        <c:crosses val="autoZero"/>
        <c:auto val="1"/>
        <c:lblOffset val="100"/>
        <c:baseTimeUnit val="days"/>
      </c:dateAx>
      <c:valAx>
        <c:axId val="7414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46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Wojna!$A$2:$A$23</c:f>
              <c:numCache>
                <c:formatCode>m/d/yyyy</c:formatCode>
                <c:ptCount val="22"/>
                <c:pt idx="0">
                  <c:v>45662</c:v>
                </c:pt>
                <c:pt idx="1">
                  <c:v>45669</c:v>
                </c:pt>
                <c:pt idx="2">
                  <c:v>45676</c:v>
                </c:pt>
                <c:pt idx="3">
                  <c:v>45683</c:v>
                </c:pt>
                <c:pt idx="4">
                  <c:v>45690</c:v>
                </c:pt>
                <c:pt idx="5">
                  <c:v>45697</c:v>
                </c:pt>
                <c:pt idx="6">
                  <c:v>45704</c:v>
                </c:pt>
                <c:pt idx="7">
                  <c:v>45711</c:v>
                </c:pt>
                <c:pt idx="8">
                  <c:v>45718</c:v>
                </c:pt>
                <c:pt idx="9">
                  <c:v>45725</c:v>
                </c:pt>
                <c:pt idx="10">
                  <c:v>45732</c:v>
                </c:pt>
                <c:pt idx="11">
                  <c:v>45739</c:v>
                </c:pt>
                <c:pt idx="12">
                  <c:v>45746</c:v>
                </c:pt>
                <c:pt idx="13">
                  <c:v>45753</c:v>
                </c:pt>
                <c:pt idx="14">
                  <c:v>45760</c:v>
                </c:pt>
                <c:pt idx="15">
                  <c:v>45767</c:v>
                </c:pt>
                <c:pt idx="16">
                  <c:v>45774</c:v>
                </c:pt>
                <c:pt idx="17">
                  <c:v>45781</c:v>
                </c:pt>
                <c:pt idx="18">
                  <c:v>45788</c:v>
                </c:pt>
                <c:pt idx="19">
                  <c:v>45795</c:v>
                </c:pt>
                <c:pt idx="20">
                  <c:v>45802</c:v>
                </c:pt>
                <c:pt idx="21">
                  <c:v>45809</c:v>
                </c:pt>
              </c:numCache>
            </c:numRef>
          </c:cat>
          <c:val>
            <c:numRef>
              <c:f>Wojna!$J$2:$J$23</c:f>
              <c:numCache>
                <c:formatCode>General</c:formatCode>
                <c:ptCount val="22"/>
                <c:pt idx="0">
                  <c:v>0.42347823090030562</c:v>
                </c:pt>
                <c:pt idx="1">
                  <c:v>1.9252289620296323</c:v>
                </c:pt>
                <c:pt idx="2">
                  <c:v>-2.4166304422725462</c:v>
                </c:pt>
                <c:pt idx="3">
                  <c:v>0.49140148024291624</c:v>
                </c:pt>
                <c:pt idx="4">
                  <c:v>-1.4129097077052879</c:v>
                </c:pt>
                <c:pt idx="5">
                  <c:v>-0.55011312875733431</c:v>
                </c:pt>
                <c:pt idx="6">
                  <c:v>-0.95263559268293652</c:v>
                </c:pt>
                <c:pt idx="7">
                  <c:v>2.3902780155142014</c:v>
                </c:pt>
                <c:pt idx="8">
                  <c:v>-2.1990235018567468</c:v>
                </c:pt>
                <c:pt idx="9">
                  <c:v>3.532489120881948</c:v>
                </c:pt>
                <c:pt idx="10">
                  <c:v>-1.1467242015456542</c:v>
                </c:pt>
                <c:pt idx="11">
                  <c:v>-1.1085642647016498</c:v>
                </c:pt>
                <c:pt idx="12">
                  <c:v>-0.60204877815830249</c:v>
                </c:pt>
                <c:pt idx="13">
                  <c:v>-9.0593920653526503</c:v>
                </c:pt>
                <c:pt idx="14">
                  <c:v>-0.73940994759949707</c:v>
                </c:pt>
                <c:pt idx="15">
                  <c:v>-2.2710752843783695</c:v>
                </c:pt>
                <c:pt idx="16">
                  <c:v>2.4611894100808067</c:v>
                </c:pt>
                <c:pt idx="17">
                  <c:v>-0.5332330288588113</c:v>
                </c:pt>
                <c:pt idx="18">
                  <c:v>2.2655301601472666</c:v>
                </c:pt>
                <c:pt idx="19">
                  <c:v>1.5374943969028068</c:v>
                </c:pt>
                <c:pt idx="20">
                  <c:v>2.2717923859656866</c:v>
                </c:pt>
                <c:pt idx="21">
                  <c:v>-3.2508341029111589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D-4E4D-B709-D3F6E747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430400"/>
        <c:axId val="741435080"/>
      </c:lineChart>
      <c:dateAx>
        <c:axId val="741430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435080"/>
        <c:crosses val="autoZero"/>
        <c:auto val="1"/>
        <c:lblOffset val="100"/>
        <c:baseTimeUnit val="days"/>
      </c:dateAx>
      <c:valAx>
        <c:axId val="74143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43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FIO</a:t>
            </a:r>
            <a:r>
              <a:rPr lang="pl-PL"/>
              <a:t>_PL_P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(Efektywność!$B$2,Efektywność!$B$6)</c:f>
              <c:numCache>
                <c:formatCode>General</c:formatCode>
                <c:ptCount val="2"/>
                <c:pt idx="0">
                  <c:v>2.5640000000000001</c:v>
                </c:pt>
                <c:pt idx="1">
                  <c:v>2.6877</c:v>
                </c:pt>
              </c:numCache>
            </c:numRef>
          </c:xVal>
          <c:yVal>
            <c:numRef>
              <c:f>(Efektywność!$C$2,Efektywność!$C$6)</c:f>
              <c:numCache>
                <c:formatCode>General</c:formatCode>
                <c:ptCount val="2"/>
                <c:pt idx="0">
                  <c:v>-6.1894911382616401E-2</c:v>
                </c:pt>
                <c:pt idx="1">
                  <c:v>-0.10168770557936155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C-42AF-89D4-9A550AE7D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11560"/>
        <c:axId val="723905440"/>
      </c:scatterChart>
      <c:valAx>
        <c:axId val="7239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905440"/>
        <c:crosses val="autoZero"/>
        <c:crossBetween val="midCat"/>
      </c:valAx>
      <c:valAx>
        <c:axId val="7239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9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pl-PL"/>
              <a:t>l_SFIO_PL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Pokój!$A$2:$A$23</c:f>
              <c:numCache>
                <c:formatCode>m/d/yyyy</c:formatCode>
                <c:ptCount val="22"/>
                <c:pt idx="0">
                  <c:v>45508</c:v>
                </c:pt>
                <c:pt idx="1">
                  <c:v>45515</c:v>
                </c:pt>
                <c:pt idx="2">
                  <c:v>45522</c:v>
                </c:pt>
                <c:pt idx="3">
                  <c:v>45529</c:v>
                </c:pt>
                <c:pt idx="4">
                  <c:v>45536</c:v>
                </c:pt>
                <c:pt idx="5">
                  <c:v>45543</c:v>
                </c:pt>
                <c:pt idx="6">
                  <c:v>45550</c:v>
                </c:pt>
                <c:pt idx="7">
                  <c:v>45557</c:v>
                </c:pt>
                <c:pt idx="8">
                  <c:v>45564</c:v>
                </c:pt>
                <c:pt idx="9">
                  <c:v>45571</c:v>
                </c:pt>
                <c:pt idx="10">
                  <c:v>45578</c:v>
                </c:pt>
                <c:pt idx="11">
                  <c:v>45585</c:v>
                </c:pt>
                <c:pt idx="12">
                  <c:v>45592</c:v>
                </c:pt>
                <c:pt idx="13">
                  <c:v>45599</c:v>
                </c:pt>
                <c:pt idx="14">
                  <c:v>45606</c:v>
                </c:pt>
                <c:pt idx="15">
                  <c:v>45613</c:v>
                </c:pt>
                <c:pt idx="16">
                  <c:v>45620</c:v>
                </c:pt>
                <c:pt idx="17">
                  <c:v>45627</c:v>
                </c:pt>
                <c:pt idx="18">
                  <c:v>45634</c:v>
                </c:pt>
                <c:pt idx="19">
                  <c:v>45641</c:v>
                </c:pt>
                <c:pt idx="20">
                  <c:v>45648</c:v>
                </c:pt>
                <c:pt idx="21">
                  <c:v>45655</c:v>
                </c:pt>
              </c:numCache>
            </c:numRef>
          </c:cat>
          <c:val>
            <c:numRef>
              <c:f>Pokój!$G$2:$G$23</c:f>
              <c:numCache>
                <c:formatCode>General</c:formatCode>
                <c:ptCount val="22"/>
                <c:pt idx="0">
                  <c:v>0</c:v>
                </c:pt>
                <c:pt idx="1">
                  <c:v>-2.1789078686540146</c:v>
                </c:pt>
                <c:pt idx="2">
                  <c:v>5.6601016335584342</c:v>
                </c:pt>
                <c:pt idx="3">
                  <c:v>-1.1411364640275905</c:v>
                </c:pt>
                <c:pt idx="4">
                  <c:v>0.76949484381618782</c:v>
                </c:pt>
                <c:pt idx="5">
                  <c:v>-3.6975486747947151</c:v>
                </c:pt>
                <c:pt idx="6">
                  <c:v>0.84189366342668859</c:v>
                </c:pt>
                <c:pt idx="7">
                  <c:v>-0.82336502272740331</c:v>
                </c:pt>
                <c:pt idx="8">
                  <c:v>3.9126827120345222</c:v>
                </c:pt>
                <c:pt idx="9">
                  <c:v>-3.0617589775943364</c:v>
                </c:pt>
                <c:pt idx="10">
                  <c:v>1.3914418020706092</c:v>
                </c:pt>
                <c:pt idx="11">
                  <c:v>-0.68760027592132611</c:v>
                </c:pt>
                <c:pt idx="12">
                  <c:v>-2.2179072172659868</c:v>
                </c:pt>
                <c:pt idx="13">
                  <c:v>-1.343877230783264</c:v>
                </c:pt>
                <c:pt idx="14">
                  <c:v>3.6014509761752014</c:v>
                </c:pt>
                <c:pt idx="15">
                  <c:v>-3.0077872806851831</c:v>
                </c:pt>
                <c:pt idx="16">
                  <c:v>0.40552411477898298</c:v>
                </c:pt>
                <c:pt idx="17">
                  <c:v>-0.28252113687101504</c:v>
                </c:pt>
                <c:pt idx="18">
                  <c:v>3.9561899273617751</c:v>
                </c:pt>
                <c:pt idx="19">
                  <c:v>-0.74100734463998763</c:v>
                </c:pt>
                <c:pt idx="20">
                  <c:v>-2.6336754389644592</c:v>
                </c:pt>
                <c:pt idx="21">
                  <c:v>0.14217161340242521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7-47DE-BCBC-0A57FEAEC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797368"/>
        <c:axId val="686796648"/>
      </c:lineChart>
      <c:dateAx>
        <c:axId val="686797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6796648"/>
        <c:crosses val="autoZero"/>
        <c:auto val="1"/>
        <c:lblOffset val="100"/>
        <c:baseTimeUnit val="days"/>
      </c:dateAx>
      <c:valAx>
        <c:axId val="68679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679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FIO_PL_W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(Efektywność!$F$2,Efektywność!$F$6)</c:f>
              <c:numCache>
                <c:formatCode>General</c:formatCode>
                <c:ptCount val="2"/>
                <c:pt idx="0">
                  <c:v>2.7364999999999999</c:v>
                </c:pt>
                <c:pt idx="1">
                  <c:v>2.9344000000000001</c:v>
                </c:pt>
              </c:numCache>
            </c:numRef>
          </c:xVal>
          <c:yVal>
            <c:numRef>
              <c:f>(Efektywność!$G$2,Efektywność!$G$6)</c:f>
              <c:numCache>
                <c:formatCode>General</c:formatCode>
                <c:ptCount val="2"/>
                <c:pt idx="0">
                  <c:v>0.9469419334743171</c:v>
                </c:pt>
                <c:pt idx="1">
                  <c:v>1.0898491477595189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5-4B62-BFFD-BFAEA8CEC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13720"/>
        <c:axId val="723924160"/>
      </c:scatterChart>
      <c:valAx>
        <c:axId val="72391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924160"/>
        <c:crosses val="autoZero"/>
        <c:crossBetween val="midCat"/>
      </c:valAx>
      <c:valAx>
        <c:axId val="7239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91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SFIO</a:t>
            </a:r>
            <a:r>
              <a:rPr lang="pl-PL"/>
              <a:t>_PL_P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(Efektywność!$B$3,Efektywność!$B$6)</c:f>
              <c:numCache>
                <c:formatCode>General</c:formatCode>
                <c:ptCount val="2"/>
                <c:pt idx="0">
                  <c:v>2.4969000000000001</c:v>
                </c:pt>
                <c:pt idx="1">
                  <c:v>2.6877</c:v>
                </c:pt>
              </c:numCache>
            </c:numRef>
          </c:xVal>
          <c:yVal>
            <c:numRef>
              <c:f>(Efektywność!$C$3,Efektywność!$C$6)</c:f>
              <c:numCache>
                <c:formatCode>General</c:formatCode>
                <c:ptCount val="2"/>
                <c:pt idx="0">
                  <c:v>-5.1642802104747948E-2</c:v>
                </c:pt>
                <c:pt idx="1">
                  <c:v>-0.10168770557936155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1-4EE0-9A2A-733F92DA6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82248"/>
        <c:axId val="686785128"/>
      </c:scatterChart>
      <c:valAx>
        <c:axId val="68678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6785128"/>
        <c:crosses val="autoZero"/>
        <c:crossBetween val="midCat"/>
      </c:valAx>
      <c:valAx>
        <c:axId val="68678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678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SFIO_PL_K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(Efektywność!$F$3,Efektywność!$F$6)</c:f>
              <c:numCache>
                <c:formatCode>General</c:formatCode>
                <c:ptCount val="2"/>
                <c:pt idx="0">
                  <c:v>2.5021</c:v>
                </c:pt>
                <c:pt idx="1">
                  <c:v>2.9344000000000001</c:v>
                </c:pt>
              </c:numCache>
            </c:numRef>
          </c:xVal>
          <c:yVal>
            <c:numRef>
              <c:f>(Efektywność!$G$3,Efektywność!$G$6)</c:f>
              <c:numCache>
                <c:formatCode>General</c:formatCode>
                <c:ptCount val="2"/>
                <c:pt idx="0">
                  <c:v>0.99368753968015955</c:v>
                </c:pt>
                <c:pt idx="1">
                  <c:v>1.0898491477595189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A-4C53-84F5-89966DEC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70008"/>
        <c:axId val="686768208"/>
      </c:scatterChart>
      <c:valAx>
        <c:axId val="68677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6768208"/>
        <c:crosses val="autoZero"/>
        <c:crossBetween val="midCat"/>
      </c:valAx>
      <c:valAx>
        <c:axId val="6867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677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FIO_Z_P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(Efektywność!$B$4,Efektywność!$B$7)</c:f>
              <c:numCache>
                <c:formatCode>General</c:formatCode>
                <c:ptCount val="2"/>
                <c:pt idx="0">
                  <c:v>2.1446999999999998</c:v>
                </c:pt>
                <c:pt idx="1">
                  <c:v>1.8179000000000001</c:v>
                </c:pt>
              </c:numCache>
            </c:numRef>
          </c:xVal>
          <c:yVal>
            <c:numRef>
              <c:f>(Efektywność!$C$4,Efektywność!$C$7)</c:f>
              <c:numCache>
                <c:formatCode>General</c:formatCode>
                <c:ptCount val="2"/>
                <c:pt idx="0">
                  <c:v>0.30704169176293938</c:v>
                </c:pt>
                <c:pt idx="1">
                  <c:v>0.46240517138664178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C-446A-8802-086BE8D75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473240"/>
        <c:axId val="741470000"/>
      </c:scatterChart>
      <c:valAx>
        <c:axId val="74147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470000"/>
        <c:crosses val="autoZero"/>
        <c:crossBetween val="midCat"/>
      </c:valAx>
      <c:valAx>
        <c:axId val="7414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47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FIO_Z_W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(Efektywność!$F$4,Efektywność!$F$7)</c:f>
              <c:numCache>
                <c:formatCode>General</c:formatCode>
                <c:ptCount val="2"/>
                <c:pt idx="0">
                  <c:v>2.6768999999999998</c:v>
                </c:pt>
                <c:pt idx="1">
                  <c:v>2.6120000000000001</c:v>
                </c:pt>
              </c:numCache>
            </c:numRef>
          </c:xVal>
          <c:yVal>
            <c:numRef>
              <c:f>(Efektywność!$G$4,Efektywność!$G$7)</c:f>
              <c:numCache>
                <c:formatCode>General</c:formatCode>
                <c:ptCount val="2"/>
                <c:pt idx="0">
                  <c:v>0.21095617568302585</c:v>
                </c:pt>
                <c:pt idx="1">
                  <c:v>0.11959462005808431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4-47B9-890D-4A1CD790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24520"/>
        <c:axId val="723918040"/>
      </c:scatterChart>
      <c:valAx>
        <c:axId val="72392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918040"/>
        <c:crosses val="autoZero"/>
        <c:crossBetween val="midCat"/>
      </c:valAx>
      <c:valAx>
        <c:axId val="72391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92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SFIO_Z_P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(Efektywność!$B$5,Efektywność!$B$7)</c:f>
              <c:numCache>
                <c:formatCode>General</c:formatCode>
                <c:ptCount val="2"/>
                <c:pt idx="0">
                  <c:v>1.6331</c:v>
                </c:pt>
                <c:pt idx="1">
                  <c:v>1.8179000000000001</c:v>
                </c:pt>
              </c:numCache>
            </c:numRef>
          </c:xVal>
          <c:yVal>
            <c:numRef>
              <c:f>(Efektywność!$C$5,Efektywność!$C$7)</c:f>
              <c:numCache>
                <c:formatCode>General</c:formatCode>
                <c:ptCount val="2"/>
                <c:pt idx="0">
                  <c:v>0.27180373541600605</c:v>
                </c:pt>
                <c:pt idx="1">
                  <c:v>0.46240517138664178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F-408D-AAD7-FD26257D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95568"/>
        <c:axId val="686795928"/>
      </c:scatterChart>
      <c:valAx>
        <c:axId val="6867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6795928"/>
        <c:crosses val="autoZero"/>
        <c:crossBetween val="midCat"/>
      </c:valAx>
      <c:valAx>
        <c:axId val="68679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67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SFIO_Z_W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(Efektywność!$F$5,Efektywność!$F$7)</c:f>
              <c:numCache>
                <c:formatCode>General</c:formatCode>
                <c:ptCount val="2"/>
                <c:pt idx="0">
                  <c:v>2.1112000000000002</c:v>
                </c:pt>
                <c:pt idx="1">
                  <c:v>2.6120000000000001</c:v>
                </c:pt>
              </c:numCache>
            </c:numRef>
          </c:xVal>
          <c:yVal>
            <c:numRef>
              <c:f>(Efektywność!$G$5,Efektywność!$G$7)</c:f>
              <c:numCache>
                <c:formatCode>General</c:formatCode>
                <c:ptCount val="2"/>
                <c:pt idx="0">
                  <c:v>-4.2209260479097614E-2</c:v>
                </c:pt>
                <c:pt idx="1">
                  <c:v>0.11959462005808431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1-4CA8-9AF5-C4F9B940D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73968"/>
        <c:axId val="686769648"/>
      </c:scatterChart>
      <c:valAx>
        <c:axId val="6867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6769648"/>
        <c:crosses val="autoZero"/>
        <c:crossBetween val="midCat"/>
      </c:valAx>
      <c:valAx>
        <c:axId val="6867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677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Rl_FIO_Z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Pokój!$A$2:$A$23</c:f>
              <c:numCache>
                <c:formatCode>m/d/yyyy</c:formatCode>
                <c:ptCount val="22"/>
                <c:pt idx="0">
                  <c:v>45508</c:v>
                </c:pt>
                <c:pt idx="1">
                  <c:v>45515</c:v>
                </c:pt>
                <c:pt idx="2">
                  <c:v>45522</c:v>
                </c:pt>
                <c:pt idx="3">
                  <c:v>45529</c:v>
                </c:pt>
                <c:pt idx="4">
                  <c:v>45536</c:v>
                </c:pt>
                <c:pt idx="5">
                  <c:v>45543</c:v>
                </c:pt>
                <c:pt idx="6">
                  <c:v>45550</c:v>
                </c:pt>
                <c:pt idx="7">
                  <c:v>45557</c:v>
                </c:pt>
                <c:pt idx="8">
                  <c:v>45564</c:v>
                </c:pt>
                <c:pt idx="9">
                  <c:v>45571</c:v>
                </c:pt>
                <c:pt idx="10">
                  <c:v>45578</c:v>
                </c:pt>
                <c:pt idx="11">
                  <c:v>45585</c:v>
                </c:pt>
                <c:pt idx="12">
                  <c:v>45592</c:v>
                </c:pt>
                <c:pt idx="13">
                  <c:v>45599</c:v>
                </c:pt>
                <c:pt idx="14">
                  <c:v>45606</c:v>
                </c:pt>
                <c:pt idx="15">
                  <c:v>45613</c:v>
                </c:pt>
                <c:pt idx="16">
                  <c:v>45620</c:v>
                </c:pt>
                <c:pt idx="17">
                  <c:v>45627</c:v>
                </c:pt>
                <c:pt idx="18">
                  <c:v>45634</c:v>
                </c:pt>
                <c:pt idx="19">
                  <c:v>45641</c:v>
                </c:pt>
                <c:pt idx="20">
                  <c:v>45648</c:v>
                </c:pt>
                <c:pt idx="21">
                  <c:v>45655</c:v>
                </c:pt>
              </c:numCache>
            </c:numRef>
          </c:cat>
          <c:val>
            <c:numRef>
              <c:f>Pokój!$H$2:$H$23</c:f>
              <c:numCache>
                <c:formatCode>General</c:formatCode>
                <c:ptCount val="22"/>
                <c:pt idx="0">
                  <c:v>0</c:v>
                </c:pt>
                <c:pt idx="1">
                  <c:v>-5.9577005038922937E-2</c:v>
                </c:pt>
                <c:pt idx="2">
                  <c:v>4.2013179890408221</c:v>
                </c:pt>
                <c:pt idx="3">
                  <c:v>0.28530689824064809</c:v>
                </c:pt>
                <c:pt idx="4">
                  <c:v>-3.799392142967916E-2</c:v>
                </c:pt>
                <c:pt idx="5">
                  <c:v>-4.6673841603734338</c:v>
                </c:pt>
                <c:pt idx="6">
                  <c:v>2.9232096141703492</c:v>
                </c:pt>
                <c:pt idx="7">
                  <c:v>0.65523456627626531</c:v>
                </c:pt>
                <c:pt idx="8">
                  <c:v>2.3539431605379546</c:v>
                </c:pt>
                <c:pt idx="9">
                  <c:v>-0.41361217077920565</c:v>
                </c:pt>
                <c:pt idx="10">
                  <c:v>0.73205394966334247</c:v>
                </c:pt>
                <c:pt idx="11">
                  <c:v>-0.37474280317323561</c:v>
                </c:pt>
                <c:pt idx="12">
                  <c:v>-0.71590358510192342</c:v>
                </c:pt>
                <c:pt idx="13">
                  <c:v>-1.4281876572532854</c:v>
                </c:pt>
                <c:pt idx="14">
                  <c:v>3.8563981072667128</c:v>
                </c:pt>
                <c:pt idx="15">
                  <c:v>-1.6372458743353153</c:v>
                </c:pt>
                <c:pt idx="16">
                  <c:v>0.82197361731024021</c:v>
                </c:pt>
                <c:pt idx="17">
                  <c:v>0.38993643317830695</c:v>
                </c:pt>
                <c:pt idx="18">
                  <c:v>2.398723450561655</c:v>
                </c:pt>
                <c:pt idx="19">
                  <c:v>-0.68990832833738125</c:v>
                </c:pt>
                <c:pt idx="20">
                  <c:v>-2.3409049753984652</c:v>
                </c:pt>
                <c:pt idx="21">
                  <c:v>0.50227991375921699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5-4A80-B0CE-F8F6A1D57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770728"/>
        <c:axId val="686780448"/>
      </c:lineChart>
      <c:dateAx>
        <c:axId val="686770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6780448"/>
        <c:crosses val="autoZero"/>
        <c:auto val="1"/>
        <c:lblOffset val="100"/>
        <c:baseTimeUnit val="days"/>
      </c:dateAx>
      <c:valAx>
        <c:axId val="6867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677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Rl_SFIO_Z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Pokój!$A$2:$A$23</c:f>
              <c:numCache>
                <c:formatCode>m/d/yyyy</c:formatCode>
                <c:ptCount val="22"/>
                <c:pt idx="0">
                  <c:v>45508</c:v>
                </c:pt>
                <c:pt idx="1">
                  <c:v>45515</c:v>
                </c:pt>
                <c:pt idx="2">
                  <c:v>45522</c:v>
                </c:pt>
                <c:pt idx="3">
                  <c:v>45529</c:v>
                </c:pt>
                <c:pt idx="4">
                  <c:v>45536</c:v>
                </c:pt>
                <c:pt idx="5">
                  <c:v>45543</c:v>
                </c:pt>
                <c:pt idx="6">
                  <c:v>45550</c:v>
                </c:pt>
                <c:pt idx="7">
                  <c:v>45557</c:v>
                </c:pt>
                <c:pt idx="8">
                  <c:v>45564</c:v>
                </c:pt>
                <c:pt idx="9">
                  <c:v>45571</c:v>
                </c:pt>
                <c:pt idx="10">
                  <c:v>45578</c:v>
                </c:pt>
                <c:pt idx="11">
                  <c:v>45585</c:v>
                </c:pt>
                <c:pt idx="12">
                  <c:v>45592</c:v>
                </c:pt>
                <c:pt idx="13">
                  <c:v>45599</c:v>
                </c:pt>
                <c:pt idx="14">
                  <c:v>45606</c:v>
                </c:pt>
                <c:pt idx="15">
                  <c:v>45613</c:v>
                </c:pt>
                <c:pt idx="16">
                  <c:v>45620</c:v>
                </c:pt>
                <c:pt idx="17">
                  <c:v>45627</c:v>
                </c:pt>
                <c:pt idx="18">
                  <c:v>45634</c:v>
                </c:pt>
                <c:pt idx="19">
                  <c:v>45641</c:v>
                </c:pt>
                <c:pt idx="20">
                  <c:v>45648</c:v>
                </c:pt>
                <c:pt idx="21">
                  <c:v>45655</c:v>
                </c:pt>
              </c:numCache>
            </c:numRef>
          </c:cat>
          <c:val>
            <c:numRef>
              <c:f>Pokój!$I$2:$I$23</c:f>
              <c:numCache>
                <c:formatCode>General</c:formatCode>
                <c:ptCount val="22"/>
                <c:pt idx="0">
                  <c:v>0</c:v>
                </c:pt>
                <c:pt idx="1">
                  <c:v>-2.3027787504462349</c:v>
                </c:pt>
                <c:pt idx="2">
                  <c:v>3.0988674878105038</c:v>
                </c:pt>
                <c:pt idx="3">
                  <c:v>1.9909566744584692</c:v>
                </c:pt>
                <c:pt idx="4">
                  <c:v>0.50096287969853848</c:v>
                </c:pt>
                <c:pt idx="5">
                  <c:v>-1.8746822538685715</c:v>
                </c:pt>
                <c:pt idx="6">
                  <c:v>1.31101442838392</c:v>
                </c:pt>
                <c:pt idx="7">
                  <c:v>1.6271232797045354</c:v>
                </c:pt>
                <c:pt idx="8">
                  <c:v>1.0479543260357762</c:v>
                </c:pt>
                <c:pt idx="9">
                  <c:v>-1.4575449811943197</c:v>
                </c:pt>
                <c:pt idx="10">
                  <c:v>1.3943006908360454</c:v>
                </c:pt>
                <c:pt idx="11">
                  <c:v>0.68064515426461836</c:v>
                </c:pt>
                <c:pt idx="12">
                  <c:v>-1.4347448408141541</c:v>
                </c:pt>
                <c:pt idx="13">
                  <c:v>-0.12321610036177108</c:v>
                </c:pt>
                <c:pt idx="14">
                  <c:v>2.4040738926021459</c:v>
                </c:pt>
                <c:pt idx="15">
                  <c:v>-1.1292716450288003</c:v>
                </c:pt>
                <c:pt idx="16">
                  <c:v>-0.49386715746057974</c:v>
                </c:pt>
                <c:pt idx="17">
                  <c:v>1.1319849544596181</c:v>
                </c:pt>
                <c:pt idx="18">
                  <c:v>1.6792057997729557</c:v>
                </c:pt>
                <c:pt idx="19">
                  <c:v>-0.3174483484078312</c:v>
                </c:pt>
                <c:pt idx="20">
                  <c:v>-3.0978735428041033</c:v>
                </c:pt>
                <c:pt idx="21">
                  <c:v>1.3440202315113716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3-4953-8ED3-6BC6236E1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776848"/>
        <c:axId val="669592256"/>
      </c:lineChart>
      <c:dateAx>
        <c:axId val="686776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9592256"/>
        <c:crosses val="autoZero"/>
        <c:auto val="1"/>
        <c:lblOffset val="100"/>
        <c:baseTimeUnit val="days"/>
      </c:dateAx>
      <c:valAx>
        <c:axId val="6695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677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Rm_SFIO_Z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Pokój!$A$2:$A$23</c:f>
              <c:numCache>
                <c:formatCode>m/d/yyyy</c:formatCode>
                <c:ptCount val="22"/>
                <c:pt idx="0">
                  <c:v>45508</c:v>
                </c:pt>
                <c:pt idx="1">
                  <c:v>45515</c:v>
                </c:pt>
                <c:pt idx="2">
                  <c:v>45522</c:v>
                </c:pt>
                <c:pt idx="3">
                  <c:v>45529</c:v>
                </c:pt>
                <c:pt idx="4">
                  <c:v>45536</c:v>
                </c:pt>
                <c:pt idx="5">
                  <c:v>45543</c:v>
                </c:pt>
                <c:pt idx="6">
                  <c:v>45550</c:v>
                </c:pt>
                <c:pt idx="7">
                  <c:v>45557</c:v>
                </c:pt>
                <c:pt idx="8">
                  <c:v>45564</c:v>
                </c:pt>
                <c:pt idx="9">
                  <c:v>45571</c:v>
                </c:pt>
                <c:pt idx="10">
                  <c:v>45578</c:v>
                </c:pt>
                <c:pt idx="11">
                  <c:v>45585</c:v>
                </c:pt>
                <c:pt idx="12">
                  <c:v>45592</c:v>
                </c:pt>
                <c:pt idx="13">
                  <c:v>45599</c:v>
                </c:pt>
                <c:pt idx="14">
                  <c:v>45606</c:v>
                </c:pt>
                <c:pt idx="15">
                  <c:v>45613</c:v>
                </c:pt>
                <c:pt idx="16">
                  <c:v>45620</c:v>
                </c:pt>
                <c:pt idx="17">
                  <c:v>45627</c:v>
                </c:pt>
                <c:pt idx="18">
                  <c:v>45634</c:v>
                </c:pt>
                <c:pt idx="19">
                  <c:v>45641</c:v>
                </c:pt>
                <c:pt idx="20">
                  <c:v>45648</c:v>
                </c:pt>
                <c:pt idx="21">
                  <c:v>45655</c:v>
                </c:pt>
              </c:numCache>
            </c:numRef>
          </c:cat>
          <c:val>
            <c:numRef>
              <c:f>Pokój!$N$2:$N$23</c:f>
              <c:numCache>
                <c:formatCode>General</c:formatCode>
                <c:ptCount val="22"/>
                <c:pt idx="0">
                  <c:v>0</c:v>
                </c:pt>
                <c:pt idx="1">
                  <c:v>0.41419360608964534</c:v>
                </c:pt>
                <c:pt idx="2">
                  <c:v>3.9089991196929454</c:v>
                </c:pt>
                <c:pt idx="3">
                  <c:v>1.9679648542769534</c:v>
                </c:pt>
                <c:pt idx="4">
                  <c:v>-0.40789815722141559</c:v>
                </c:pt>
                <c:pt idx="5">
                  <c:v>-3.4774572247112236</c:v>
                </c:pt>
                <c:pt idx="6">
                  <c:v>3.2598103360263893</c:v>
                </c:pt>
                <c:pt idx="7">
                  <c:v>2.0701101487911222</c:v>
                </c:pt>
                <c:pt idx="8">
                  <c:v>1.6257767063607911</c:v>
                </c:pt>
                <c:pt idx="9">
                  <c:v>-1.3785156348254293</c:v>
                </c:pt>
                <c:pt idx="10">
                  <c:v>1.3449134839716155</c:v>
                </c:pt>
                <c:pt idx="11">
                  <c:v>0.43594971794021498</c:v>
                </c:pt>
                <c:pt idx="12">
                  <c:v>-0.88224745674595584</c:v>
                </c:pt>
                <c:pt idx="13">
                  <c:v>-1.3851931702357678</c:v>
                </c:pt>
                <c:pt idx="14">
                  <c:v>2.9261331323780118</c:v>
                </c:pt>
                <c:pt idx="15">
                  <c:v>-1.8875607597908808</c:v>
                </c:pt>
                <c:pt idx="16">
                  <c:v>1.0781775603288413</c:v>
                </c:pt>
                <c:pt idx="17">
                  <c:v>1.2819621165296347</c:v>
                </c:pt>
                <c:pt idx="18">
                  <c:v>1.0777118829162249</c:v>
                </c:pt>
                <c:pt idx="19">
                  <c:v>-1.2184229105613169</c:v>
                </c:pt>
                <c:pt idx="20">
                  <c:v>-0.84844960810175618</c:v>
                </c:pt>
                <c:pt idx="21">
                  <c:v>0.26695602739747881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D-4008-AA4A-F934DA08E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938200"/>
        <c:axId val="723937120"/>
      </c:lineChart>
      <c:dateAx>
        <c:axId val="723938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937120"/>
        <c:crosses val="autoZero"/>
        <c:auto val="1"/>
        <c:lblOffset val="100"/>
        <c:baseTimeUnit val="days"/>
      </c:dateAx>
      <c:valAx>
        <c:axId val="7239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93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Rm_FIO_PL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Pokój!$A$2:$A$23</c:f>
              <c:numCache>
                <c:formatCode>m/d/yyyy</c:formatCode>
                <c:ptCount val="22"/>
                <c:pt idx="0">
                  <c:v>45508</c:v>
                </c:pt>
                <c:pt idx="1">
                  <c:v>45515</c:v>
                </c:pt>
                <c:pt idx="2">
                  <c:v>45522</c:v>
                </c:pt>
                <c:pt idx="3">
                  <c:v>45529</c:v>
                </c:pt>
                <c:pt idx="4">
                  <c:v>45536</c:v>
                </c:pt>
                <c:pt idx="5">
                  <c:v>45543</c:v>
                </c:pt>
                <c:pt idx="6">
                  <c:v>45550</c:v>
                </c:pt>
                <c:pt idx="7">
                  <c:v>45557</c:v>
                </c:pt>
                <c:pt idx="8">
                  <c:v>45564</c:v>
                </c:pt>
                <c:pt idx="9">
                  <c:v>45571</c:v>
                </c:pt>
                <c:pt idx="10">
                  <c:v>45578</c:v>
                </c:pt>
                <c:pt idx="11">
                  <c:v>45585</c:v>
                </c:pt>
                <c:pt idx="12">
                  <c:v>45592</c:v>
                </c:pt>
                <c:pt idx="13">
                  <c:v>45599</c:v>
                </c:pt>
                <c:pt idx="14">
                  <c:v>45606</c:v>
                </c:pt>
                <c:pt idx="15">
                  <c:v>45613</c:v>
                </c:pt>
                <c:pt idx="16">
                  <c:v>45620</c:v>
                </c:pt>
                <c:pt idx="17">
                  <c:v>45627</c:v>
                </c:pt>
                <c:pt idx="18">
                  <c:v>45634</c:v>
                </c:pt>
                <c:pt idx="19">
                  <c:v>45641</c:v>
                </c:pt>
                <c:pt idx="20">
                  <c:v>45648</c:v>
                </c:pt>
                <c:pt idx="21">
                  <c:v>45655</c:v>
                </c:pt>
              </c:numCache>
            </c:numRef>
          </c:cat>
          <c:val>
            <c:numRef>
              <c:f>Pokój!$K$2:$K$23</c:f>
              <c:numCache>
                <c:formatCode>General</c:formatCode>
                <c:ptCount val="22"/>
                <c:pt idx="0">
                  <c:v>0</c:v>
                </c:pt>
                <c:pt idx="1">
                  <c:v>-2.5373448057704686</c:v>
                </c:pt>
                <c:pt idx="2">
                  <c:v>6.1952226843661986</c:v>
                </c:pt>
                <c:pt idx="3">
                  <c:v>-0.63063630081447597</c:v>
                </c:pt>
                <c:pt idx="4">
                  <c:v>0.84001483609518857</c:v>
                </c:pt>
                <c:pt idx="5">
                  <c:v>-3.7501891768199869</c:v>
                </c:pt>
                <c:pt idx="6">
                  <c:v>0.68042936864627257</c:v>
                </c:pt>
                <c:pt idx="7">
                  <c:v>-0.66178764334710349</c:v>
                </c:pt>
                <c:pt idx="8">
                  <c:v>3.8245189807128668</c:v>
                </c:pt>
                <c:pt idx="9">
                  <c:v>-3.5178091770130608</c:v>
                </c:pt>
                <c:pt idx="10">
                  <c:v>1.7457923934878101</c:v>
                </c:pt>
                <c:pt idx="11">
                  <c:v>-0.96942932187900954</c:v>
                </c:pt>
                <c:pt idx="12">
                  <c:v>-2.3188865505407614</c:v>
                </c:pt>
                <c:pt idx="13">
                  <c:v>-1.5036665327066834</c:v>
                </c:pt>
                <c:pt idx="14">
                  <c:v>3.3376043850483463</c:v>
                </c:pt>
                <c:pt idx="15">
                  <c:v>-3.6140882187562555</c:v>
                </c:pt>
                <c:pt idx="16">
                  <c:v>0.20332097820980446</c:v>
                </c:pt>
                <c:pt idx="17">
                  <c:v>-0.15399536071825495</c:v>
                </c:pt>
                <c:pt idx="18">
                  <c:v>4.3036534430185291</c:v>
                </c:pt>
                <c:pt idx="19">
                  <c:v>-1.4924445180048402</c:v>
                </c:pt>
                <c:pt idx="20">
                  <c:v>-2.6798347111380969</c:v>
                </c:pt>
                <c:pt idx="21">
                  <c:v>0.4624257251780271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E-41E4-AA11-96D1A187C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915160"/>
        <c:axId val="723923800"/>
      </c:lineChart>
      <c:dateAx>
        <c:axId val="723915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923800"/>
        <c:crosses val="autoZero"/>
        <c:auto val="1"/>
        <c:lblOffset val="100"/>
        <c:baseTimeUnit val="days"/>
      </c:dateAx>
      <c:valAx>
        <c:axId val="72392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91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Rm_SFIO_PL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Pokój!$A$2:$A$23</c:f>
              <c:numCache>
                <c:formatCode>m/d/yyyy</c:formatCode>
                <c:ptCount val="22"/>
                <c:pt idx="0">
                  <c:v>45508</c:v>
                </c:pt>
                <c:pt idx="1">
                  <c:v>45515</c:v>
                </c:pt>
                <c:pt idx="2">
                  <c:v>45522</c:v>
                </c:pt>
                <c:pt idx="3">
                  <c:v>45529</c:v>
                </c:pt>
                <c:pt idx="4">
                  <c:v>45536</c:v>
                </c:pt>
                <c:pt idx="5">
                  <c:v>45543</c:v>
                </c:pt>
                <c:pt idx="6">
                  <c:v>45550</c:v>
                </c:pt>
                <c:pt idx="7">
                  <c:v>45557</c:v>
                </c:pt>
                <c:pt idx="8">
                  <c:v>45564</c:v>
                </c:pt>
                <c:pt idx="9">
                  <c:v>45571</c:v>
                </c:pt>
                <c:pt idx="10">
                  <c:v>45578</c:v>
                </c:pt>
                <c:pt idx="11">
                  <c:v>45585</c:v>
                </c:pt>
                <c:pt idx="12">
                  <c:v>45592</c:v>
                </c:pt>
                <c:pt idx="13">
                  <c:v>45599</c:v>
                </c:pt>
                <c:pt idx="14">
                  <c:v>45606</c:v>
                </c:pt>
                <c:pt idx="15">
                  <c:v>45613</c:v>
                </c:pt>
                <c:pt idx="16">
                  <c:v>45620</c:v>
                </c:pt>
                <c:pt idx="17">
                  <c:v>45627</c:v>
                </c:pt>
                <c:pt idx="18">
                  <c:v>45634</c:v>
                </c:pt>
                <c:pt idx="19">
                  <c:v>45641</c:v>
                </c:pt>
                <c:pt idx="20">
                  <c:v>45648</c:v>
                </c:pt>
                <c:pt idx="21">
                  <c:v>45655</c:v>
                </c:pt>
              </c:numCache>
            </c:numRef>
          </c:cat>
          <c:val>
            <c:numRef>
              <c:f>Pokój!$L$2:$L$23</c:f>
              <c:numCache>
                <c:formatCode>General</c:formatCode>
                <c:ptCount val="22"/>
                <c:pt idx="0">
                  <c:v>0</c:v>
                </c:pt>
                <c:pt idx="1">
                  <c:v>-2.5373448057704686</c:v>
                </c:pt>
                <c:pt idx="2">
                  <c:v>6.1952226843661986</c:v>
                </c:pt>
                <c:pt idx="3">
                  <c:v>-0.63063630081447597</c:v>
                </c:pt>
                <c:pt idx="4">
                  <c:v>0.84001483609518857</c:v>
                </c:pt>
                <c:pt idx="5">
                  <c:v>-3.7501891768199869</c:v>
                </c:pt>
                <c:pt idx="6">
                  <c:v>0.68042936864627257</c:v>
                </c:pt>
                <c:pt idx="7">
                  <c:v>-0.66178764334710349</c:v>
                </c:pt>
                <c:pt idx="8">
                  <c:v>3.8245189807128668</c:v>
                </c:pt>
                <c:pt idx="9">
                  <c:v>-3.5178091770130608</c:v>
                </c:pt>
                <c:pt idx="10">
                  <c:v>1.7457923934878101</c:v>
                </c:pt>
                <c:pt idx="11">
                  <c:v>-0.96942932187900954</c:v>
                </c:pt>
                <c:pt idx="12">
                  <c:v>-2.3188865505407614</c:v>
                </c:pt>
                <c:pt idx="13">
                  <c:v>-1.5036665327066834</c:v>
                </c:pt>
                <c:pt idx="14">
                  <c:v>3.3376043850483463</c:v>
                </c:pt>
                <c:pt idx="15">
                  <c:v>-3.6140882187562555</c:v>
                </c:pt>
                <c:pt idx="16">
                  <c:v>0.20332097820980446</c:v>
                </c:pt>
                <c:pt idx="17">
                  <c:v>-0.15399536071825495</c:v>
                </c:pt>
                <c:pt idx="18">
                  <c:v>4.3036534430185291</c:v>
                </c:pt>
                <c:pt idx="19">
                  <c:v>-1.4924445180048402</c:v>
                </c:pt>
                <c:pt idx="20">
                  <c:v>-2.6798347111380969</c:v>
                </c:pt>
                <c:pt idx="21">
                  <c:v>0.4624257251780271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7-4BD9-AD9B-EE0E1E36E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942520"/>
        <c:axId val="723906880"/>
      </c:lineChart>
      <c:dateAx>
        <c:axId val="723942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906880"/>
        <c:crosses val="autoZero"/>
        <c:auto val="1"/>
        <c:lblOffset val="100"/>
        <c:baseTimeUnit val="days"/>
      </c:dateAx>
      <c:valAx>
        <c:axId val="7239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94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Rm_FIO_Z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Pokój!$A$2:$A$23</c:f>
              <c:numCache>
                <c:formatCode>m/d/yyyy</c:formatCode>
                <c:ptCount val="22"/>
                <c:pt idx="0">
                  <c:v>45508</c:v>
                </c:pt>
                <c:pt idx="1">
                  <c:v>45515</c:v>
                </c:pt>
                <c:pt idx="2">
                  <c:v>45522</c:v>
                </c:pt>
                <c:pt idx="3">
                  <c:v>45529</c:v>
                </c:pt>
                <c:pt idx="4">
                  <c:v>45536</c:v>
                </c:pt>
                <c:pt idx="5">
                  <c:v>45543</c:v>
                </c:pt>
                <c:pt idx="6">
                  <c:v>45550</c:v>
                </c:pt>
                <c:pt idx="7">
                  <c:v>45557</c:v>
                </c:pt>
                <c:pt idx="8">
                  <c:v>45564</c:v>
                </c:pt>
                <c:pt idx="9">
                  <c:v>45571</c:v>
                </c:pt>
                <c:pt idx="10">
                  <c:v>45578</c:v>
                </c:pt>
                <c:pt idx="11">
                  <c:v>45585</c:v>
                </c:pt>
                <c:pt idx="12">
                  <c:v>45592</c:v>
                </c:pt>
                <c:pt idx="13">
                  <c:v>45599</c:v>
                </c:pt>
                <c:pt idx="14">
                  <c:v>45606</c:v>
                </c:pt>
                <c:pt idx="15">
                  <c:v>45613</c:v>
                </c:pt>
                <c:pt idx="16">
                  <c:v>45620</c:v>
                </c:pt>
                <c:pt idx="17">
                  <c:v>45627</c:v>
                </c:pt>
                <c:pt idx="18">
                  <c:v>45634</c:v>
                </c:pt>
                <c:pt idx="19">
                  <c:v>45641</c:v>
                </c:pt>
                <c:pt idx="20">
                  <c:v>45648</c:v>
                </c:pt>
                <c:pt idx="21">
                  <c:v>45655</c:v>
                </c:pt>
              </c:numCache>
            </c:numRef>
          </c:cat>
          <c:val>
            <c:numRef>
              <c:f>Pokój!$M$2:$M$23</c:f>
              <c:numCache>
                <c:formatCode>General</c:formatCode>
                <c:ptCount val="22"/>
                <c:pt idx="0">
                  <c:v>0</c:v>
                </c:pt>
                <c:pt idx="1">
                  <c:v>0.41419360608964534</c:v>
                </c:pt>
                <c:pt idx="2">
                  <c:v>3.9089991196929454</c:v>
                </c:pt>
                <c:pt idx="3">
                  <c:v>1.9679648542769534</c:v>
                </c:pt>
                <c:pt idx="4">
                  <c:v>-0.40789815722141559</c:v>
                </c:pt>
                <c:pt idx="5">
                  <c:v>-3.4774572247112236</c:v>
                </c:pt>
                <c:pt idx="6">
                  <c:v>3.2598103360263893</c:v>
                </c:pt>
                <c:pt idx="7">
                  <c:v>2.0701101487911222</c:v>
                </c:pt>
                <c:pt idx="8">
                  <c:v>1.6257767063607911</c:v>
                </c:pt>
                <c:pt idx="9">
                  <c:v>-1.3785156348254293</c:v>
                </c:pt>
                <c:pt idx="10">
                  <c:v>1.3449134839716155</c:v>
                </c:pt>
                <c:pt idx="11">
                  <c:v>0.43594971794021498</c:v>
                </c:pt>
                <c:pt idx="12">
                  <c:v>-0.88224745674595584</c:v>
                </c:pt>
                <c:pt idx="13">
                  <c:v>-1.3851931702357678</c:v>
                </c:pt>
                <c:pt idx="14">
                  <c:v>2.9261331323780118</c:v>
                </c:pt>
                <c:pt idx="15">
                  <c:v>-1.8875607597908808</c:v>
                </c:pt>
                <c:pt idx="16">
                  <c:v>1.0781775603288413</c:v>
                </c:pt>
                <c:pt idx="17">
                  <c:v>1.2819621165296347</c:v>
                </c:pt>
                <c:pt idx="18">
                  <c:v>1.0777118829162249</c:v>
                </c:pt>
                <c:pt idx="19">
                  <c:v>-1.2184229105613169</c:v>
                </c:pt>
                <c:pt idx="20">
                  <c:v>-0.84844960810175618</c:v>
                </c:pt>
                <c:pt idx="21">
                  <c:v>0.26695602739747881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0-43E5-9BA6-BB70E5364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933520"/>
        <c:axId val="723934240"/>
      </c:lineChart>
      <c:dateAx>
        <c:axId val="723933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934240"/>
        <c:crosses val="autoZero"/>
        <c:auto val="1"/>
        <c:lblOffset val="100"/>
        <c:baseTimeUnit val="days"/>
      </c:dateAx>
      <c:valAx>
        <c:axId val="7239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93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Pokój!$A$2:$A$23</c:f>
              <c:numCache>
                <c:formatCode>m/d/yyyy</c:formatCode>
                <c:ptCount val="22"/>
                <c:pt idx="0">
                  <c:v>45508</c:v>
                </c:pt>
                <c:pt idx="1">
                  <c:v>45515</c:v>
                </c:pt>
                <c:pt idx="2">
                  <c:v>45522</c:v>
                </c:pt>
                <c:pt idx="3">
                  <c:v>45529</c:v>
                </c:pt>
                <c:pt idx="4">
                  <c:v>45536</c:v>
                </c:pt>
                <c:pt idx="5">
                  <c:v>45543</c:v>
                </c:pt>
                <c:pt idx="6">
                  <c:v>45550</c:v>
                </c:pt>
                <c:pt idx="7">
                  <c:v>45557</c:v>
                </c:pt>
                <c:pt idx="8">
                  <c:v>45564</c:v>
                </c:pt>
                <c:pt idx="9">
                  <c:v>45571</c:v>
                </c:pt>
                <c:pt idx="10">
                  <c:v>45578</c:v>
                </c:pt>
                <c:pt idx="11">
                  <c:v>45585</c:v>
                </c:pt>
                <c:pt idx="12">
                  <c:v>45592</c:v>
                </c:pt>
                <c:pt idx="13">
                  <c:v>45599</c:v>
                </c:pt>
                <c:pt idx="14">
                  <c:v>45606</c:v>
                </c:pt>
                <c:pt idx="15">
                  <c:v>45613</c:v>
                </c:pt>
                <c:pt idx="16">
                  <c:v>45620</c:v>
                </c:pt>
                <c:pt idx="17">
                  <c:v>45627</c:v>
                </c:pt>
                <c:pt idx="18">
                  <c:v>45634</c:v>
                </c:pt>
                <c:pt idx="19">
                  <c:v>45641</c:v>
                </c:pt>
                <c:pt idx="20">
                  <c:v>45648</c:v>
                </c:pt>
                <c:pt idx="21">
                  <c:v>45655</c:v>
                </c:pt>
              </c:numCache>
            </c:numRef>
          </c:cat>
          <c:val>
            <c:numRef>
              <c:f>Pokój!$J$2:$J$23</c:f>
              <c:numCache>
                <c:formatCode>General</c:formatCode>
                <c:ptCount val="22"/>
                <c:pt idx="0">
                  <c:v>0</c:v>
                </c:pt>
                <c:pt idx="1">
                  <c:v>1.0017421468653662</c:v>
                </c:pt>
                <c:pt idx="2">
                  <c:v>1.8610487753655796</c:v>
                </c:pt>
                <c:pt idx="3">
                  <c:v>-0.301488828328626</c:v>
                </c:pt>
                <c:pt idx="4">
                  <c:v>2.2946627565848541</c:v>
                </c:pt>
                <c:pt idx="5">
                  <c:v>-3.0714024768784305</c:v>
                </c:pt>
                <c:pt idx="6">
                  <c:v>-0.13321916519672172</c:v>
                </c:pt>
                <c:pt idx="7">
                  <c:v>1.9612169243989883</c:v>
                </c:pt>
                <c:pt idx="8">
                  <c:v>-2.1900063473629574</c:v>
                </c:pt>
                <c:pt idx="9">
                  <c:v>3.1748698314580484</c:v>
                </c:pt>
                <c:pt idx="10">
                  <c:v>2.5558163711922184</c:v>
                </c:pt>
                <c:pt idx="11">
                  <c:v>0.5930469353711405</c:v>
                </c:pt>
                <c:pt idx="12">
                  <c:v>3.4689630237746836</c:v>
                </c:pt>
                <c:pt idx="13">
                  <c:v>3.1516108096925386</c:v>
                </c:pt>
                <c:pt idx="14">
                  <c:v>-5.232651198058214</c:v>
                </c:pt>
                <c:pt idx="15">
                  <c:v>0.63413987387586768</c:v>
                </c:pt>
                <c:pt idx="16">
                  <c:v>-2.1296279552963053</c:v>
                </c:pt>
                <c:pt idx="17">
                  <c:v>-1.0639357415127135</c:v>
                </c:pt>
                <c:pt idx="18">
                  <c:v>2.0989199981521436</c:v>
                </c:pt>
                <c:pt idx="19">
                  <c:v>2.9215757639796616</c:v>
                </c:pt>
                <c:pt idx="20">
                  <c:v>0.41293933420111123</c:v>
                </c:pt>
                <c:pt idx="21">
                  <c:v>1.1438451645165457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0-410C-A212-900917516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451280"/>
        <c:axId val="741443720"/>
      </c:lineChart>
      <c:dateAx>
        <c:axId val="741451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443720"/>
        <c:crosses val="autoZero"/>
        <c:auto val="1"/>
        <c:lblOffset val="100"/>
        <c:baseTimeUnit val="days"/>
      </c:dateAx>
      <c:valAx>
        <c:axId val="74144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45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910167</xdr:colOff>
      <xdr:row>29</xdr:row>
      <xdr:rowOff>157691</xdr:rowOff>
    </xdr:from>
    <xdr:to>
      <xdr:col>6</xdr:col>
      <xdr:colOff>455084</xdr:colOff>
      <xdr:row>44</xdr:row>
      <xdr:rowOff>43391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5B3E5F0-3E27-AB22-6C82-EC4581652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10583</xdr:colOff>
      <xdr:row>29</xdr:row>
      <xdr:rowOff>168274</xdr:rowOff>
    </xdr:from>
    <xdr:to>
      <xdr:col>12</xdr:col>
      <xdr:colOff>645583</xdr:colOff>
      <xdr:row>44</xdr:row>
      <xdr:rowOff>53974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3E94F5E-E259-60B0-6749-C725744EE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47</xdr:row>
      <xdr:rowOff>9523</xdr:rowOff>
    </xdr:from>
    <xdr:to>
      <xdr:col>6</xdr:col>
      <xdr:colOff>465667</xdr:colOff>
      <xdr:row>61</xdr:row>
      <xdr:rowOff>85723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3A51474-97E0-BA86-4A48-31687961C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10584</xdr:colOff>
      <xdr:row>47</xdr:row>
      <xdr:rowOff>9524</xdr:rowOff>
    </xdr:from>
    <xdr:to>
      <xdr:col>12</xdr:col>
      <xdr:colOff>645584</xdr:colOff>
      <xdr:row>61</xdr:row>
      <xdr:rowOff>85724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C6005CC-74F8-F243-096D-3A07B5267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756709</xdr:colOff>
      <xdr:row>46</xdr:row>
      <xdr:rowOff>184149</xdr:rowOff>
    </xdr:from>
    <xdr:to>
      <xdr:col>25</xdr:col>
      <xdr:colOff>624417</xdr:colOff>
      <xdr:row>61</xdr:row>
      <xdr:rowOff>69849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E7814BB3-A177-3531-0F87-EB41DFE25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15875</xdr:colOff>
      <xdr:row>30</xdr:row>
      <xdr:rowOff>17462</xdr:rowOff>
    </xdr:from>
    <xdr:to>
      <xdr:col>19</xdr:col>
      <xdr:colOff>508000</xdr:colOff>
      <xdr:row>44</xdr:row>
      <xdr:rowOff>93662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A9D7ACB8-3AA3-B991-8C19-28453801E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15875</xdr:colOff>
      <xdr:row>30</xdr:row>
      <xdr:rowOff>17462</xdr:rowOff>
    </xdr:from>
    <xdr:to>
      <xdr:col>25</xdr:col>
      <xdr:colOff>635000</xdr:colOff>
      <xdr:row>44</xdr:row>
      <xdr:rowOff>93662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F86D4BBA-F3AD-C7C2-ECEF-E90F43F8E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15875</xdr:colOff>
      <xdr:row>47</xdr:row>
      <xdr:rowOff>17462</xdr:rowOff>
    </xdr:from>
    <xdr:to>
      <xdr:col>19</xdr:col>
      <xdr:colOff>508000</xdr:colOff>
      <xdr:row>61</xdr:row>
      <xdr:rowOff>93662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0760C953-7136-E1FC-7B6B-12BB655C8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15875</xdr:colOff>
      <xdr:row>64</xdr:row>
      <xdr:rowOff>17462</xdr:rowOff>
    </xdr:from>
    <xdr:to>
      <xdr:col>6</xdr:col>
      <xdr:colOff>492125</xdr:colOff>
      <xdr:row>78</xdr:row>
      <xdr:rowOff>93662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F28FD8FB-13A1-6B30-2739-681C8552D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1034143</xdr:colOff>
      <xdr:row>29</xdr:row>
      <xdr:rowOff>9524</xdr:rowOff>
    </xdr:from>
    <xdr:to>
      <xdr:col>5</xdr:col>
      <xdr:colOff>367393</xdr:colOff>
      <xdr:row>43</xdr:row>
      <xdr:rowOff>85724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52C3D71-1E55-1B25-E365-47DE1AA9A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13607</xdr:colOff>
      <xdr:row>28</xdr:row>
      <xdr:rowOff>172810</xdr:rowOff>
    </xdr:from>
    <xdr:to>
      <xdr:col>10</xdr:col>
      <xdr:colOff>394607</xdr:colOff>
      <xdr:row>43</xdr:row>
      <xdr:rowOff>58510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4D33629-EAE1-C7DB-2FD0-8C13BC4A1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13608</xdr:colOff>
      <xdr:row>45</xdr:row>
      <xdr:rowOff>186416</xdr:rowOff>
    </xdr:from>
    <xdr:to>
      <xdr:col>5</xdr:col>
      <xdr:colOff>394608</xdr:colOff>
      <xdr:row>60</xdr:row>
      <xdr:rowOff>72116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1B7DCF8-6C32-4988-83A6-480032ABF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13607</xdr:colOff>
      <xdr:row>45</xdr:row>
      <xdr:rowOff>186418</xdr:rowOff>
    </xdr:from>
    <xdr:to>
      <xdr:col>10</xdr:col>
      <xdr:colOff>394607</xdr:colOff>
      <xdr:row>60</xdr:row>
      <xdr:rowOff>72118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8943F166-097A-A6DE-95AF-788EBEED7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13608</xdr:colOff>
      <xdr:row>29</xdr:row>
      <xdr:rowOff>9524</xdr:rowOff>
    </xdr:from>
    <xdr:to>
      <xdr:col>15</xdr:col>
      <xdr:colOff>394608</xdr:colOff>
      <xdr:row>43</xdr:row>
      <xdr:rowOff>85724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8BC759E8-D1A9-686C-91AB-2BCC5BC5B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13607</xdr:colOff>
      <xdr:row>29</xdr:row>
      <xdr:rowOff>9524</xdr:rowOff>
    </xdr:from>
    <xdr:to>
      <xdr:col>20</xdr:col>
      <xdr:colOff>394607</xdr:colOff>
      <xdr:row>43</xdr:row>
      <xdr:rowOff>85724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C3CD81E2-BFA6-42EB-59D8-37274D367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13607</xdr:colOff>
      <xdr:row>45</xdr:row>
      <xdr:rowOff>159201</xdr:rowOff>
    </xdr:from>
    <xdr:to>
      <xdr:col>15</xdr:col>
      <xdr:colOff>394607</xdr:colOff>
      <xdr:row>60</xdr:row>
      <xdr:rowOff>44901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18ED4CD1-0E2E-E690-5D37-6D2EF6B32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13608</xdr:colOff>
      <xdr:row>46</xdr:row>
      <xdr:rowOff>9524</xdr:rowOff>
    </xdr:from>
    <xdr:to>
      <xdr:col>20</xdr:col>
      <xdr:colOff>394608</xdr:colOff>
      <xdr:row>60</xdr:row>
      <xdr:rowOff>85724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71E97F55-E6EB-53C4-26AA-086983084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63</xdr:row>
      <xdr:rowOff>9507</xdr:rowOff>
    </xdr:from>
    <xdr:to>
      <xdr:col>5</xdr:col>
      <xdr:colOff>381000</xdr:colOff>
      <xdr:row>77</xdr:row>
      <xdr:rowOff>85707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902FDB0B-88FB-CDD6-2201-340547196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14287</xdr:rowOff>
    </xdr:from>
    <xdr:to>
      <xdr:col>4</xdr:col>
      <xdr:colOff>1152525</xdr:colOff>
      <xdr:row>22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E7A68CF-0111-674F-02AD-231F85AB4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8</xdr:row>
      <xdr:rowOff>4762</xdr:rowOff>
    </xdr:from>
    <xdr:to>
      <xdr:col>9</xdr:col>
      <xdr:colOff>209550</xdr:colOff>
      <xdr:row>22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C345544-EB36-85D6-2C38-C1C1AA0E0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25</xdr:row>
      <xdr:rowOff>4762</xdr:rowOff>
    </xdr:from>
    <xdr:to>
      <xdr:col>4</xdr:col>
      <xdr:colOff>1162050</xdr:colOff>
      <xdr:row>39</xdr:row>
      <xdr:rowOff>80962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43E8383-3530-3870-15DC-E1F238305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25</xdr:row>
      <xdr:rowOff>4762</xdr:rowOff>
    </xdr:from>
    <xdr:to>
      <xdr:col>9</xdr:col>
      <xdr:colOff>209550</xdr:colOff>
      <xdr:row>39</xdr:row>
      <xdr:rowOff>80962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9647BE8-37FF-1917-CBCD-99BF8B98F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1095375</xdr:colOff>
      <xdr:row>42</xdr:row>
      <xdr:rowOff>14287</xdr:rowOff>
    </xdr:from>
    <xdr:to>
      <xdr:col>4</xdr:col>
      <xdr:colOff>1143000</xdr:colOff>
      <xdr:row>56</xdr:row>
      <xdr:rowOff>90487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DDD1AE25-D541-9FC6-6B2D-4BF87F986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42</xdr:row>
      <xdr:rowOff>14287</xdr:rowOff>
    </xdr:from>
    <xdr:to>
      <xdr:col>9</xdr:col>
      <xdr:colOff>209550</xdr:colOff>
      <xdr:row>56</xdr:row>
      <xdr:rowOff>90487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9E05F874-A3EF-25FF-3348-8F23C535E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59</xdr:row>
      <xdr:rowOff>4762</xdr:rowOff>
    </xdr:from>
    <xdr:to>
      <xdr:col>4</xdr:col>
      <xdr:colOff>1152525</xdr:colOff>
      <xdr:row>73</xdr:row>
      <xdr:rowOff>80962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9430434C-FE8E-5F44-96BB-825540772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59</xdr:row>
      <xdr:rowOff>14287</xdr:rowOff>
    </xdr:from>
    <xdr:to>
      <xdr:col>9</xdr:col>
      <xdr:colOff>209550</xdr:colOff>
      <xdr:row>73</xdr:row>
      <xdr:rowOff>90487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38DB9EED-1A4F-7426-3146-A80A51B8B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412750</xdr:colOff>
      <xdr:row>10</xdr:row>
      <xdr:rowOff>84667</xdr:rowOff>
    </xdr:from>
    <xdr:to>
      <xdr:col>4</xdr:col>
      <xdr:colOff>920750</xdr:colOff>
      <xdr:row>20</xdr:row>
      <xdr:rowOff>137583</xdr:rowOff>
    </xdr:to>
    <xdr:cxnSp macro="">
      <xdr:nvCxnSpPr>
        <xdr:cNvPr id="28" name="Łącznik prosty 27">
          <a:extLst>
            <a:ext uri="{FF2B5EF4-FFF2-40B4-BE49-F238E27FC236}">
              <a16:creationId xmlns:a16="http://schemas.microsoft.com/office/drawing/2014/main" id="{87403F3A-9F84-F36B-23D3-40C2AB70318A}"/>
            </a:ext>
          </a:extLst>
        </xdr:cNvPr>
        <xdr:cNvCxnSpPr/>
      </xdr:nvCxnSpPr>
      <xdr:spPr>
        <a:xfrm>
          <a:off x="1513417" y="1989667"/>
          <a:ext cx="3926416" cy="195791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391584</xdr:colOff>
      <xdr:row>10</xdr:row>
      <xdr:rowOff>127000</xdr:rowOff>
    </xdr:from>
    <xdr:to>
      <xdr:col>8</xdr:col>
      <xdr:colOff>455083</xdr:colOff>
      <xdr:row>20</xdr:row>
      <xdr:rowOff>148167</xdr:rowOff>
    </xdr:to>
    <xdr:cxnSp macro="">
      <xdr:nvCxnSpPr>
        <xdr:cNvPr id="30" name="Łącznik prosty 29">
          <a:extLst>
            <a:ext uri="{FF2B5EF4-FFF2-40B4-BE49-F238E27FC236}">
              <a16:creationId xmlns:a16="http://schemas.microsoft.com/office/drawing/2014/main" id="{1EBBA81D-0B88-043D-36BD-C588B726BBBC}"/>
            </a:ext>
          </a:extLst>
        </xdr:cNvPr>
        <xdr:cNvCxnSpPr/>
      </xdr:nvCxnSpPr>
      <xdr:spPr>
        <a:xfrm flipV="1">
          <a:off x="6402917" y="2032000"/>
          <a:ext cx="3820583" cy="19261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433916</xdr:colOff>
      <xdr:row>27</xdr:row>
      <xdr:rowOff>84667</xdr:rowOff>
    </xdr:from>
    <xdr:to>
      <xdr:col>4</xdr:col>
      <xdr:colOff>941917</xdr:colOff>
      <xdr:row>37</xdr:row>
      <xdr:rowOff>74083</xdr:rowOff>
    </xdr:to>
    <xdr:cxnSp macro="">
      <xdr:nvCxnSpPr>
        <xdr:cNvPr id="32" name="Łącznik prosty 31">
          <a:extLst>
            <a:ext uri="{FF2B5EF4-FFF2-40B4-BE49-F238E27FC236}">
              <a16:creationId xmlns:a16="http://schemas.microsoft.com/office/drawing/2014/main" id="{CB316961-23EF-9357-7217-19C9CAB30FF1}"/>
            </a:ext>
          </a:extLst>
        </xdr:cNvPr>
        <xdr:cNvCxnSpPr/>
      </xdr:nvCxnSpPr>
      <xdr:spPr>
        <a:xfrm>
          <a:off x="1534583" y="5228167"/>
          <a:ext cx="3926417" cy="189441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27</xdr:row>
      <xdr:rowOff>95250</xdr:rowOff>
    </xdr:from>
    <xdr:to>
      <xdr:col>8</xdr:col>
      <xdr:colOff>518583</xdr:colOff>
      <xdr:row>37</xdr:row>
      <xdr:rowOff>169333</xdr:rowOff>
    </xdr:to>
    <xdr:cxnSp macro="">
      <xdr:nvCxnSpPr>
        <xdr:cNvPr id="34" name="Łącznik prosty 33">
          <a:extLst>
            <a:ext uri="{FF2B5EF4-FFF2-40B4-BE49-F238E27FC236}">
              <a16:creationId xmlns:a16="http://schemas.microsoft.com/office/drawing/2014/main" id="{FF2747F4-D23A-2922-82A2-3424F87F3A72}"/>
            </a:ext>
          </a:extLst>
        </xdr:cNvPr>
        <xdr:cNvCxnSpPr/>
      </xdr:nvCxnSpPr>
      <xdr:spPr>
        <a:xfrm flipV="1">
          <a:off x="6392333" y="5238750"/>
          <a:ext cx="3894667" cy="197908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391583</xdr:colOff>
      <xdr:row>44</xdr:row>
      <xdr:rowOff>84667</xdr:rowOff>
    </xdr:from>
    <xdr:to>
      <xdr:col>1</xdr:col>
      <xdr:colOff>571500</xdr:colOff>
      <xdr:row>54</xdr:row>
      <xdr:rowOff>158750</xdr:rowOff>
    </xdr:to>
    <xdr:cxnSp macro="">
      <xdr:nvCxnSpPr>
        <xdr:cNvPr id="36" name="Łącznik prosty 35">
          <a:extLst>
            <a:ext uri="{FF2B5EF4-FFF2-40B4-BE49-F238E27FC236}">
              <a16:creationId xmlns:a16="http://schemas.microsoft.com/office/drawing/2014/main" id="{2F747777-E6A7-80CF-E3ED-78617143C2F3}"/>
            </a:ext>
          </a:extLst>
        </xdr:cNvPr>
        <xdr:cNvCxnSpPr/>
      </xdr:nvCxnSpPr>
      <xdr:spPr>
        <a:xfrm flipV="1">
          <a:off x="1492250" y="8466667"/>
          <a:ext cx="179917" cy="197908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61</xdr:row>
      <xdr:rowOff>95250</xdr:rowOff>
    </xdr:from>
    <xdr:to>
      <xdr:col>4</xdr:col>
      <xdr:colOff>677334</xdr:colOff>
      <xdr:row>71</xdr:row>
      <xdr:rowOff>158750</xdr:rowOff>
    </xdr:to>
    <xdr:cxnSp macro="">
      <xdr:nvCxnSpPr>
        <xdr:cNvPr id="38" name="Łącznik prosty 37">
          <a:extLst>
            <a:ext uri="{FF2B5EF4-FFF2-40B4-BE49-F238E27FC236}">
              <a16:creationId xmlns:a16="http://schemas.microsoft.com/office/drawing/2014/main" id="{07A332E8-4043-19C3-EFF7-F30C35BABFAB}"/>
            </a:ext>
          </a:extLst>
        </xdr:cNvPr>
        <xdr:cNvCxnSpPr/>
      </xdr:nvCxnSpPr>
      <xdr:spPr>
        <a:xfrm flipV="1">
          <a:off x="1481667" y="11715750"/>
          <a:ext cx="3714750" cy="19685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44</xdr:row>
      <xdr:rowOff>116417</xdr:rowOff>
    </xdr:from>
    <xdr:to>
      <xdr:col>6</xdr:col>
      <xdr:colOff>10584</xdr:colOff>
      <xdr:row>54</xdr:row>
      <xdr:rowOff>169333</xdr:rowOff>
    </xdr:to>
    <xdr:cxnSp macro="">
      <xdr:nvCxnSpPr>
        <xdr:cNvPr id="40" name="Łącznik prosty 39">
          <a:extLst>
            <a:ext uri="{FF2B5EF4-FFF2-40B4-BE49-F238E27FC236}">
              <a16:creationId xmlns:a16="http://schemas.microsoft.com/office/drawing/2014/main" id="{76F6F3A7-52C8-FE87-717F-CB0820962BA3}"/>
            </a:ext>
          </a:extLst>
        </xdr:cNvPr>
        <xdr:cNvCxnSpPr/>
      </xdr:nvCxnSpPr>
      <xdr:spPr>
        <a:xfrm flipV="1">
          <a:off x="6392333" y="8498417"/>
          <a:ext cx="1090084" cy="195791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423334</xdr:colOff>
      <xdr:row>61</xdr:row>
      <xdr:rowOff>127000</xdr:rowOff>
    </xdr:from>
    <xdr:to>
      <xdr:col>9</xdr:col>
      <xdr:colOff>31750</xdr:colOff>
      <xdr:row>69</xdr:row>
      <xdr:rowOff>52917</xdr:rowOff>
    </xdr:to>
    <xdr:cxnSp macro="">
      <xdr:nvCxnSpPr>
        <xdr:cNvPr id="42" name="Łącznik prosty 41">
          <a:extLst>
            <a:ext uri="{FF2B5EF4-FFF2-40B4-BE49-F238E27FC236}">
              <a16:creationId xmlns:a16="http://schemas.microsoft.com/office/drawing/2014/main" id="{97A90D85-1C49-FCC5-835A-192EF0FDBEC8}"/>
            </a:ext>
          </a:extLst>
        </xdr:cNvPr>
        <xdr:cNvCxnSpPr/>
      </xdr:nvCxnSpPr>
      <xdr:spPr>
        <a:xfrm flipV="1">
          <a:off x="6434667" y="11747500"/>
          <a:ext cx="3979333" cy="14499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EA222C-6A4A-429D-8BD5-B120098C4231}" autoFormatId="16" applyNumberFormats="0" applyBorderFormats="0" applyFontFormats="0" applyPatternFormats="0" applyAlignmentFormats="0" applyWidthHeightFormats="0">
  <queryTableRefresh nextId="16" unboundColumnsRight="10">
    <queryTableFields count="12">
      <queryTableField id="1" name="Data" tableColumnId="1"/>
      <queryTableField id="5" name="Zamkniecie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</queryTableFields>
    <queryTableDeletedFields count="3">
      <deletedField name="Otwarcie"/>
      <deletedField name="Najwyzszy"/>
      <deletedField name="Najnizszy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9A511B8-216E-4A44-B16B-65C7E1A2DC02}" autoFormatId="16" applyNumberFormats="0" applyBorderFormats="0" applyFontFormats="0" applyPatternFormats="0" applyAlignmentFormats="0" applyWidthHeightFormats="0">
  <queryTableRefresh nextId="16" unboundColumnsRight="10">
    <queryTableFields count="12">
      <queryTableField id="1" name="Data" tableColumnId="1"/>
      <queryTableField id="5" name="Zamkniecie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</queryTableFields>
    <queryTableDeletedFields count="3">
      <deletedField name="Otwarcie"/>
      <deletedField name="Najwyzszy"/>
      <deletedField name="Najnizsz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2B410B3-FEC3-4E89-AE8C-F42A1CC3F413}" autoFormatId="16" applyNumberFormats="0" applyBorderFormats="0" applyFontFormats="0" applyPatternFormats="0" applyAlignmentFormats="0" applyWidthHeightFormats="0">
  <queryTableRefresh nextId="16" unboundColumnsRight="10">
    <queryTableFields count="12">
      <queryTableField id="1" name="Data" tableColumnId="1"/>
      <queryTableField id="5" name="Zamkniecie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</queryTableFields>
    <queryTableDeletedFields count="3">
      <deletedField name="Otwarcie"/>
      <deletedField name="Najwyzszy"/>
      <deletedField name="Najnizszy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1C44CF2-9376-4D8B-BCD3-AB5635F5247C}" autoFormatId="16" applyNumberFormats="0" applyBorderFormats="0" applyFontFormats="0" applyPatternFormats="0" applyAlignmentFormats="0" applyWidthHeightFormats="0">
  <queryTableRefresh nextId="16" unboundColumnsRight="10">
    <queryTableFields count="12">
      <queryTableField id="1" name="Data" tableColumnId="1"/>
      <queryTableField id="5" name="Zamkniecie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</queryTableFields>
    <queryTableDeletedFields count="3">
      <deletedField name="Otwarcie"/>
      <deletedField name="Najwyzszy"/>
      <deletedField name="Najnizsz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B7AE07-2FF5-4BDC-8717-6E0A179633C1}" name="FIO_PL" displayName="FIO_PL" ref="A1:L46" tableType="queryTable" totalsRowCount="1">
  <autoFilter ref="A1:L45" xr:uid="{D9B7AE07-2FF5-4BDC-8717-6E0A179633C1}"/>
  <tableColumns count="12">
    <tableColumn id="1" xr3:uid="{5AFBD356-EF90-447A-8EE1-8983F7011452}" uniqueName="1" name="Data" queryTableFieldId="1" dataDxfId="99" totalsRowDxfId="98"/>
    <tableColumn id="5" xr3:uid="{819A8035-67E3-489F-B276-D4DCEDA37EEC}" uniqueName="5" name="Cena" queryTableFieldId="5" dataDxfId="97"/>
    <tableColumn id="6" xr3:uid="{620C550B-4135-49D0-BF54-C91843A90857}" uniqueName="6" name="Prosta stopa zwrotu" queryTableFieldId="6"/>
    <tableColumn id="7" xr3:uid="{D921677D-52C4-44F1-9CAC-73E46E5584B7}" uniqueName="7" name="Logarytmiczna stopa zwrotu" queryTableFieldId="7"/>
    <tableColumn id="8" xr3:uid="{9328093A-F222-4BD8-8865-F7D577AAA513}" uniqueName="8" name="Instrument wolny od ryzyka" queryTableFieldId="8"/>
    <tableColumn id="9" xr3:uid="{C8FC8591-FF33-4C8E-A2B0-78255BF3209F}" uniqueName="9" name="Stopa wolna od ryzyka" queryTableFieldId="9"/>
    <tableColumn id="10" xr3:uid="{EF29EAFD-30D5-41FE-9158-0D1B1DFCC90E}" uniqueName="10" name="WIG" queryTableFieldId="10"/>
    <tableColumn id="11" xr3:uid="{A0364D49-7A58-4E2A-9704-E9BA86A1E7E7}" uniqueName="11" name="Stopa WIG" queryTableFieldId="11"/>
    <tableColumn id="12" xr3:uid="{EB837CBD-30FA-4DEA-B581-CCF87451437E}" uniqueName="12" name="Rynkowa stopa zwrotu" queryTableFieldId="12" dataDxfId="96">
      <calculatedColumnFormula>FIO_PL[[#This Row],[Stopa WIG]]*100%</calculatedColumnFormula>
    </tableColumn>
    <tableColumn id="13" xr3:uid="{59A28387-2734-4E06-AF25-CB2DBCCC4135}" uniqueName="13" name="Wzorcowa stopa zwrotu" queryTableFieldId="13" dataDxfId="95">
      <calculatedColumnFormula>MIN(0,(FIO_PL[[#This Row],[Logarytmiczna stopa zwrotu]]-0))</calculatedColumnFormula>
    </tableColumn>
    <tableColumn id="14" xr3:uid="{CD198A37-9B34-4D8B-8472-F8C819EE7BAF}" uniqueName="14" name="Wzorcowa rynkowa stopa zwrotu" queryTableFieldId="14" dataDxfId="94">
      <calculatedColumnFormula>MIN(0,(FIO_PL[[#This Row],[Rynkowa stopa zwrotu]]-0))</calculatedColumnFormula>
    </tableColumn>
    <tableColumn id="15" xr3:uid="{D4D6B104-3628-4644-93A0-E01973877BD7}" uniqueName="15" name="Pozytywna stopa zwrotu" queryTableFieldId="15" dataDxfId="93">
      <calculatedColumnFormula>MAX(0,(FIO_PL[[#This Row],[Logarytmiczna stopa zwrotu]]-0))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B0D292E-F9BF-484D-B220-D2976C2D329C}" name="Tabela15" displayName="Tabela15" ref="E16:G29" totalsRowShown="0" tableBorderDxfId="10">
  <autoFilter ref="E16:G29" xr:uid="{3B0D292E-F9BF-484D-B220-D2976C2D329C}"/>
  <tableColumns count="3">
    <tableColumn id="1" xr3:uid="{BE9EF977-72B9-478D-A7C9-F526A9C35D9B}" name="Wyszczególnienie"/>
    <tableColumn id="2" xr3:uid="{3FA0534E-22D4-4056-9572-3A4C9F0F95EB}" name="Okres pokoju"/>
    <tableColumn id="3" xr3:uid="{2A7E0BD7-F8B0-4E41-BB4C-0C584D39BBA2}" name="Okres kryzysu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7BA8D65-A357-4F55-B69E-F1B09A87737F}" name="Tabela16" displayName="Tabela16" ref="E1:G14" totalsRowShown="0" tableBorderDxfId="9">
  <autoFilter ref="E1:G14" xr:uid="{17BA8D65-A357-4F55-B69E-F1B09A87737F}"/>
  <tableColumns count="3">
    <tableColumn id="1" xr3:uid="{41E9F34A-AC0D-4D41-BDCA-568D9D527001}" name="Wyszczególnienie"/>
    <tableColumn id="2" xr3:uid="{7150E601-9A7C-49F6-B4AB-1BC5D8F2AEC0}" name="Okres pokoju"/>
    <tableColumn id="3" xr3:uid="{A5384578-E20C-4AD3-B8E3-AEEC6C0C1A74}" name="Okres kryzysu"/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A81DD65-96D6-40C8-BCE2-42FA2D42B1BB}" name="Tabela17" displayName="Tabela17" ref="A1:C14" totalsRowShown="0" tableBorderDxfId="8">
  <autoFilter ref="A1:C14" xr:uid="{3A81DD65-96D6-40C8-BCE2-42FA2D42B1BB}"/>
  <tableColumns count="3">
    <tableColumn id="1" xr3:uid="{F2BEB306-DEDB-4A58-97A6-B3498C76B7D1}" name="Wyszczególnienie"/>
    <tableColumn id="2" xr3:uid="{8AA2A23D-C013-41F4-9EB3-9674C59ADE87}" name="Okres pokoju"/>
    <tableColumn id="3" xr3:uid="{6840D497-7594-49EE-A3E7-E92F030E18B4}" name="Okres kryzysu"/>
  </tableColumns>
  <tableStyleInfo name="TableStyleMedium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F68E581-C711-454C-B286-7B0FA51C05E0}" name="Tabela18" displayName="Tabela18" ref="A16:C29" totalsRowShown="0" tableBorderDxfId="7">
  <autoFilter ref="A16:C29" xr:uid="{9F68E581-C711-454C-B286-7B0FA51C05E0}"/>
  <tableColumns count="3">
    <tableColumn id="1" xr3:uid="{BE53B974-BE66-4EBF-AB52-91DA665704A5}" name="Wyszczególnienie"/>
    <tableColumn id="2" xr3:uid="{12732827-FEAC-49EE-9C8A-2FDE96114FCA}" name="Okres pokoju"/>
    <tableColumn id="3" xr3:uid="{A0EEB8EA-117C-4E2C-B3BC-46959968EF1D}" name="Okres kryzysu"/>
  </tableColumns>
  <tableStyleInfo name="TableStyleMedium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ED10008-7B5F-43EC-A0F8-FE17C24142C7}" name="Tabela10" displayName="Tabela10" ref="A1:D10" totalsRowShown="0" tableBorderDxfId="6">
  <autoFilter ref="A1:D10" xr:uid="{2ED10008-7B5F-43EC-A0F8-FE17C24142C7}"/>
  <tableColumns count="4">
    <tableColumn id="1" xr3:uid="{9228E497-61BE-4981-9FBB-A7957787FA55}" name="Stipy zwrotu" dataDxfId="5"/>
    <tableColumn id="2" xr3:uid="{AF64A8BA-7F25-4512-9782-B83748E9044E}" name="Cały okres" dataDxfId="4"/>
    <tableColumn id="3" xr3:uid="{3A9B767B-D562-4DB0-9B1D-4B18603C62EB}" name="Okres pokoju"/>
    <tableColumn id="4" xr3:uid="{DD399F40-F22E-4229-A7FB-B954F1BB002D}" name="Okres wojny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23C8D74-2835-4552-9EFB-CE4D84F94B7C}" name="Tabela1530" displayName="Tabela1530" ref="E34:G65" totalsRowShown="0" tableBorderDxfId="3">
  <autoFilter ref="E34:G65" xr:uid="{B23C8D74-2835-4552-9EFB-CE4D84F94B7C}"/>
  <tableColumns count="3">
    <tableColumn id="1" xr3:uid="{807CBE37-177A-4EC3-BC6E-5DF3B70C810E}" name="Wyszczególnienie"/>
    <tableColumn id="2" xr3:uid="{F2F963C9-DF02-4938-AECA-64DF409E4112}" name="Okres pokoju"/>
    <tableColumn id="3" xr3:uid="{10AC0255-EC3B-4D3C-85C0-EA77D521A94F}" name="Okres kryzysu"/>
  </tableColumns>
  <tableStyleInfo name="TableStyleMedium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2C1F9B0-0737-4899-AA6B-D2F4B5A937E1}" name="Tabela1631" displayName="Tabela1631" ref="E1:G32" totalsRowShown="0" tableBorderDxfId="2">
  <autoFilter ref="E1:G32" xr:uid="{22C1F9B0-0737-4899-AA6B-D2F4B5A937E1}"/>
  <tableColumns count="3">
    <tableColumn id="1" xr3:uid="{E7F8A717-59FC-4EE2-82D7-CE105B04D8D9}" name="Wyszczególnienie"/>
    <tableColumn id="2" xr3:uid="{358B25B0-DAD5-4937-876E-946DEF800209}" name="Okres pokoju"/>
    <tableColumn id="3" xr3:uid="{CED353A6-A776-40A5-B3C3-A176C7D1AED3}" name="Okres kryzysu"/>
  </tableColumns>
  <tableStyleInfo name="TableStyleMedium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D30C369-293D-4CA1-806C-1D2DA7E77C17}" name="Tabela1732" displayName="Tabela1732" ref="A1:C32" totalsRowShown="0" tableBorderDxfId="1">
  <autoFilter ref="A1:C32" xr:uid="{4D30C369-293D-4CA1-806C-1D2DA7E77C17}"/>
  <tableColumns count="3">
    <tableColumn id="1" xr3:uid="{40D38F7C-AB8C-418A-93E7-1AFA6012ABBC}" name="Wyszczególnienie"/>
    <tableColumn id="2" xr3:uid="{F6069CB4-DEC5-4BBD-84E0-B1F9D1355224}" name="Okres pokoju"/>
    <tableColumn id="3" xr3:uid="{826AAD23-F99F-4BB9-8094-C5146A352B8D}" name="Okres kryzysu"/>
  </tableColumns>
  <tableStyleInfo name="TableStyleMedium2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AF6722E-F5C1-435C-A06D-80E7533B0F36}" name="Tabela1833" displayName="Tabela1833" ref="A34:C65" totalsRowShown="0" tableBorderDxfId="0">
  <autoFilter ref="A34:C65" xr:uid="{7AF6722E-F5C1-435C-A06D-80E7533B0F36}"/>
  <tableColumns count="3">
    <tableColumn id="1" xr3:uid="{4420F2E5-8CD4-4890-A82C-F5D00AB1DD1C}" name="Wyszczególnienie"/>
    <tableColumn id="2" xr3:uid="{ECB55D88-0383-4A04-851E-D525E2BF56EB}" name="Okres pokoju"/>
    <tableColumn id="3" xr3:uid="{701AF20E-2167-46C9-B98F-9DDBAE8E676B}" name="Okres kryzysu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D568B9-0B39-4501-8D9D-78F39E3A2497}" name="SFIO_PL" displayName="SFIO_PL" ref="A1:L46" tableType="queryTable" totalsRowCount="1">
  <autoFilter ref="A1:L45" xr:uid="{28D568B9-0B39-4501-8D9D-78F39E3A2497}"/>
  <tableColumns count="12">
    <tableColumn id="1" xr3:uid="{29E72F17-3879-444F-B0D8-442EE01B9089}" uniqueName="1" name="Data" queryTableFieldId="1" dataDxfId="92" totalsRowDxfId="91"/>
    <tableColumn id="5" xr3:uid="{AA2FD11F-D842-4CE1-8442-A88C29F07134}" uniqueName="5" name="Cena" queryTableFieldId="5" dataDxfId="90" totalsRowDxfId="89"/>
    <tableColumn id="6" xr3:uid="{6E7045E2-75AC-4057-AADB-BDA0A269B49E}" uniqueName="6" name="Prosta stopa zwrotu" queryTableFieldId="6"/>
    <tableColumn id="7" xr3:uid="{FA521945-C591-4B11-AB52-608A584F3DF8}" uniqueName="7" name="Logarytmiczna stopa zwrotu" queryTableFieldId="7"/>
    <tableColumn id="8" xr3:uid="{A5307D0A-348A-43C2-8853-082A89901B14}" uniqueName="8" name="Instrument wolny od ryzyka" queryTableFieldId="8"/>
    <tableColumn id="9" xr3:uid="{9E2927C8-7089-43E6-82A6-784D04E8A3D6}" uniqueName="9" name="Stopa wolna od ryzyka" queryTableFieldId="9"/>
    <tableColumn id="10" xr3:uid="{73067E19-976E-4907-A956-4DBE7617F6C5}" uniqueName="10" name="WIG" queryTableFieldId="10"/>
    <tableColumn id="11" xr3:uid="{CD4C629C-25C2-4E3A-93B7-B0EBA6297633}" uniqueName="11" name="Stopa WIG" queryTableFieldId="11"/>
    <tableColumn id="12" xr3:uid="{4936E5B3-2102-4E2B-A862-99A7345F567E}" uniqueName="12" name="Rynkowa stopa zwrotu" queryTableFieldId="12" dataDxfId="88" totalsRowDxfId="87">
      <calculatedColumnFormula>SFIO_PL[[#This Row],[Stopa WIG]]*100%</calculatedColumnFormula>
    </tableColumn>
    <tableColumn id="13" xr3:uid="{86360193-A2BA-4F48-8552-50164B8E3F75}" uniqueName="13" name="Wzorcowa stopa zwrotu" queryTableFieldId="13" dataDxfId="86" totalsRowDxfId="85">
      <calculatedColumnFormula>MIN(0,(SFIO_PL[[#This Row],[Logarytmiczna stopa zwrotu]]-0))</calculatedColumnFormula>
    </tableColumn>
    <tableColumn id="14" xr3:uid="{0F7675FB-B740-4A9F-A93E-9ABDCB2F20E8}" uniqueName="14" name="Wzorcowa rynkowa stopa zwrotu" queryTableFieldId="14" dataDxfId="84" totalsRowDxfId="83">
      <calculatedColumnFormula>MIN(0,(SFIO_PL[[#This Row],[Rynkowa stopa zwrotu]]-0))</calculatedColumnFormula>
    </tableColumn>
    <tableColumn id="15" xr3:uid="{A1C9918F-EE37-4DAD-8473-47DAE2F0AD7E}" uniqueName="15" name="Pozytywna stopa zwrotu" queryTableFieldId="15" dataDxfId="82" totalsRowDxfId="81">
      <calculatedColumnFormula>MAX(0,(SFIO_PL[[#This Row],[Logarytmiczna stopa zwrotu]]-0))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2F1B78-F8E8-4E8C-A9D5-A5B85C958B2F}" name="FIO_Z" displayName="FIO_Z" ref="A1:L46" tableType="queryTable" totalsRowCount="1">
  <autoFilter ref="A1:L45" xr:uid="{C62F1B78-F8E8-4E8C-A9D5-A5B85C958B2F}"/>
  <tableColumns count="12">
    <tableColumn id="1" xr3:uid="{7FEDE2AA-79A8-49BD-A92E-F9C61254A90E}" uniqueName="1" name="Data" queryTableFieldId="1" dataDxfId="80" totalsRowDxfId="79"/>
    <tableColumn id="5" xr3:uid="{9C4DFEA7-8401-4DEF-8AAD-36384CEFF177}" uniqueName="5" name="Cena" queryTableFieldId="5" dataDxfId="78" totalsRowDxfId="77"/>
    <tableColumn id="6" xr3:uid="{FDD5853F-CF08-4A73-90ED-325147EC45EB}" uniqueName="6" name="Prosta stopa zwrotu" queryTableFieldId="6"/>
    <tableColumn id="7" xr3:uid="{772C3117-C34D-4B66-84DF-5607CAC4F473}" uniqueName="7" name="Logarytmiczna stopa zwrotu" queryTableFieldId="7"/>
    <tableColumn id="8" xr3:uid="{6DBC8FE9-D9F6-41B2-9B6B-DB6B91B3E160}" uniqueName="8" name="Instrument wolny od ryzyka" queryTableFieldId="8"/>
    <tableColumn id="9" xr3:uid="{9D615090-3A55-4C3E-A126-8B701E41934F}" uniqueName="9" name="Stopa wolna od ryzyka" queryTableFieldId="9"/>
    <tableColumn id="10" xr3:uid="{500AEC15-CDEE-4906-9274-B55D6F0E8B27}" uniqueName="10" name="MSCI Wolrd Index" queryTableFieldId="10"/>
    <tableColumn id="11" xr3:uid="{09BFD3D5-2944-4477-A199-812E21F03B52}" uniqueName="11" name="Stopa MSCI" queryTableFieldId="11"/>
    <tableColumn id="12" xr3:uid="{32860758-FBB5-4B21-A885-AE2B9124070B}" uniqueName="12" name="Rynkowa stopa zwrotu" queryTableFieldId="12" dataDxfId="76" totalsRowDxfId="75">
      <calculatedColumnFormula>FIO_Z[[#This Row],[Stopa MSCI]]*100%</calculatedColumnFormula>
    </tableColumn>
    <tableColumn id="13" xr3:uid="{736C3570-4925-469E-9BB5-16579F6301F6}" uniqueName="13" name="Wzorcowa stopa zwrotu" queryTableFieldId="13" dataDxfId="74" totalsRowDxfId="73">
      <calculatedColumnFormula>MIN(0,(FIO_Z[[#This Row],[Logarytmiczna stopa zwrotu]]-0))</calculatedColumnFormula>
    </tableColumn>
    <tableColumn id="14" xr3:uid="{C4F35300-81C6-4C88-B0CF-A4B7553BADF4}" uniqueName="14" name="Wzorcowa rynkowa stopa zwrotu" queryTableFieldId="14" dataDxfId="72" totalsRowDxfId="71">
      <calculatedColumnFormula>MIN(0,(FIO_Z[[#This Row],[Rynkowa stopa zwrotu]]-0))</calculatedColumnFormula>
    </tableColumn>
    <tableColumn id="15" xr3:uid="{54D098FE-0948-4BA1-ADF4-AC33FCD24547}" uniqueName="15" name="Pozytywna stopa zwrotu" queryTableFieldId="15" dataDxfId="70" totalsRowDxfId="69">
      <calculatedColumnFormula>MAX(0,(FIO_Z[[#This Row],[Logarytmiczna stopa zwrotu]]-0))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C73D7F-2946-456F-9BB7-BFC7707A257E}" name="SFIO_Z" displayName="SFIO_Z" ref="A1:L46" tableType="queryTable" totalsRowCount="1">
  <autoFilter ref="A1:L45" xr:uid="{E3C73D7F-2946-456F-9BB7-BFC7707A257E}"/>
  <tableColumns count="12">
    <tableColumn id="1" xr3:uid="{C2F14087-5CD1-49CA-996D-F9A5E801DB13}" uniqueName="1" name="Data" queryTableFieldId="1" dataDxfId="68" totalsRowDxfId="67"/>
    <tableColumn id="5" xr3:uid="{77040C8B-0530-4E61-84B4-AD9C2EAA18C3}" uniqueName="5" name="Cena" queryTableFieldId="5" dataDxfId="66" totalsRowDxfId="65"/>
    <tableColumn id="6" xr3:uid="{D119305F-3ADF-414F-B861-6D3F5AA41A12}" uniqueName="6" name="Prosta stopa zwrotu" queryTableFieldId="6"/>
    <tableColumn id="7" xr3:uid="{A191CFE4-23A6-4996-9866-9E46C4C72CB2}" uniqueName="7" name="Logarytmiczna stopa zwrotu" queryTableFieldId="7"/>
    <tableColumn id="8" xr3:uid="{FFBD5A7A-3EF3-4091-9EC4-47736105B4B8}" uniqueName="8" name="Instrument wolny od ryzyka" queryTableFieldId="8"/>
    <tableColumn id="9" xr3:uid="{A3799564-555F-49C1-B110-4FAD12999DC1}" uniqueName="9" name="Stopa wolna od ryzyka" queryTableFieldId="9"/>
    <tableColumn id="10" xr3:uid="{24CB3EC5-61C2-46D0-8C13-327E24B1233E}" uniqueName="10" name="MSCI Wolrd Index" queryTableFieldId="10" dataDxfId="64" totalsRowDxfId="63"/>
    <tableColumn id="11" xr3:uid="{499B9DF2-5661-42E7-B30F-BE8BB85FDC73}" uniqueName="11" name="Stopa MSCI" queryTableFieldId="11"/>
    <tableColumn id="12" xr3:uid="{6103A083-EB9B-4892-B3BC-5D580A26E284}" uniqueName="12" name="Rynkowa stopa zwrotu" queryTableFieldId="12" dataDxfId="62" totalsRowDxfId="61">
      <calculatedColumnFormula>SFIO_Z[[#This Row],[Stopa MSCI]]*100%</calculatedColumnFormula>
    </tableColumn>
    <tableColumn id="13" xr3:uid="{38D96633-35CA-432C-83BF-039D95ED8A70}" uniqueName="13" name="Wzorcowa stopa zwrotu" queryTableFieldId="13" dataDxfId="60" totalsRowDxfId="59">
      <calculatedColumnFormula>MIN(0,(SFIO_Z[[#This Row],[Logarytmiczna stopa zwrotu]]-0))</calculatedColumnFormula>
    </tableColumn>
    <tableColumn id="14" xr3:uid="{8C2EC80B-8F76-4B59-B05A-064530512E1E}" uniqueName="14" name="Wzorcowa rynkowa stopa zwrotu" queryTableFieldId="14" dataDxfId="58" totalsRowDxfId="57">
      <calculatedColumnFormula>MIN(0,(SFIO_Z[[#This Row],[Rynkowa stopa zwrotu]]-0))</calculatedColumnFormula>
    </tableColumn>
    <tableColumn id="15" xr3:uid="{E19DFD4E-A0DA-493B-9416-7B23DFB52F5C}" uniqueName="15" name="Pozytywna stopa zwrotu" queryTableFieldId="15" dataDxfId="56" totalsRowDxfId="55">
      <calculatedColumnFormula>MAX(0,(SFIO_Z[[#This Row],[Logarytmiczna stopa zwrotu]]-0))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ED64AF-EE89-4ED4-942E-FA699F85EB9D}" name="Tabela5" displayName="Tabela5" ref="A1:Z29" totalsRowCount="1" tableBorderDxfId="54">
  <autoFilter ref="A1:Z28" xr:uid="{C9ED64AF-EE89-4ED4-942E-FA699F85EB9D}"/>
  <tableColumns count="26">
    <tableColumn id="1" xr3:uid="{93337709-619F-4467-BF84-1B21F6750914}" name="Data" dataDxfId="53" totalsRowDxfId="52"/>
    <tableColumn id="2" xr3:uid="{E272BFD3-D38A-4AB9-AAF3-7687EE59F94D}" name="Rp_FIO_PL"/>
    <tableColumn id="3" xr3:uid="{A4AC8223-6ECF-462E-95A8-23679D3954F2}" name="Rp_SFIO_PL"/>
    <tableColumn id="4" xr3:uid="{03E186BC-845A-4D98-B06C-E05CD28D9854}" name="Rp_FIO_Z"/>
    <tableColumn id="5" xr3:uid="{F85FC82F-2F7A-4F54-9D01-929EF116E542}" name="Rp_SFIO_Z"/>
    <tableColumn id="6" xr3:uid="{3A03B3D7-2D73-4B05-9E2E-31350571B860}" name="Rl_FIO_PL"/>
    <tableColumn id="7" xr3:uid="{570ABDB3-E26E-4692-B803-2276869FCD34}" name="Rl_SFIO_PL"/>
    <tableColumn id="8" xr3:uid="{01233BC4-D4CE-45B9-BF81-CF5E5FC0513B}" name="Rl_FIO_Z"/>
    <tableColumn id="9" xr3:uid="{04DC1B78-CC2C-4F65-9983-2E53540CA261}" name="Rl_SFIO_Z"/>
    <tableColumn id="10" xr3:uid="{92F02A09-5A80-4479-9ED9-C1CFC6E5E253}" name="Rf"/>
    <tableColumn id="11" xr3:uid="{46C18C06-E770-4894-BFA3-725AA8F44974}" name="Rm_FIO_PL"/>
    <tableColumn id="12" xr3:uid="{A7500403-0BFA-412C-9AF4-64F5F4124921}" name="Rm_SFIO_PL"/>
    <tableColumn id="13" xr3:uid="{5CB38FDE-8E76-4D0E-9043-DE90444E05F7}" name="Rm_FIO_Z"/>
    <tableColumn id="14" xr3:uid="{2F1379A8-A095-4289-8F99-E8B3CCBA0B8D}" name="Rm_SFIO_Z"/>
    <tableColumn id="15" xr3:uid="{5E699E8C-A301-4046-8781-4017EBE05B89}" name="Rw_FIO_PL"/>
    <tableColumn id="16" xr3:uid="{C9BE86B9-0033-4C55-9139-4131E47F70BC}" name="Rw_SFIO_PL"/>
    <tableColumn id="17" xr3:uid="{A76F4817-0CDF-4034-AE64-D8265BE632A3}" name="Rw_FIO_Z"/>
    <tableColumn id="18" xr3:uid="{8838F2CF-6D8C-4BCD-A1C8-932E897E4F7F}" name="Rw_SFIO_Z"/>
    <tableColumn id="19" xr3:uid="{6699E7F4-5EA3-4C22-9DCB-DA68B430EC5A}" name="Rw_WIG"/>
    <tableColumn id="20" xr3:uid="{69CA332A-4AA1-49AC-AF2A-38AF5FE8F18A}" name="Rw_MSCI"/>
    <tableColumn id="21" xr3:uid="{E29E7017-328F-4BF2-BA62-FF578885484B}" name="Rl_WIG"/>
    <tableColumn id="22" xr3:uid="{995CA774-3B08-4447-AA97-9364936F583A}" name="Rl_MSCI"/>
    <tableColumn id="23" xr3:uid="{54FB9F67-B437-45C4-B687-76AAD524363C}" name="Rt+_FIO_PL"/>
    <tableColumn id="24" xr3:uid="{E0F6ECE8-6195-4446-9FC1-6B4B2A70D5FB}" name="Rt+_SFIO_PL"/>
    <tableColumn id="25" xr3:uid="{7FD63E57-3433-4259-9E79-67A087B93119}" name="Rt+_FIO_Z"/>
    <tableColumn id="26" xr3:uid="{098A48FC-815F-4963-878A-83F6D5CFABE6}" name="Rt+_SFIO_Z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160565-30A7-4C2B-B9A6-33DBD77B6989}" name="Tabela58" displayName="Tabela58" ref="A1:Z28" totalsRowShown="0" tableBorderDxfId="51">
  <autoFilter ref="A1:Z28" xr:uid="{83160565-30A7-4C2B-B9A6-33DBD77B6989}"/>
  <tableColumns count="26">
    <tableColumn id="1" xr3:uid="{9B8CB1F2-07EA-418A-BB9F-222ED50C633E}" name="Data" dataDxfId="50" totalsRowDxfId="49"/>
    <tableColumn id="2" xr3:uid="{BF6CB188-27AD-4DA4-A47C-FB2783EC50E9}" name="Rp_FIO_PL" totalsRowDxfId="48"/>
    <tableColumn id="3" xr3:uid="{94A3D06E-1E3B-43E1-B723-672BF5156B1A}" name="Rp_SFIO_PL" totalsRowDxfId="47"/>
    <tableColumn id="4" xr3:uid="{35CC6165-FE09-4198-82C7-E74BD6117F4B}" name="Rp_FIO_Z" totalsRowDxfId="46"/>
    <tableColumn id="5" xr3:uid="{31E03D8E-BF7C-4D24-B454-0166F858B965}" name="Rp_SFIO_Z" totalsRowDxfId="45"/>
    <tableColumn id="6" xr3:uid="{3A87B592-4952-4697-B27B-21C10BC5C8BB}" name="Rl_FIO_PL" totalsRowDxfId="44"/>
    <tableColumn id="7" xr3:uid="{09D51B75-5BE2-4DCD-95D5-BD30BA72B938}" name="Rl_SFIO_PL" totalsRowDxfId="43"/>
    <tableColumn id="8" xr3:uid="{7F351825-D3D6-42F9-8DB0-E77F010FA082}" name="Rl_FIO_Z" totalsRowDxfId="42"/>
    <tableColumn id="9" xr3:uid="{8F5A6F80-68B4-4D2C-B934-3E8B0E6D6F8E}" name="Rl_SFIO_Z" totalsRowDxfId="41"/>
    <tableColumn id="10" xr3:uid="{17A0D4F6-1D69-454C-8216-CCF54776894F}" name="Rf" totalsRowDxfId="40"/>
    <tableColumn id="11" xr3:uid="{E878E914-3C09-4D34-BD28-BBD4959D78E0}" name="Rm_FIO_PL" totalsRowDxfId="39"/>
    <tableColumn id="12" xr3:uid="{4ED78EBD-5953-4CD9-B630-F84820786921}" name="Rm_SFIO_PL" totalsRowDxfId="38"/>
    <tableColumn id="13" xr3:uid="{59C33D51-6C69-4B78-9DDE-CCFF807C0126}" name="Rm_FIO_Z" totalsRowDxfId="37"/>
    <tableColumn id="14" xr3:uid="{AEB200C0-7B0C-4333-BD34-20CB92227CA8}" name="Rm_SFIO_Z" totalsRowDxfId="36"/>
    <tableColumn id="15" xr3:uid="{91174EF6-440A-4044-80A6-79C369D52636}" name="Rw_FIO_PL" totalsRowDxfId="35"/>
    <tableColumn id="16" xr3:uid="{60A01446-BC31-490B-9ABD-7FE6E1E9084A}" name="Rw_SFIO_PL" totalsRowDxfId="34"/>
    <tableColumn id="17" xr3:uid="{873FC427-B330-45F0-AC2F-CCE7108B080B}" name="Rw_FIO_Z" totalsRowDxfId="33"/>
    <tableColumn id="18" xr3:uid="{F41BA2CC-08A4-45FA-B7F8-18A3A6DE44AF}" name="Rw_SFIO_Z" totalsRowDxfId="32"/>
    <tableColumn id="19" xr3:uid="{B52E6607-72C3-4B1F-BC50-C9B109C42E8B}" name="Rw_WIG" totalsRowDxfId="31"/>
    <tableColumn id="20" xr3:uid="{CE6E7102-2CD4-4C7D-858B-2A14C3BE1EAA}" name="Rw_MSCI" totalsRowDxfId="30"/>
    <tableColumn id="21" xr3:uid="{EBFA3AD6-3715-46A8-8D7A-BD010C60BDFC}" name="Rl_WIG" totalsRowDxfId="29"/>
    <tableColumn id="22" xr3:uid="{42CBCF4B-F4A2-4688-BFB4-CF5B158A49E4}" name="Rl_MSCI" totalsRowDxfId="28"/>
    <tableColumn id="23" xr3:uid="{809CEAD2-AD23-41E9-82BC-A7085BFBAB24}" name="Rt+_FIO_PL" totalsRowDxfId="27"/>
    <tableColumn id="24" xr3:uid="{452B400D-34BA-4AD6-8EBA-BBE4A14BA7C8}" name="Rt+_SFIO_PL" totalsRowDxfId="26"/>
    <tableColumn id="25" xr3:uid="{634748B8-AC6E-47FC-81FE-972995F9C6FA}" name="Rt+_FIO_Z" totalsRowDxfId="25"/>
    <tableColumn id="26" xr3:uid="{CAD7D9DF-151E-4608-8946-7252695FEF09}" name="Rt+_SFIO_Z" totalsRowDxfId="2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7F148A9-3969-4F2A-B154-48B334F9050C}" name="Tabela9" displayName="Tabela9" ref="A1:D14" totalsRowShown="0" tableBorderDxfId="23">
  <autoFilter ref="A1:D14" xr:uid="{77F148A9-3969-4F2A-B154-48B334F9050C}"/>
  <tableColumns count="4">
    <tableColumn id="1" xr3:uid="{2924AC1C-4BCF-4BAC-B6C9-780CA47B8F60}" name="Wyszczególnienie"/>
    <tableColumn id="2" xr3:uid="{52E848D9-8C4D-48C4-8129-01D104F9DC17}" name="Ryzyko systematyczne"/>
    <tableColumn id="3" xr3:uid="{B2FFE0A8-8493-4765-83B3-A1898EF6FD2B}" name="Ryzyko całkowite"/>
    <tableColumn id="4" xr3:uid="{C826ACE2-A0E9-420F-9BCC-74123B70941A}" name="Ryzyko negatywne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5AE89DD-8918-445E-AF91-49F69F2DFCFA}" name="Tabela12" displayName="Tabela12" ref="A1:C7" totalsRowShown="0" headerRowDxfId="22" dataDxfId="21" tableBorderDxfId="20">
  <autoFilter ref="A1:C7" xr:uid="{85AE89DD-8918-445E-AF91-49F69F2DFCFA}"/>
  <tableColumns count="3">
    <tableColumn id="1" xr3:uid="{53EF62A8-F80A-4483-8BFE-C4393724E172}" name="Wyszczególnienie" dataDxfId="19"/>
    <tableColumn id="2" xr3:uid="{25329A6B-709D-407C-B7A6-EE8DAB40E768}" name="Odchylenie standardowe" dataDxfId="18"/>
    <tableColumn id="3" xr3:uid="{149335C0-FF0E-4CA8-8FAA-E4CF7C9CA206}" name="Stopa zwrotu" dataDxfId="17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6D32C6-17E4-4F9D-A4F4-8B6A46E6F874}" name="Tabela19" displayName="Tabela19" ref="E1:G7" totalsRowShown="0" headerRowDxfId="16" dataDxfId="15" tableBorderDxfId="14">
  <autoFilter ref="E1:G7" xr:uid="{106D32C6-17E4-4F9D-A4F4-8B6A46E6F874}"/>
  <tableColumns count="3">
    <tableColumn id="1" xr3:uid="{C4F648E0-8E85-452E-94F9-5E751A01394E}" name="Wyszczególnienie" dataDxfId="13"/>
    <tableColumn id="2" xr3:uid="{A2DD5A5D-76F4-4F00-B8CF-5961E1CB954D}" name="Odchylenie standardowe" dataDxfId="12"/>
    <tableColumn id="3" xr3:uid="{1FEA8C93-693A-4A66-AF4C-DE5EFFC778E0}" name="Stopa zwrotu" dataDxfId="11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64A5-CF4A-4A34-8E49-E8CDEE35A479}">
  <dimension ref="A1:L46"/>
  <sheetViews>
    <sheetView zoomScale="90" zoomScaleNormal="90" workbookViewId="0">
      <selection activeCell="A24" sqref="A24:A45"/>
    </sheetView>
  </sheetViews>
  <sheetFormatPr defaultRowHeight="15" x14ac:dyDescent="0.25"/>
  <cols>
    <col min="1" max="1" width="13.28515625" customWidth="1"/>
    <col min="2" max="2" width="13.5703125" bestFit="1" customWidth="1"/>
    <col min="3" max="3" width="20.7109375" customWidth="1"/>
    <col min="4" max="4" width="27.85546875" customWidth="1"/>
    <col min="5" max="5" width="27.5703125" customWidth="1"/>
    <col min="6" max="6" width="22.5703125" customWidth="1"/>
    <col min="7" max="7" width="11.140625" customWidth="1"/>
    <col min="8" max="8" width="14.42578125" customWidth="1"/>
    <col min="9" max="9" width="23.5703125" customWidth="1"/>
    <col min="10" max="10" width="24.7109375" customWidth="1"/>
    <col min="11" max="11" width="31.85546875" customWidth="1"/>
    <col min="12" max="12" width="24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10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1">
        <v>45508</v>
      </c>
      <c r="B2">
        <v>48.8</v>
      </c>
      <c r="C2">
        <v>0</v>
      </c>
      <c r="D2">
        <v>0</v>
      </c>
      <c r="E2">
        <v>5.165</v>
      </c>
      <c r="F2">
        <v>0</v>
      </c>
      <c r="G2">
        <v>81648.83</v>
      </c>
      <c r="H2">
        <v>0</v>
      </c>
      <c r="I2">
        <f>FIO_PL[[#This Row],[Stopa WIG]]*100%</f>
        <v>0</v>
      </c>
      <c r="J2">
        <f>MIN(0,(FIO_PL[[#This Row],[Logarytmiczna stopa zwrotu]]-0))</f>
        <v>0</v>
      </c>
      <c r="K2">
        <f>MIN(0,(FIO_PL[[#This Row],[Rynkowa stopa zwrotu]]-0))</f>
        <v>0</v>
      </c>
      <c r="L2">
        <f>MAX(0,(FIO_PL[[#This Row],[Logarytmiczna stopa zwrotu]]-0))</f>
        <v>0</v>
      </c>
    </row>
    <row r="3" spans="1:12" x14ac:dyDescent="0.25">
      <c r="A3" s="1">
        <v>45515</v>
      </c>
      <c r="B3">
        <v>47.7</v>
      </c>
      <c r="C3">
        <f>((FIO_PL[[#This Row],[Cena]]-B2)/FIO_PL[[#This Row],[Cena]])*100</f>
        <v>-2.3060796645702184</v>
      </c>
      <c r="D3">
        <f>LN(FIO_PL[[#This Row],[Cena]]/B2)*100</f>
        <v>-2.2798914964805785</v>
      </c>
      <c r="E3">
        <v>5.2169999999999996</v>
      </c>
      <c r="F3">
        <f>LN(FIO_PL[[#This Row],[Instrument wolny od ryzyka]]/E2)*100</f>
        <v>1.0017421468653662</v>
      </c>
      <c r="G3">
        <v>79603.179999999993</v>
      </c>
      <c r="H3">
        <f>LN(FIO_PL[[#This Row],[WIG]]/G2)*100</f>
        <v>-2.5373448057704686</v>
      </c>
      <c r="I3">
        <f>FIO_PL[[#This Row],[Stopa WIG]]*100%</f>
        <v>-2.5373448057704686</v>
      </c>
      <c r="J3">
        <f>MIN(0,(FIO_PL[[#This Row],[Logarytmiczna stopa zwrotu]]-0))</f>
        <v>-2.2798914964805785</v>
      </c>
      <c r="K3">
        <f>MIN(0,(FIO_PL[[#This Row],[Rynkowa stopa zwrotu]]-0))</f>
        <v>-2.5373448057704686</v>
      </c>
      <c r="L3">
        <f>MAX(0,(FIO_PL[[#This Row],[Logarytmiczna stopa zwrotu]]-0))</f>
        <v>0</v>
      </c>
    </row>
    <row r="4" spans="1:12" x14ac:dyDescent="0.25">
      <c r="A4" s="1">
        <v>45522</v>
      </c>
      <c r="B4">
        <v>50.66</v>
      </c>
      <c r="C4">
        <f>((FIO_PL[[#This Row],[Cena]]-B3)/FIO_PL[[#This Row],[Cena]])*100</f>
        <v>5.842874062376616</v>
      </c>
      <c r="D4">
        <f>LN(FIO_PL[[#This Row],[Cena]]/B3)*100</f>
        <v>6.0205246679233477</v>
      </c>
      <c r="E4">
        <v>5.3150000000000004</v>
      </c>
      <c r="F4">
        <f>LN(FIO_PL[[#This Row],[Instrument wolny od ryzyka]]/E3)*100</f>
        <v>1.8610487753655796</v>
      </c>
      <c r="G4">
        <v>84690.74</v>
      </c>
      <c r="H4">
        <f>LN(FIO_PL[[#This Row],[WIG]]/G3)*100</f>
        <v>6.1952226843661986</v>
      </c>
      <c r="I4">
        <f>FIO_PL[[#This Row],[Stopa WIG]]*100%</f>
        <v>6.1952226843661986</v>
      </c>
      <c r="J4">
        <f>MIN(0,(FIO_PL[[#This Row],[Logarytmiczna stopa zwrotu]]-0))</f>
        <v>0</v>
      </c>
      <c r="K4">
        <f>MIN(0,(FIO_PL[[#This Row],[Rynkowa stopa zwrotu]]-0))</f>
        <v>0</v>
      </c>
      <c r="L4">
        <f>MAX(0,(FIO_PL[[#This Row],[Logarytmiczna stopa zwrotu]]-0))</f>
        <v>6.0205246679233477</v>
      </c>
    </row>
    <row r="5" spans="1:12" x14ac:dyDescent="0.25">
      <c r="A5" s="1">
        <v>45529</v>
      </c>
      <c r="B5">
        <v>50.21</v>
      </c>
      <c r="C5">
        <f>((FIO_PL[[#This Row],[Cena]]-B4)/FIO_PL[[#This Row],[Cena]])*100</f>
        <v>-0.89623580959967275</v>
      </c>
      <c r="D5">
        <f>LN(FIO_PL[[#This Row],[Cena]]/B4)*100</f>
        <v>-0.89224345269148986</v>
      </c>
      <c r="E5">
        <v>5.2990000000000004</v>
      </c>
      <c r="F5">
        <f>LN(FIO_PL[[#This Row],[Instrument wolny od ryzyka]]/E4)*100</f>
        <v>-0.301488828328626</v>
      </c>
      <c r="G5">
        <v>84158.33</v>
      </c>
      <c r="H5">
        <f>LN(FIO_PL[[#This Row],[WIG]]/G4)*100</f>
        <v>-0.63063630081447597</v>
      </c>
      <c r="I5">
        <f>FIO_PL[[#This Row],[Stopa WIG]]*100%</f>
        <v>-0.63063630081447597</v>
      </c>
      <c r="J5">
        <f>MIN(0,(FIO_PL[[#This Row],[Logarytmiczna stopa zwrotu]]-0))</f>
        <v>-0.89224345269148986</v>
      </c>
      <c r="K5">
        <f>MIN(0,(FIO_PL[[#This Row],[Rynkowa stopa zwrotu]]-0))</f>
        <v>-0.63063630081447597</v>
      </c>
      <c r="L5">
        <f>MAX(0,(FIO_PL[[#This Row],[Logarytmiczna stopa zwrotu]]-0))</f>
        <v>0</v>
      </c>
    </row>
    <row r="6" spans="1:12" x14ac:dyDescent="0.25">
      <c r="A6" s="1">
        <v>45536</v>
      </c>
      <c r="B6">
        <v>50.6</v>
      </c>
      <c r="C6">
        <f>((FIO_PL[[#This Row],[Cena]]-B5)/FIO_PL[[#This Row],[Cena]])*100</f>
        <v>0.77075098814229359</v>
      </c>
      <c r="D6">
        <f>LN(FIO_PL[[#This Row],[Cena]]/B5)*100</f>
        <v>0.77373662468056781</v>
      </c>
      <c r="E6">
        <v>5.4219999999999997</v>
      </c>
      <c r="F6">
        <f>LN(FIO_PL[[#This Row],[Instrument wolny od ryzyka]]/E5)*100</f>
        <v>2.2946627565848541</v>
      </c>
      <c r="G6">
        <v>84868.25</v>
      </c>
      <c r="H6">
        <f>LN(FIO_PL[[#This Row],[WIG]]/G5)*100</f>
        <v>0.84001483609518857</v>
      </c>
      <c r="I6">
        <f>FIO_PL[[#This Row],[Stopa WIG]]*100%</f>
        <v>0.84001483609518857</v>
      </c>
      <c r="J6">
        <f>MIN(0,(FIO_PL[[#This Row],[Logarytmiczna stopa zwrotu]]-0))</f>
        <v>0</v>
      </c>
      <c r="K6">
        <f>MIN(0,(FIO_PL[[#This Row],[Rynkowa stopa zwrotu]]-0))</f>
        <v>0</v>
      </c>
      <c r="L6">
        <f>MAX(0,(FIO_PL[[#This Row],[Logarytmiczna stopa zwrotu]]-0))</f>
        <v>0.77373662468056781</v>
      </c>
    </row>
    <row r="7" spans="1:12" x14ac:dyDescent="0.25">
      <c r="A7" s="1">
        <v>45543</v>
      </c>
      <c r="B7">
        <v>48.65</v>
      </c>
      <c r="C7">
        <f>((FIO_PL[[#This Row],[Cena]]-B6)/FIO_PL[[#This Row],[Cena]])*100</f>
        <v>-4.0082219938335104</v>
      </c>
      <c r="D7">
        <f>LN(FIO_PL[[#This Row],[Cena]]/B6)*100</f>
        <v>-3.9299767661405909</v>
      </c>
      <c r="E7">
        <v>5.258</v>
      </c>
      <c r="F7">
        <f>LN(FIO_PL[[#This Row],[Instrument wolny od ryzyka]]/E6)*100</f>
        <v>-3.0714024768784305</v>
      </c>
      <c r="G7">
        <v>81744.47</v>
      </c>
      <c r="H7">
        <f>LN(FIO_PL[[#This Row],[WIG]]/G6)*100</f>
        <v>-3.7501891768199869</v>
      </c>
      <c r="I7">
        <f>FIO_PL[[#This Row],[Stopa WIG]]*100%</f>
        <v>-3.7501891768199869</v>
      </c>
      <c r="J7">
        <f>MIN(0,(FIO_PL[[#This Row],[Logarytmiczna stopa zwrotu]]-0))</f>
        <v>-3.9299767661405909</v>
      </c>
      <c r="K7">
        <f>MIN(0,(FIO_PL[[#This Row],[Rynkowa stopa zwrotu]]-0))</f>
        <v>-3.7501891768199869</v>
      </c>
      <c r="L7">
        <f>MAX(0,(FIO_PL[[#This Row],[Logarytmiczna stopa zwrotu]]-0))</f>
        <v>0</v>
      </c>
    </row>
    <row r="8" spans="1:12" x14ac:dyDescent="0.25">
      <c r="A8" s="1">
        <v>45550</v>
      </c>
      <c r="B8">
        <v>49.07</v>
      </c>
      <c r="C8">
        <f>((FIO_PL[[#This Row],[Cena]]-B7)/FIO_PL[[#This Row],[Cena]])*100</f>
        <v>0.85592011412268543</v>
      </c>
      <c r="D8">
        <f>LN(FIO_PL[[#This Row],[Cena]]/B7)*100</f>
        <v>0.85960414697980381</v>
      </c>
      <c r="E8">
        <v>5.2510000000000003</v>
      </c>
      <c r="F8">
        <f>LN(FIO_PL[[#This Row],[Instrument wolny od ryzyka]]/E7)*100</f>
        <v>-0.13321916519672172</v>
      </c>
      <c r="G8">
        <v>82302.58</v>
      </c>
      <c r="H8">
        <f>LN(FIO_PL[[#This Row],[WIG]]/G7)*100</f>
        <v>0.68042936864627257</v>
      </c>
      <c r="I8">
        <f>FIO_PL[[#This Row],[Stopa WIG]]*100%</f>
        <v>0.68042936864627257</v>
      </c>
      <c r="J8">
        <f>MIN(0,(FIO_PL[[#This Row],[Logarytmiczna stopa zwrotu]]-0))</f>
        <v>0</v>
      </c>
      <c r="K8">
        <f>MIN(0,(FIO_PL[[#This Row],[Rynkowa stopa zwrotu]]-0))</f>
        <v>0</v>
      </c>
      <c r="L8">
        <f>MAX(0,(FIO_PL[[#This Row],[Logarytmiczna stopa zwrotu]]-0))</f>
        <v>0.85960414697980381</v>
      </c>
    </row>
    <row r="9" spans="1:12" x14ac:dyDescent="0.25">
      <c r="A9" s="1">
        <v>45557</v>
      </c>
      <c r="B9">
        <v>48.84</v>
      </c>
      <c r="C9">
        <f>((FIO_PL[[#This Row],[Cena]]-B8)/FIO_PL[[#This Row],[Cena]])*100</f>
        <v>-0.4709254709254645</v>
      </c>
      <c r="D9">
        <f>LN(FIO_PL[[#This Row],[Cena]]/B8)*100</f>
        <v>-0.46982008593079844</v>
      </c>
      <c r="E9">
        <v>5.3550000000000004</v>
      </c>
      <c r="F9">
        <f>LN(FIO_PL[[#This Row],[Instrument wolny od ryzyka]]/E8)*100</f>
        <v>1.9612169243989883</v>
      </c>
      <c r="G9">
        <v>81759.710000000006</v>
      </c>
      <c r="H9">
        <f>LN(FIO_PL[[#This Row],[WIG]]/G8)*100</f>
        <v>-0.66178764334710349</v>
      </c>
      <c r="I9">
        <f>FIO_PL[[#This Row],[Stopa WIG]]*100%</f>
        <v>-0.66178764334710349</v>
      </c>
      <c r="J9">
        <f>MIN(0,(FIO_PL[[#This Row],[Logarytmiczna stopa zwrotu]]-0))</f>
        <v>-0.46982008593079844</v>
      </c>
      <c r="K9">
        <f>MIN(0,(FIO_PL[[#This Row],[Rynkowa stopa zwrotu]]-0))</f>
        <v>-0.66178764334710349</v>
      </c>
      <c r="L9">
        <f>MAX(0,(FIO_PL[[#This Row],[Logarytmiczna stopa zwrotu]]-0))</f>
        <v>0</v>
      </c>
    </row>
    <row r="10" spans="1:12" x14ac:dyDescent="0.25">
      <c r="A10" s="1">
        <v>45564</v>
      </c>
      <c r="B10">
        <v>50.88</v>
      </c>
      <c r="C10">
        <f>((FIO_PL[[#This Row],[Cena]]-B9)/FIO_PL[[#This Row],[Cena]])*100</f>
        <v>4.0094339622641497</v>
      </c>
      <c r="D10">
        <f>LN(FIO_PL[[#This Row],[Cena]]/B9)*100</f>
        <v>4.0920269789362731</v>
      </c>
      <c r="E10">
        <v>5.2389999999999999</v>
      </c>
      <c r="F10">
        <f>LN(FIO_PL[[#This Row],[Instrument wolny od ryzyka]]/E9)*100</f>
        <v>-2.1900063473629574</v>
      </c>
      <c r="G10">
        <v>84947.19</v>
      </c>
      <c r="H10">
        <f>LN(FIO_PL[[#This Row],[WIG]]/G9)*100</f>
        <v>3.8245189807128668</v>
      </c>
      <c r="I10">
        <f>FIO_PL[[#This Row],[Stopa WIG]]*100%</f>
        <v>3.8245189807128668</v>
      </c>
      <c r="J10">
        <f>MIN(0,(FIO_PL[[#This Row],[Logarytmiczna stopa zwrotu]]-0))</f>
        <v>0</v>
      </c>
      <c r="K10">
        <f>MIN(0,(FIO_PL[[#This Row],[Rynkowa stopa zwrotu]]-0))</f>
        <v>0</v>
      </c>
      <c r="L10">
        <f>MAX(0,(FIO_PL[[#This Row],[Logarytmiczna stopa zwrotu]]-0))</f>
        <v>4.0920269789362731</v>
      </c>
    </row>
    <row r="11" spans="1:12" x14ac:dyDescent="0.25">
      <c r="A11" s="1">
        <v>45571</v>
      </c>
      <c r="B11">
        <v>49.35</v>
      </c>
      <c r="C11">
        <f>((FIO_PL[[#This Row],[Cena]]-B10)/FIO_PL[[#This Row],[Cena]])*100</f>
        <v>-3.100303951367783</v>
      </c>
      <c r="D11">
        <f>LN(FIO_PL[[#This Row],[Cena]]/B10)*100</f>
        <v>-3.0532153152376158</v>
      </c>
      <c r="E11">
        <v>5.4080000000000004</v>
      </c>
      <c r="F11">
        <f>LN(FIO_PL[[#This Row],[Instrument wolny od ryzyka]]/E10)*100</f>
        <v>3.1748698314580484</v>
      </c>
      <c r="G11">
        <v>82010.86</v>
      </c>
      <c r="H11">
        <f>LN(FIO_PL[[#This Row],[WIG]]/G10)*100</f>
        <v>-3.5178091770130608</v>
      </c>
      <c r="I11">
        <f>FIO_PL[[#This Row],[Stopa WIG]]*100%</f>
        <v>-3.5178091770130608</v>
      </c>
      <c r="J11">
        <f>MIN(0,(FIO_PL[[#This Row],[Logarytmiczna stopa zwrotu]]-0))</f>
        <v>-3.0532153152376158</v>
      </c>
      <c r="K11">
        <f>MIN(0,(FIO_PL[[#This Row],[Rynkowa stopa zwrotu]]-0))</f>
        <v>-3.5178091770130608</v>
      </c>
      <c r="L11">
        <f>MAX(0,(FIO_PL[[#This Row],[Logarytmiczna stopa zwrotu]]-0))</f>
        <v>0</v>
      </c>
    </row>
    <row r="12" spans="1:12" x14ac:dyDescent="0.25">
      <c r="A12" s="1">
        <v>45578</v>
      </c>
      <c r="B12">
        <v>50.01</v>
      </c>
      <c r="C12">
        <f>((FIO_PL[[#This Row],[Cena]]-B11)/FIO_PL[[#This Row],[Cena]])*100</f>
        <v>1.3197360527894353</v>
      </c>
      <c r="D12">
        <f>LN(FIO_PL[[#This Row],[Cena]]/B11)*100</f>
        <v>1.3285219551321661</v>
      </c>
      <c r="E12">
        <v>5.548</v>
      </c>
      <c r="F12">
        <f>LN(FIO_PL[[#This Row],[Instrument wolny od ryzyka]]/E11)*100</f>
        <v>2.5558163711922184</v>
      </c>
      <c r="G12">
        <v>83455.17</v>
      </c>
      <c r="H12">
        <f>LN(FIO_PL[[#This Row],[WIG]]/G11)*100</f>
        <v>1.7457923934878101</v>
      </c>
      <c r="I12">
        <f>FIO_PL[[#This Row],[Stopa WIG]]*100%</f>
        <v>1.7457923934878101</v>
      </c>
      <c r="J12">
        <f>MIN(0,(FIO_PL[[#This Row],[Logarytmiczna stopa zwrotu]]-0))</f>
        <v>0</v>
      </c>
      <c r="K12">
        <f>MIN(0,(FIO_PL[[#This Row],[Rynkowa stopa zwrotu]]-0))</f>
        <v>0</v>
      </c>
      <c r="L12">
        <f>MAX(0,(FIO_PL[[#This Row],[Logarytmiczna stopa zwrotu]]-0))</f>
        <v>1.3285219551321661</v>
      </c>
    </row>
    <row r="13" spans="1:12" x14ac:dyDescent="0.25">
      <c r="A13" s="1">
        <v>45585</v>
      </c>
      <c r="B13">
        <v>49.58</v>
      </c>
      <c r="C13">
        <f>((FIO_PL[[#This Row],[Cena]]-B12)/FIO_PL[[#This Row],[Cena]])*100</f>
        <v>-0.86728519564340401</v>
      </c>
      <c r="D13">
        <f>LN(FIO_PL[[#This Row],[Cena]]/B12)*100</f>
        <v>-0.86354588237678409</v>
      </c>
      <c r="E13">
        <v>5.5810000000000004</v>
      </c>
      <c r="F13">
        <f>LN(FIO_PL[[#This Row],[Instrument wolny od ryzyka]]/E12)*100</f>
        <v>0.5930469353711405</v>
      </c>
      <c r="G13">
        <v>82650.039999999994</v>
      </c>
      <c r="H13">
        <f>LN(FIO_PL[[#This Row],[WIG]]/G12)*100</f>
        <v>-0.96942932187900954</v>
      </c>
      <c r="I13">
        <f>FIO_PL[[#This Row],[Stopa WIG]]*100%</f>
        <v>-0.96942932187900954</v>
      </c>
      <c r="J13">
        <f>MIN(0,(FIO_PL[[#This Row],[Logarytmiczna stopa zwrotu]]-0))</f>
        <v>-0.86354588237678409</v>
      </c>
      <c r="K13">
        <f>MIN(0,(FIO_PL[[#This Row],[Rynkowa stopa zwrotu]]-0))</f>
        <v>-0.96942932187900954</v>
      </c>
      <c r="L13">
        <f>MAX(0,(FIO_PL[[#This Row],[Logarytmiczna stopa zwrotu]]-0))</f>
        <v>0</v>
      </c>
    </row>
    <row r="14" spans="1:12" x14ac:dyDescent="0.25">
      <c r="A14" s="1">
        <v>45592</v>
      </c>
      <c r="B14">
        <v>48.58</v>
      </c>
      <c r="C14">
        <f>((FIO_PL[[#This Row],[Cena]]-B13)/FIO_PL[[#This Row],[Cena]])*100</f>
        <v>-2.0584602717167559</v>
      </c>
      <c r="D14">
        <f>LN(FIO_PL[[#This Row],[Cena]]/B13)*100</f>
        <v>-2.0375603033017993</v>
      </c>
      <c r="E14">
        <v>5.7779999999999996</v>
      </c>
      <c r="F14">
        <f>LN(FIO_PL[[#This Row],[Instrument wolny od ryzyka]]/E13)*100</f>
        <v>3.4689630237746836</v>
      </c>
      <c r="G14">
        <v>80755.53</v>
      </c>
      <c r="H14">
        <f>LN(FIO_PL[[#This Row],[WIG]]/G13)*100</f>
        <v>-2.3188865505407614</v>
      </c>
      <c r="I14">
        <f>FIO_PL[[#This Row],[Stopa WIG]]*100%</f>
        <v>-2.3188865505407614</v>
      </c>
      <c r="J14">
        <f>MIN(0,(FIO_PL[[#This Row],[Logarytmiczna stopa zwrotu]]-0))</f>
        <v>-2.0375603033017993</v>
      </c>
      <c r="K14">
        <f>MIN(0,(FIO_PL[[#This Row],[Rynkowa stopa zwrotu]]-0))</f>
        <v>-2.3188865505407614</v>
      </c>
      <c r="L14">
        <f>MAX(0,(FIO_PL[[#This Row],[Logarytmiczna stopa zwrotu]]-0))</f>
        <v>0</v>
      </c>
    </row>
    <row r="15" spans="1:12" x14ac:dyDescent="0.25">
      <c r="A15" s="1">
        <v>45599</v>
      </c>
      <c r="B15">
        <v>47.86</v>
      </c>
      <c r="C15">
        <f>((FIO_PL[[#This Row],[Cena]]-B14)/FIO_PL[[#This Row],[Cena]])*100</f>
        <v>-1.5043877977434161</v>
      </c>
      <c r="D15">
        <f>LN(FIO_PL[[#This Row],[Cena]]/B14)*100</f>
        <v>-1.4931841093799181</v>
      </c>
      <c r="E15">
        <v>5.9630000000000001</v>
      </c>
      <c r="F15">
        <f>LN(FIO_PL[[#This Row],[Instrument wolny od ryzyka]]/E14)*100</f>
        <v>3.1516108096925386</v>
      </c>
      <c r="G15">
        <v>79550.320000000007</v>
      </c>
      <c r="H15">
        <f>LN(FIO_PL[[#This Row],[WIG]]/G14)*100</f>
        <v>-1.5036665327066834</v>
      </c>
      <c r="I15">
        <f>FIO_PL[[#This Row],[Stopa WIG]]*100%</f>
        <v>-1.5036665327066834</v>
      </c>
      <c r="J15">
        <f>MIN(0,(FIO_PL[[#This Row],[Logarytmiczna stopa zwrotu]]-0))</f>
        <v>-1.4931841093799181</v>
      </c>
      <c r="K15">
        <f>MIN(0,(FIO_PL[[#This Row],[Rynkowa stopa zwrotu]]-0))</f>
        <v>-1.5036665327066834</v>
      </c>
      <c r="L15">
        <f>MAX(0,(FIO_PL[[#This Row],[Logarytmiczna stopa zwrotu]]-0))</f>
        <v>0</v>
      </c>
    </row>
    <row r="16" spans="1:12" x14ac:dyDescent="0.25">
      <c r="A16" s="1">
        <v>45606</v>
      </c>
      <c r="B16">
        <v>49.5</v>
      </c>
      <c r="C16">
        <f>((FIO_PL[[#This Row],[Cena]]-B15)/FIO_PL[[#This Row],[Cena]])*100</f>
        <v>3.3131313131313145</v>
      </c>
      <c r="D16">
        <f>LN(FIO_PL[[#This Row],[Cena]]/B15)*100</f>
        <v>3.3692587094417332</v>
      </c>
      <c r="E16">
        <v>5.6589999999999998</v>
      </c>
      <c r="F16">
        <f>LN(FIO_PL[[#This Row],[Instrument wolny od ryzyka]]/E15)*100</f>
        <v>-5.232651198058214</v>
      </c>
      <c r="G16">
        <v>82250.2</v>
      </c>
      <c r="H16">
        <f>LN(FIO_PL[[#This Row],[WIG]]/G15)*100</f>
        <v>3.3376043850483463</v>
      </c>
      <c r="I16">
        <f>FIO_PL[[#This Row],[Stopa WIG]]*100%</f>
        <v>3.3376043850483463</v>
      </c>
      <c r="J16">
        <f>MIN(0,(FIO_PL[[#This Row],[Logarytmiczna stopa zwrotu]]-0))</f>
        <v>0</v>
      </c>
      <c r="K16">
        <f>MIN(0,(FIO_PL[[#This Row],[Rynkowa stopa zwrotu]]-0))</f>
        <v>0</v>
      </c>
      <c r="L16">
        <f>MAX(0,(FIO_PL[[#This Row],[Logarytmiczna stopa zwrotu]]-0))</f>
        <v>3.3692587094417332</v>
      </c>
    </row>
    <row r="17" spans="1:12" x14ac:dyDescent="0.25">
      <c r="A17" s="1">
        <v>45613</v>
      </c>
      <c r="B17">
        <v>47.93</v>
      </c>
      <c r="C17">
        <f>((FIO_PL[[#This Row],[Cena]]-B16)/FIO_PL[[#This Row],[Cena]])*100</f>
        <v>-3.2756102649697478</v>
      </c>
      <c r="D17">
        <f>LN(FIO_PL[[#This Row],[Cena]]/B16)*100</f>
        <v>-3.2231056403104681</v>
      </c>
      <c r="E17">
        <v>5.6950000000000003</v>
      </c>
      <c r="F17">
        <f>LN(FIO_PL[[#This Row],[Instrument wolny od ryzyka]]/E16)*100</f>
        <v>0.63413987387586768</v>
      </c>
      <c r="G17">
        <v>79330.679999999993</v>
      </c>
      <c r="H17">
        <f>LN(FIO_PL[[#This Row],[WIG]]/G16)*100</f>
        <v>-3.6140882187562555</v>
      </c>
      <c r="I17">
        <f>FIO_PL[[#This Row],[Stopa WIG]]*100%</f>
        <v>-3.6140882187562555</v>
      </c>
      <c r="J17">
        <f>MIN(0,(FIO_PL[[#This Row],[Logarytmiczna stopa zwrotu]]-0))</f>
        <v>-3.2231056403104681</v>
      </c>
      <c r="K17">
        <f>MIN(0,(FIO_PL[[#This Row],[Rynkowa stopa zwrotu]]-0))</f>
        <v>-3.6140882187562555</v>
      </c>
      <c r="L17">
        <f>MAX(0,(FIO_PL[[#This Row],[Logarytmiczna stopa zwrotu]]-0))</f>
        <v>0</v>
      </c>
    </row>
    <row r="18" spans="1:12" x14ac:dyDescent="0.25">
      <c r="A18" s="1">
        <v>45620</v>
      </c>
      <c r="B18">
        <v>48.14</v>
      </c>
      <c r="C18">
        <f>((FIO_PL[[#This Row],[Cena]]-B17)/FIO_PL[[#This Row],[Cena]])*100</f>
        <v>0.43622766929788298</v>
      </c>
      <c r="D18">
        <f>LN(FIO_PL[[#This Row],[Cena]]/B17)*100</f>
        <v>0.43718191833859876</v>
      </c>
      <c r="E18">
        <v>5.5750000000000002</v>
      </c>
      <c r="F18">
        <f>LN(FIO_PL[[#This Row],[Instrument wolny od ryzyka]]/E17)*100</f>
        <v>-2.1296279552963053</v>
      </c>
      <c r="G18">
        <v>79492.14</v>
      </c>
      <c r="H18">
        <f>LN(FIO_PL[[#This Row],[WIG]]/G17)*100</f>
        <v>0.20332097820980446</v>
      </c>
      <c r="I18">
        <f>FIO_PL[[#This Row],[Stopa WIG]]*100%</f>
        <v>0.20332097820980446</v>
      </c>
      <c r="J18">
        <f>MIN(0,(FIO_PL[[#This Row],[Logarytmiczna stopa zwrotu]]-0))</f>
        <v>0</v>
      </c>
      <c r="K18">
        <f>MIN(0,(FIO_PL[[#This Row],[Rynkowa stopa zwrotu]]-0))</f>
        <v>0</v>
      </c>
      <c r="L18">
        <f>MAX(0,(FIO_PL[[#This Row],[Logarytmiczna stopa zwrotu]]-0))</f>
        <v>0.43718191833859876</v>
      </c>
    </row>
    <row r="19" spans="1:12" x14ac:dyDescent="0.25">
      <c r="A19" s="1">
        <v>45627</v>
      </c>
      <c r="B19">
        <v>48.05</v>
      </c>
      <c r="C19">
        <f>((FIO_PL[[#This Row],[Cena]]-B18)/FIO_PL[[#This Row],[Cena]])*100</f>
        <v>-0.18730489073882084</v>
      </c>
      <c r="D19">
        <f>LN(FIO_PL[[#This Row],[Cena]]/B18)*100</f>
        <v>-0.18712969386245165</v>
      </c>
      <c r="E19">
        <v>5.516</v>
      </c>
      <c r="F19">
        <f>LN(FIO_PL[[#This Row],[Instrument wolny od ryzyka]]/E18)*100</f>
        <v>-1.0639357415127135</v>
      </c>
      <c r="G19">
        <v>79369.820000000007</v>
      </c>
      <c r="H19">
        <f>LN(FIO_PL[[#This Row],[WIG]]/G18)*100</f>
        <v>-0.15399536071825495</v>
      </c>
      <c r="I19">
        <f>FIO_PL[[#This Row],[Stopa WIG]]*100%</f>
        <v>-0.15399536071825495</v>
      </c>
      <c r="J19">
        <f>MIN(0,(FIO_PL[[#This Row],[Logarytmiczna stopa zwrotu]]-0))</f>
        <v>-0.18712969386245165</v>
      </c>
      <c r="K19">
        <f>MIN(0,(FIO_PL[[#This Row],[Rynkowa stopa zwrotu]]-0))</f>
        <v>-0.15399536071825495</v>
      </c>
      <c r="L19">
        <f>MAX(0,(FIO_PL[[#This Row],[Logarytmiczna stopa zwrotu]]-0))</f>
        <v>0</v>
      </c>
    </row>
    <row r="20" spans="1:12" x14ac:dyDescent="0.25">
      <c r="A20" s="1">
        <v>45634</v>
      </c>
      <c r="B20">
        <v>49.93</v>
      </c>
      <c r="C20">
        <f>((FIO_PL[[#This Row],[Cena]]-B19)/FIO_PL[[#This Row],[Cena]])*100</f>
        <v>3.7652713799319102</v>
      </c>
      <c r="D20">
        <f>LN(FIO_PL[[#This Row],[Cena]]/B19)*100</f>
        <v>3.8379889096216444</v>
      </c>
      <c r="E20">
        <v>5.633</v>
      </c>
      <c r="F20">
        <f>LN(FIO_PL[[#This Row],[Instrument wolny od ryzyka]]/E19)*100</f>
        <v>2.0989199981521436</v>
      </c>
      <c r="G20">
        <v>82860.19</v>
      </c>
      <c r="H20">
        <f>LN(FIO_PL[[#This Row],[WIG]]/G19)*100</f>
        <v>4.3036534430185291</v>
      </c>
      <c r="I20">
        <f>FIO_PL[[#This Row],[Stopa WIG]]*100%</f>
        <v>4.3036534430185291</v>
      </c>
      <c r="J20">
        <f>MIN(0,(FIO_PL[[#This Row],[Logarytmiczna stopa zwrotu]]-0))</f>
        <v>0</v>
      </c>
      <c r="K20">
        <f>MIN(0,(FIO_PL[[#This Row],[Rynkowa stopa zwrotu]]-0))</f>
        <v>0</v>
      </c>
      <c r="L20">
        <f>MAX(0,(FIO_PL[[#This Row],[Logarytmiczna stopa zwrotu]]-0))</f>
        <v>3.8379889096216444</v>
      </c>
    </row>
    <row r="21" spans="1:12" x14ac:dyDescent="0.25">
      <c r="A21" s="1">
        <v>45641</v>
      </c>
      <c r="B21">
        <v>49.36</v>
      </c>
      <c r="C21">
        <f>((FIO_PL[[#This Row],[Cena]]-B20)/FIO_PL[[#This Row],[Cena]])*100</f>
        <v>-1.1547811993517023</v>
      </c>
      <c r="D21">
        <f>LN(FIO_PL[[#This Row],[Cena]]/B20)*100</f>
        <v>-1.1481644915385569</v>
      </c>
      <c r="E21">
        <v>5.8</v>
      </c>
      <c r="F21">
        <f>LN(FIO_PL[[#This Row],[Instrument wolny od ryzyka]]/E20)*100</f>
        <v>2.9215757639796616</v>
      </c>
      <c r="G21">
        <v>81632.73</v>
      </c>
      <c r="H21">
        <f>LN(FIO_PL[[#This Row],[WIG]]/G20)*100</f>
        <v>-1.4924445180048402</v>
      </c>
      <c r="I21">
        <f>FIO_PL[[#This Row],[Stopa WIG]]*100%</f>
        <v>-1.4924445180048402</v>
      </c>
      <c r="J21">
        <f>MIN(0,(FIO_PL[[#This Row],[Logarytmiczna stopa zwrotu]]-0))</f>
        <v>-1.1481644915385569</v>
      </c>
      <c r="K21">
        <f>MIN(0,(FIO_PL[[#This Row],[Rynkowa stopa zwrotu]]-0))</f>
        <v>-1.4924445180048402</v>
      </c>
      <c r="L21">
        <f>MAX(0,(FIO_PL[[#This Row],[Logarytmiczna stopa zwrotu]]-0))</f>
        <v>0</v>
      </c>
    </row>
    <row r="22" spans="1:12" x14ac:dyDescent="0.25">
      <c r="A22" s="1">
        <v>45648</v>
      </c>
      <c r="B22">
        <v>47.99</v>
      </c>
      <c r="C22">
        <f>((FIO_PL[[#This Row],[Cena]]-B21)/FIO_PL[[#This Row],[Cena]])*100</f>
        <v>-2.8547614086267918</v>
      </c>
      <c r="D22">
        <f>LN(FIO_PL[[#This Row],[Cena]]/B21)*100</f>
        <v>-2.8147723726978118</v>
      </c>
      <c r="E22">
        <v>5.8239999999999998</v>
      </c>
      <c r="F22">
        <f>LN(FIO_PL[[#This Row],[Instrument wolny od ryzyka]]/E21)*100</f>
        <v>0.41293933420111123</v>
      </c>
      <c r="G22">
        <v>79474.16</v>
      </c>
      <c r="H22">
        <f>LN(FIO_PL[[#This Row],[WIG]]/G21)*100</f>
        <v>-2.6798347111380969</v>
      </c>
      <c r="I22">
        <f>FIO_PL[[#This Row],[Stopa WIG]]*100%</f>
        <v>-2.6798347111380969</v>
      </c>
      <c r="J22">
        <f>MIN(0,(FIO_PL[[#This Row],[Logarytmiczna stopa zwrotu]]-0))</f>
        <v>-2.8147723726978118</v>
      </c>
      <c r="K22">
        <f>MIN(0,(FIO_PL[[#This Row],[Rynkowa stopa zwrotu]]-0))</f>
        <v>-2.6798347111380969</v>
      </c>
      <c r="L22">
        <f>MAX(0,(FIO_PL[[#This Row],[Logarytmiczna stopa zwrotu]]-0))</f>
        <v>0</v>
      </c>
    </row>
    <row r="23" spans="1:12" x14ac:dyDescent="0.25">
      <c r="A23" s="1">
        <v>45655</v>
      </c>
      <c r="B23">
        <v>48.14</v>
      </c>
      <c r="C23">
        <f>((FIO_PL[[#This Row],[Cena]]-B22)/FIO_PL[[#This Row],[Cena]])*100</f>
        <v>0.31159119235562649</v>
      </c>
      <c r="D23">
        <f>LN(FIO_PL[[#This Row],[Cena]]/B22)*100</f>
        <v>0.31207764847716757</v>
      </c>
      <c r="E23">
        <v>5.891</v>
      </c>
      <c r="F23">
        <f>LN(FIO_PL[[#This Row],[Instrument wolny od ryzyka]]/E22)*100</f>
        <v>1.1438451645165457</v>
      </c>
      <c r="G23">
        <v>79842.52</v>
      </c>
      <c r="H23">
        <f>LN(FIO_PL[[#This Row],[WIG]]/G22)*100</f>
        <v>0.4624257251780271</v>
      </c>
      <c r="I23">
        <f>FIO_PL[[#This Row],[Stopa WIG]]*100%</f>
        <v>0.4624257251780271</v>
      </c>
      <c r="J23">
        <f>MIN(0,(FIO_PL[[#This Row],[Logarytmiczna stopa zwrotu]]-0))</f>
        <v>0</v>
      </c>
      <c r="K23">
        <f>MIN(0,(FIO_PL[[#This Row],[Rynkowa stopa zwrotu]]-0))</f>
        <v>0</v>
      </c>
      <c r="L23">
        <f>MAX(0,(FIO_PL[[#This Row],[Logarytmiczna stopa zwrotu]]-0))</f>
        <v>0.31207764847716757</v>
      </c>
    </row>
    <row r="24" spans="1:12" x14ac:dyDescent="0.25">
      <c r="A24" s="1">
        <v>45662</v>
      </c>
      <c r="B24">
        <v>49.05</v>
      </c>
      <c r="C24">
        <f>((FIO_PL[[#This Row],[Cena]]-B23)/FIO_PL[[#This Row],[Cena]])*100</f>
        <v>1.8552497451579952</v>
      </c>
      <c r="D24">
        <f>LN(FIO_PL[[#This Row],[Cena]]/B23)*100</f>
        <v>1.872675365644606</v>
      </c>
      <c r="E24">
        <v>5.9160000000000004</v>
      </c>
      <c r="F24">
        <f>LN(FIO_PL[[#This Row],[Instrument wolny od ryzyka]]/E23)*100</f>
        <v>0.42347823090030562</v>
      </c>
      <c r="G24">
        <v>81444.58</v>
      </c>
      <c r="H24">
        <f>LN(FIO_PL[[#This Row],[WIG]]/G23)*100</f>
        <v>1.9866594310596724</v>
      </c>
      <c r="I24">
        <f>FIO_PL[[#This Row],[Stopa WIG]]*100%</f>
        <v>1.9866594310596724</v>
      </c>
      <c r="J24">
        <f>MIN(0,(FIO_PL[[#This Row],[Logarytmiczna stopa zwrotu]]-0))</f>
        <v>0</v>
      </c>
      <c r="K24">
        <f>MIN(0,(FIO_PL[[#This Row],[Rynkowa stopa zwrotu]]-0))</f>
        <v>0</v>
      </c>
      <c r="L24">
        <f>MAX(0,(FIO_PL[[#This Row],[Logarytmiczna stopa zwrotu]]-0))</f>
        <v>1.872675365644606</v>
      </c>
    </row>
    <row r="25" spans="1:12" x14ac:dyDescent="0.25">
      <c r="A25" s="1">
        <v>45669</v>
      </c>
      <c r="B25">
        <v>49.59</v>
      </c>
      <c r="C25">
        <f>((FIO_PL[[#This Row],[Cena]]-B24)/FIO_PL[[#This Row],[Cena]])*100</f>
        <v>1.0889292196007383</v>
      </c>
      <c r="D25">
        <f>LN(FIO_PL[[#This Row],[Cena]]/B24)*100</f>
        <v>1.0949014489670523</v>
      </c>
      <c r="E25">
        <v>6.0309999999999997</v>
      </c>
      <c r="F25">
        <f>LN(FIO_PL[[#This Row],[Instrument wolny od ryzyka]]/E24)*100</f>
        <v>1.9252289620296323</v>
      </c>
      <c r="G25">
        <v>82210.47</v>
      </c>
      <c r="H25">
        <f>LN(FIO_PL[[#This Row],[WIG]]/G24)*100</f>
        <v>0.93598772717972101</v>
      </c>
      <c r="I25">
        <f>FIO_PL[[#This Row],[Stopa WIG]]*100%</f>
        <v>0.93598772717972101</v>
      </c>
      <c r="J25">
        <f>MIN(0,(FIO_PL[[#This Row],[Logarytmiczna stopa zwrotu]]-0))</f>
        <v>0</v>
      </c>
      <c r="K25">
        <f>MIN(0,(FIO_PL[[#This Row],[Rynkowa stopa zwrotu]]-0))</f>
        <v>0</v>
      </c>
      <c r="L25">
        <f>MAX(0,(FIO_PL[[#This Row],[Logarytmiczna stopa zwrotu]]-0))</f>
        <v>1.0949014489670523</v>
      </c>
    </row>
    <row r="26" spans="1:12" x14ac:dyDescent="0.25">
      <c r="A26" s="1">
        <v>45676</v>
      </c>
      <c r="B26">
        <v>50.34</v>
      </c>
      <c r="C26">
        <f>((FIO_PL[[#This Row],[Cena]]-B25)/FIO_PL[[#This Row],[Cena]])*100</f>
        <v>1.4898688915375446</v>
      </c>
      <c r="D26">
        <f>LN(FIO_PL[[#This Row],[Cena]]/B25)*100</f>
        <v>1.5010789206127204</v>
      </c>
      <c r="E26">
        <v>5.8869999999999996</v>
      </c>
      <c r="F26">
        <f>LN(FIO_PL[[#This Row],[Instrument wolny od ryzyka]]/E25)*100</f>
        <v>-2.4166304422725462</v>
      </c>
      <c r="G26">
        <v>83676.42</v>
      </c>
      <c r="H26">
        <f>LN(FIO_PL[[#This Row],[WIG]]/G25)*100</f>
        <v>1.7674551160917102</v>
      </c>
      <c r="I26">
        <f>FIO_PL[[#This Row],[Stopa WIG]]*100%</f>
        <v>1.7674551160917102</v>
      </c>
      <c r="J26">
        <f>MIN(0,(FIO_PL[[#This Row],[Logarytmiczna stopa zwrotu]]-0))</f>
        <v>0</v>
      </c>
      <c r="K26">
        <f>MIN(0,(FIO_PL[[#This Row],[Rynkowa stopa zwrotu]]-0))</f>
        <v>0</v>
      </c>
      <c r="L26">
        <f>MAX(0,(FIO_PL[[#This Row],[Logarytmiczna stopa zwrotu]]-0))</f>
        <v>1.5010789206127204</v>
      </c>
    </row>
    <row r="27" spans="1:12" x14ac:dyDescent="0.25">
      <c r="A27" s="1">
        <v>45683</v>
      </c>
      <c r="B27">
        <v>51.53</v>
      </c>
      <c r="C27">
        <f>((FIO_PL[[#This Row],[Cena]]-B26)/FIO_PL[[#This Row],[Cena]])*100</f>
        <v>2.3093343683291243</v>
      </c>
      <c r="D27">
        <f>LN(FIO_PL[[#This Row],[Cena]]/B26)*100</f>
        <v>2.3364172632963056</v>
      </c>
      <c r="E27">
        <v>5.9160000000000004</v>
      </c>
      <c r="F27">
        <f>LN(FIO_PL[[#This Row],[Instrument wolny od ryzyka]]/E26)*100</f>
        <v>0.49140148024291624</v>
      </c>
      <c r="G27">
        <v>85840.78</v>
      </c>
      <c r="H27">
        <f>LN(FIO_PL[[#This Row],[WIG]]/G26)*100</f>
        <v>2.5536967579372076</v>
      </c>
      <c r="I27">
        <f>FIO_PL[[#This Row],[Stopa WIG]]*100%</f>
        <v>2.5536967579372076</v>
      </c>
      <c r="J27">
        <f>MIN(0,(FIO_PL[[#This Row],[Logarytmiczna stopa zwrotu]]-0))</f>
        <v>0</v>
      </c>
      <c r="K27">
        <f>MIN(0,(FIO_PL[[#This Row],[Rynkowa stopa zwrotu]]-0))</f>
        <v>0</v>
      </c>
      <c r="L27">
        <f>MAX(0,(FIO_PL[[#This Row],[Logarytmiczna stopa zwrotu]]-0))</f>
        <v>2.3364172632963056</v>
      </c>
    </row>
    <row r="28" spans="1:12" x14ac:dyDescent="0.25">
      <c r="A28" s="1">
        <v>45690</v>
      </c>
      <c r="B28">
        <v>52.37</v>
      </c>
      <c r="C28">
        <f>((FIO_PL[[#This Row],[Cena]]-B27)/FIO_PL[[#This Row],[Cena]])*100</f>
        <v>1.6039717395455344</v>
      </c>
      <c r="D28">
        <f>LN(FIO_PL[[#This Row],[Cena]]/B27)*100</f>
        <v>1.6169745951263355</v>
      </c>
      <c r="E28">
        <v>5.8330000000000002</v>
      </c>
      <c r="F28">
        <f>LN(FIO_PL[[#This Row],[Instrument wolny od ryzyka]]/E27)*100</f>
        <v>-1.4129097077052879</v>
      </c>
      <c r="G28">
        <v>87367.57</v>
      </c>
      <c r="H28">
        <f>LN(FIO_PL[[#This Row],[WIG]]/G27)*100</f>
        <v>1.7629976218810302</v>
      </c>
      <c r="I28">
        <f>FIO_PL[[#This Row],[Stopa WIG]]*100%</f>
        <v>1.7629976218810302</v>
      </c>
      <c r="J28">
        <f>MIN(0,(FIO_PL[[#This Row],[Logarytmiczna stopa zwrotu]]-0))</f>
        <v>0</v>
      </c>
      <c r="K28">
        <f>MIN(0,(FIO_PL[[#This Row],[Rynkowa stopa zwrotu]]-0))</f>
        <v>0</v>
      </c>
      <c r="L28">
        <f>MAX(0,(FIO_PL[[#This Row],[Logarytmiczna stopa zwrotu]]-0))</f>
        <v>1.6169745951263355</v>
      </c>
    </row>
    <row r="29" spans="1:12" x14ac:dyDescent="0.25">
      <c r="A29" s="1">
        <v>45697</v>
      </c>
      <c r="B29">
        <v>53.49</v>
      </c>
      <c r="C29">
        <f>((FIO_PL[[#This Row],[Cena]]-B28)/FIO_PL[[#This Row],[Cena]])*100</f>
        <v>2.0938493176294717</v>
      </c>
      <c r="D29">
        <f>LN(FIO_PL[[#This Row],[Cena]]/B28)*100</f>
        <v>2.1160812251762402</v>
      </c>
      <c r="E29">
        <v>5.8010000000000002</v>
      </c>
      <c r="F29">
        <f>LN(FIO_PL[[#This Row],[Instrument wolny od ryzyka]]/E28)*100</f>
        <v>-0.55011312875733431</v>
      </c>
      <c r="G29">
        <v>89150.14</v>
      </c>
      <c r="H29">
        <f>LN(FIO_PL[[#This Row],[WIG]]/G28)*100</f>
        <v>2.0197753522055062</v>
      </c>
      <c r="I29">
        <f>FIO_PL[[#This Row],[Stopa WIG]]*100%</f>
        <v>2.0197753522055062</v>
      </c>
      <c r="J29">
        <f>MIN(0,(FIO_PL[[#This Row],[Logarytmiczna stopa zwrotu]]-0))</f>
        <v>0</v>
      </c>
      <c r="K29">
        <f>MIN(0,(FIO_PL[[#This Row],[Rynkowa stopa zwrotu]]-0))</f>
        <v>0</v>
      </c>
      <c r="L29">
        <f>MAX(0,(FIO_PL[[#This Row],[Logarytmiczna stopa zwrotu]]-0))</f>
        <v>2.1160812251762402</v>
      </c>
    </row>
    <row r="30" spans="1:12" x14ac:dyDescent="0.25">
      <c r="A30" s="1">
        <v>45704</v>
      </c>
      <c r="B30">
        <v>54.92</v>
      </c>
      <c r="C30">
        <f>((FIO_PL[[#This Row],[Cena]]-B29)/FIO_PL[[#This Row],[Cena]])*100</f>
        <v>2.6037873270211209</v>
      </c>
      <c r="D30">
        <f>LN(FIO_PL[[#This Row],[Cena]]/B29)*100</f>
        <v>2.6382860356611539</v>
      </c>
      <c r="E30">
        <v>5.7460000000000004</v>
      </c>
      <c r="F30">
        <f>LN(FIO_PL[[#This Row],[Instrument wolny od ryzyka]]/E29)*100</f>
        <v>-0.95263559268293652</v>
      </c>
      <c r="G30">
        <v>91788.05</v>
      </c>
      <c r="H30">
        <f>LN(FIO_PL[[#This Row],[WIG]]/G29)*100</f>
        <v>2.9160200166192762</v>
      </c>
      <c r="I30">
        <f>FIO_PL[[#This Row],[Stopa WIG]]*100%</f>
        <v>2.9160200166192762</v>
      </c>
      <c r="J30">
        <f>MIN(0,(FIO_PL[[#This Row],[Logarytmiczna stopa zwrotu]]-0))</f>
        <v>0</v>
      </c>
      <c r="K30">
        <f>MIN(0,(FIO_PL[[#This Row],[Rynkowa stopa zwrotu]]-0))</f>
        <v>0</v>
      </c>
      <c r="L30">
        <f>MAX(0,(FIO_PL[[#This Row],[Logarytmiczna stopa zwrotu]]-0))</f>
        <v>2.6382860356611539</v>
      </c>
    </row>
    <row r="31" spans="1:12" x14ac:dyDescent="0.25">
      <c r="A31" s="1">
        <v>45711</v>
      </c>
      <c r="B31">
        <v>55.62</v>
      </c>
      <c r="C31">
        <f>((FIO_PL[[#This Row],[Cena]]-B30)/FIO_PL[[#This Row],[Cena]])*100</f>
        <v>1.2585400934915421</v>
      </c>
      <c r="D31">
        <f>LN(FIO_PL[[#This Row],[Cena]]/B30)*100</f>
        <v>1.2665267906048308</v>
      </c>
      <c r="E31">
        <v>5.8849999999999998</v>
      </c>
      <c r="F31">
        <f>LN(FIO_PL[[#This Row],[Instrument wolny od ryzyka]]/E30)*100</f>
        <v>2.3902780155142014</v>
      </c>
      <c r="G31">
        <v>93117.48</v>
      </c>
      <c r="H31">
        <f>LN(FIO_PL[[#This Row],[WIG]]/G30)*100</f>
        <v>1.4379806900181613</v>
      </c>
      <c r="I31">
        <f>FIO_PL[[#This Row],[Stopa WIG]]*100%</f>
        <v>1.4379806900181613</v>
      </c>
      <c r="J31">
        <f>MIN(0,(FIO_PL[[#This Row],[Logarytmiczna stopa zwrotu]]-0))</f>
        <v>0</v>
      </c>
      <c r="K31">
        <f>MIN(0,(FIO_PL[[#This Row],[Rynkowa stopa zwrotu]]-0))</f>
        <v>0</v>
      </c>
      <c r="L31">
        <f>MAX(0,(FIO_PL[[#This Row],[Logarytmiczna stopa zwrotu]]-0))</f>
        <v>1.2665267906048308</v>
      </c>
    </row>
    <row r="32" spans="1:12" x14ac:dyDescent="0.25">
      <c r="A32" s="1">
        <v>45718</v>
      </c>
      <c r="B32">
        <v>54.98</v>
      </c>
      <c r="C32">
        <f>((FIO_PL[[#This Row],[Cena]]-B31)/FIO_PL[[#This Row],[Cena]])*100</f>
        <v>-1.1640596580574765</v>
      </c>
      <c r="D32">
        <f>LN(FIO_PL[[#This Row],[Cena]]/B31)*100</f>
        <v>-1.1573366068719169</v>
      </c>
      <c r="E32">
        <v>5.7569999999999997</v>
      </c>
      <c r="F32">
        <f>LN(FIO_PL[[#This Row],[Instrument wolny od ryzyka]]/E31)*100</f>
        <v>-2.1990235018567468</v>
      </c>
      <c r="G32">
        <v>91996.4</v>
      </c>
      <c r="H32">
        <f>LN(FIO_PL[[#This Row],[WIG]]/G31)*100</f>
        <v>-1.2112475912636742</v>
      </c>
      <c r="I32">
        <f>FIO_PL[[#This Row],[Stopa WIG]]*100%</f>
        <v>-1.2112475912636742</v>
      </c>
      <c r="J32">
        <f>MIN(0,(FIO_PL[[#This Row],[Logarytmiczna stopa zwrotu]]-0))</f>
        <v>-1.1573366068719169</v>
      </c>
      <c r="K32">
        <f>MIN(0,(FIO_PL[[#This Row],[Rynkowa stopa zwrotu]]-0))</f>
        <v>-1.2112475912636742</v>
      </c>
      <c r="L32">
        <f>MAX(0,(FIO_PL[[#This Row],[Logarytmiczna stopa zwrotu]]-0))</f>
        <v>0</v>
      </c>
    </row>
    <row r="33" spans="1:12" x14ac:dyDescent="0.25">
      <c r="A33" s="1">
        <v>45725</v>
      </c>
      <c r="B33">
        <v>55.59</v>
      </c>
      <c r="C33">
        <f>((FIO_PL[[#This Row],[Cena]]-B32)/FIO_PL[[#This Row],[Cena]])*100</f>
        <v>1.0973196618096899</v>
      </c>
      <c r="D33">
        <f>LN(FIO_PL[[#This Row],[Cena]]/B32)*100</f>
        <v>1.1033846228278632</v>
      </c>
      <c r="E33">
        <v>5.9640000000000004</v>
      </c>
      <c r="F33">
        <f>LN(FIO_PL[[#This Row],[Instrument wolny od ryzyka]]/E32)*100</f>
        <v>3.532489120881948</v>
      </c>
      <c r="G33">
        <v>93611.8</v>
      </c>
      <c r="H33">
        <f>LN(FIO_PL[[#This Row],[WIG]]/G32)*100</f>
        <v>1.7406998065022721</v>
      </c>
      <c r="I33">
        <f>FIO_PL[[#This Row],[Stopa WIG]]*100%</f>
        <v>1.7406998065022721</v>
      </c>
      <c r="J33">
        <f>MIN(0,(FIO_PL[[#This Row],[Logarytmiczna stopa zwrotu]]-0))</f>
        <v>0</v>
      </c>
      <c r="K33">
        <f>MIN(0,(FIO_PL[[#This Row],[Rynkowa stopa zwrotu]]-0))</f>
        <v>0</v>
      </c>
      <c r="L33">
        <f>MAX(0,(FIO_PL[[#This Row],[Logarytmiczna stopa zwrotu]]-0))</f>
        <v>1.1033846228278632</v>
      </c>
    </row>
    <row r="34" spans="1:12" x14ac:dyDescent="0.25">
      <c r="A34" s="1">
        <v>45732</v>
      </c>
      <c r="B34">
        <v>57.23</v>
      </c>
      <c r="C34">
        <f>((FIO_PL[[#This Row],[Cena]]-B33)/FIO_PL[[#This Row],[Cena]])*100</f>
        <v>2.8656299143805586</v>
      </c>
      <c r="D34">
        <f>LN(FIO_PL[[#This Row],[Cena]]/B33)*100</f>
        <v>2.9074907455632673</v>
      </c>
      <c r="E34">
        <v>5.8959999999999999</v>
      </c>
      <c r="F34">
        <f>LN(FIO_PL[[#This Row],[Instrument wolny od ryzyka]]/E33)*100</f>
        <v>-1.1467242015456542</v>
      </c>
      <c r="G34">
        <v>97045.24</v>
      </c>
      <c r="H34">
        <f>LN(FIO_PL[[#This Row],[WIG]]/G33)*100</f>
        <v>3.6020817615466818</v>
      </c>
      <c r="I34">
        <f>FIO_PL[[#This Row],[Stopa WIG]]*100%</f>
        <v>3.6020817615466818</v>
      </c>
      <c r="J34">
        <f>MIN(0,(FIO_PL[[#This Row],[Logarytmiczna stopa zwrotu]]-0))</f>
        <v>0</v>
      </c>
      <c r="K34">
        <f>MIN(0,(FIO_PL[[#This Row],[Rynkowa stopa zwrotu]]-0))</f>
        <v>0</v>
      </c>
      <c r="L34">
        <f>MAX(0,(FIO_PL[[#This Row],[Logarytmiczna stopa zwrotu]]-0))</f>
        <v>2.9074907455632673</v>
      </c>
    </row>
    <row r="35" spans="1:12" x14ac:dyDescent="0.25">
      <c r="A35" s="1">
        <v>45739</v>
      </c>
      <c r="B35">
        <v>57.2</v>
      </c>
      <c r="C35">
        <f>((FIO_PL[[#This Row],[Cena]]-B34)/FIO_PL[[#This Row],[Cena]])*100</f>
        <v>-5.2447552447542005E-2</v>
      </c>
      <c r="D35">
        <f>LN(FIO_PL[[#This Row],[Cena]]/B34)*100</f>
        <v>-5.2433803525854292E-2</v>
      </c>
      <c r="E35">
        <v>5.8310000000000004</v>
      </c>
      <c r="F35">
        <f>LN(FIO_PL[[#This Row],[Instrument wolny od ryzyka]]/E34)*100</f>
        <v>-1.1085642647016498</v>
      </c>
      <c r="G35">
        <v>96891.23</v>
      </c>
      <c r="H35">
        <f>LN(FIO_PL[[#This Row],[WIG]]/G34)*100</f>
        <v>-0.15882524042515353</v>
      </c>
      <c r="I35">
        <f>FIO_PL[[#This Row],[Stopa WIG]]*100%</f>
        <v>-0.15882524042515353</v>
      </c>
      <c r="J35">
        <f>MIN(0,(FIO_PL[[#This Row],[Logarytmiczna stopa zwrotu]]-0))</f>
        <v>-5.2433803525854292E-2</v>
      </c>
      <c r="K35">
        <f>MIN(0,(FIO_PL[[#This Row],[Rynkowa stopa zwrotu]]-0))</f>
        <v>-0.15882524042515353</v>
      </c>
      <c r="L35">
        <f>MAX(0,(FIO_PL[[#This Row],[Logarytmiczna stopa zwrotu]]-0))</f>
        <v>0</v>
      </c>
    </row>
    <row r="36" spans="1:12" x14ac:dyDescent="0.25">
      <c r="A36" s="1">
        <v>45746</v>
      </c>
      <c r="B36">
        <v>57.51</v>
      </c>
      <c r="C36">
        <f>((FIO_PL[[#This Row],[Cena]]-B35)/FIO_PL[[#This Row],[Cena]])*100</f>
        <v>0.53903668927142268</v>
      </c>
      <c r="D36">
        <f>LN(FIO_PL[[#This Row],[Cena]]/B35)*100</f>
        <v>0.54049473399104242</v>
      </c>
      <c r="E36">
        <v>5.7960000000000003</v>
      </c>
      <c r="F36">
        <f>LN(FIO_PL[[#This Row],[Instrument wolny od ryzyka]]/E35)*100</f>
        <v>-0.60204877815830249</v>
      </c>
      <c r="G36">
        <v>97819.39</v>
      </c>
      <c r="H36">
        <f>LN(FIO_PL[[#This Row],[WIG]]/G35)*100</f>
        <v>0.95338100233176115</v>
      </c>
      <c r="I36">
        <f>FIO_PL[[#This Row],[Stopa WIG]]*100%</f>
        <v>0.95338100233176115</v>
      </c>
      <c r="J36">
        <f>MIN(0,(FIO_PL[[#This Row],[Logarytmiczna stopa zwrotu]]-0))</f>
        <v>0</v>
      </c>
      <c r="K36">
        <f>MIN(0,(FIO_PL[[#This Row],[Rynkowa stopa zwrotu]]-0))</f>
        <v>0</v>
      </c>
      <c r="L36">
        <f>MAX(0,(FIO_PL[[#This Row],[Logarytmiczna stopa zwrotu]]-0))</f>
        <v>0.54049473399104242</v>
      </c>
    </row>
    <row r="37" spans="1:12" x14ac:dyDescent="0.25">
      <c r="A37" s="1">
        <v>45753</v>
      </c>
      <c r="B37">
        <v>52.82</v>
      </c>
      <c r="C37">
        <f>((FIO_PL[[#This Row],[Cena]]-B36)/FIO_PL[[#This Row],[Cena]])*100</f>
        <v>-8.8792124195380495</v>
      </c>
      <c r="D37">
        <f>LN(FIO_PL[[#This Row],[Cena]]/B36)*100</f>
        <v>-8.5068938856676635</v>
      </c>
      <c r="E37">
        <v>5.2939999999999996</v>
      </c>
      <c r="F37">
        <f>LN(FIO_PL[[#This Row],[Instrument wolny od ryzyka]]/E36)*100</f>
        <v>-9.0593920653526503</v>
      </c>
      <c r="G37">
        <v>89040</v>
      </c>
      <c r="H37">
        <f>LN(FIO_PL[[#This Row],[WIG]]/G36)*100</f>
        <v>-9.4037112180908338</v>
      </c>
      <c r="I37">
        <f>FIO_PL[[#This Row],[Stopa WIG]]*100%</f>
        <v>-9.4037112180908338</v>
      </c>
      <c r="J37">
        <f>MIN(0,(FIO_PL[[#This Row],[Logarytmiczna stopa zwrotu]]-0))</f>
        <v>-8.5068938856676635</v>
      </c>
      <c r="K37">
        <f>MIN(0,(FIO_PL[[#This Row],[Rynkowa stopa zwrotu]]-0))</f>
        <v>-9.4037112180908338</v>
      </c>
      <c r="L37">
        <f>MAX(0,(FIO_PL[[#This Row],[Logarytmiczna stopa zwrotu]]-0))</f>
        <v>0</v>
      </c>
    </row>
    <row r="38" spans="1:12" x14ac:dyDescent="0.25">
      <c r="A38" s="1">
        <v>45760</v>
      </c>
      <c r="B38">
        <v>53.92</v>
      </c>
      <c r="C38">
        <f>((FIO_PL[[#This Row],[Cena]]-B37)/FIO_PL[[#This Row],[Cena]])*100</f>
        <v>2.0400593471810113</v>
      </c>
      <c r="D38">
        <f>LN(FIO_PL[[#This Row],[Cena]]/B37)*100</f>
        <v>2.0611559735065366</v>
      </c>
      <c r="E38">
        <v>5.2549999999999999</v>
      </c>
      <c r="F38">
        <f>LN(FIO_PL[[#This Row],[Instrument wolny od ryzyka]]/E37)*100</f>
        <v>-0.73940994759949707</v>
      </c>
      <c r="G38">
        <v>91120.04</v>
      </c>
      <c r="H38">
        <f>LN(FIO_PL[[#This Row],[WIG]]/G37)*100</f>
        <v>2.3092051153103568</v>
      </c>
      <c r="I38">
        <f>FIO_PL[[#This Row],[Stopa WIG]]*100%</f>
        <v>2.3092051153103568</v>
      </c>
      <c r="J38">
        <f>MIN(0,(FIO_PL[[#This Row],[Logarytmiczna stopa zwrotu]]-0))</f>
        <v>0</v>
      </c>
      <c r="K38">
        <f>MIN(0,(FIO_PL[[#This Row],[Rynkowa stopa zwrotu]]-0))</f>
        <v>0</v>
      </c>
      <c r="L38">
        <f>MAX(0,(FIO_PL[[#This Row],[Logarytmiczna stopa zwrotu]]-0))</f>
        <v>2.0611559735065366</v>
      </c>
    </row>
    <row r="39" spans="1:12" x14ac:dyDescent="0.25">
      <c r="A39" s="1">
        <v>45767</v>
      </c>
      <c r="B39">
        <v>55.95</v>
      </c>
      <c r="C39">
        <f>((FIO_PL[[#This Row],[Cena]]-B38)/FIO_PL[[#This Row],[Cena]])*100</f>
        <v>3.6282394995531742</v>
      </c>
      <c r="D39">
        <f>LN(FIO_PL[[#This Row],[Cena]]/B38)*100</f>
        <v>3.6956968153882741</v>
      </c>
      <c r="E39">
        <v>5.1369999999999996</v>
      </c>
      <c r="F39">
        <f>LN(FIO_PL[[#This Row],[Instrument wolny od ryzyka]]/E38)*100</f>
        <v>-2.2710752843783695</v>
      </c>
      <c r="G39">
        <v>95165.01</v>
      </c>
      <c r="H39">
        <f>LN(FIO_PL[[#This Row],[WIG]]/G38)*100</f>
        <v>4.3434574099998136</v>
      </c>
      <c r="I39">
        <f>FIO_PL[[#This Row],[Stopa WIG]]*100%</f>
        <v>4.3434574099998136</v>
      </c>
      <c r="J39">
        <f>MIN(0,(FIO_PL[[#This Row],[Logarytmiczna stopa zwrotu]]-0))</f>
        <v>0</v>
      </c>
      <c r="K39">
        <f>MIN(0,(FIO_PL[[#This Row],[Rynkowa stopa zwrotu]]-0))</f>
        <v>0</v>
      </c>
      <c r="L39">
        <f>MAX(0,(FIO_PL[[#This Row],[Logarytmiczna stopa zwrotu]]-0))</f>
        <v>3.6956968153882741</v>
      </c>
    </row>
    <row r="40" spans="1:12" x14ac:dyDescent="0.25">
      <c r="A40" s="1">
        <v>45774</v>
      </c>
      <c r="B40">
        <v>58.76</v>
      </c>
      <c r="C40">
        <f>((FIO_PL[[#This Row],[Cena]]-B39)/FIO_PL[[#This Row],[Cena]])*100</f>
        <v>4.7821647379169416</v>
      </c>
      <c r="D40">
        <f>LN(FIO_PL[[#This Row],[Cena]]/B39)*100</f>
        <v>4.9002916547742235</v>
      </c>
      <c r="E40">
        <v>5.2649999999999997</v>
      </c>
      <c r="F40">
        <f>LN(FIO_PL[[#This Row],[Instrument wolny od ryzyka]]/E39)*100</f>
        <v>2.4611894100808067</v>
      </c>
      <c r="G40">
        <v>100156.88</v>
      </c>
      <c r="H40">
        <f>LN(FIO_PL[[#This Row],[WIG]]/G39)*100</f>
        <v>5.1125424486476669</v>
      </c>
      <c r="I40">
        <f>FIO_PL[[#This Row],[Stopa WIG]]*100%</f>
        <v>5.1125424486476669</v>
      </c>
      <c r="J40">
        <f>MIN(0,(FIO_PL[[#This Row],[Logarytmiczna stopa zwrotu]]-0))</f>
        <v>0</v>
      </c>
      <c r="K40">
        <f>MIN(0,(FIO_PL[[#This Row],[Rynkowa stopa zwrotu]]-0))</f>
        <v>0</v>
      </c>
      <c r="L40">
        <f>MAX(0,(FIO_PL[[#This Row],[Logarytmiczna stopa zwrotu]]-0))</f>
        <v>4.9002916547742235</v>
      </c>
    </row>
    <row r="41" spans="1:12" x14ac:dyDescent="0.25">
      <c r="A41" s="1">
        <v>45781</v>
      </c>
      <c r="B41">
        <v>59.37</v>
      </c>
      <c r="C41">
        <f>((FIO_PL[[#This Row],[Cena]]-B40)/FIO_PL[[#This Row],[Cena]])*100</f>
        <v>1.0274549435741949</v>
      </c>
      <c r="D41">
        <f>LN(FIO_PL[[#This Row],[Cena]]/B40)*100</f>
        <v>1.0327696976907412</v>
      </c>
      <c r="E41">
        <v>5.2370000000000001</v>
      </c>
      <c r="F41">
        <f>LN(FIO_PL[[#This Row],[Instrument wolny od ryzyka]]/E40)*100</f>
        <v>-0.5332330288588113</v>
      </c>
      <c r="G41">
        <v>101199.94</v>
      </c>
      <c r="H41">
        <f>LN(FIO_PL[[#This Row],[WIG]]/G40)*100</f>
        <v>1.0360407260946209</v>
      </c>
      <c r="I41">
        <f>FIO_PL[[#This Row],[Stopa WIG]]*100%</f>
        <v>1.0360407260946209</v>
      </c>
      <c r="J41">
        <f>MIN(0,(FIO_PL[[#This Row],[Logarytmiczna stopa zwrotu]]-0))</f>
        <v>0</v>
      </c>
      <c r="K41">
        <f>MIN(0,(FIO_PL[[#This Row],[Rynkowa stopa zwrotu]]-0))</f>
        <v>0</v>
      </c>
      <c r="L41">
        <f>MAX(0,(FIO_PL[[#This Row],[Logarytmiczna stopa zwrotu]]-0))</f>
        <v>1.0327696976907412</v>
      </c>
    </row>
    <row r="42" spans="1:12" x14ac:dyDescent="0.25">
      <c r="A42" s="1">
        <v>45788</v>
      </c>
      <c r="B42">
        <v>60.75</v>
      </c>
      <c r="C42">
        <f>((FIO_PL[[#This Row],[Cena]]-B41)/FIO_PL[[#This Row],[Cena]])*100</f>
        <v>2.2716049382716088</v>
      </c>
      <c r="D42">
        <f>LN(FIO_PL[[#This Row],[Cena]]/B41)*100</f>
        <v>2.297803393807377</v>
      </c>
      <c r="E42">
        <v>5.3570000000000002</v>
      </c>
      <c r="F42">
        <f>LN(FIO_PL[[#This Row],[Instrument wolny od ryzyka]]/E41)*100</f>
        <v>2.2655301601472666</v>
      </c>
      <c r="G42">
        <v>103247.39</v>
      </c>
      <c r="H42">
        <f>LN(FIO_PL[[#This Row],[WIG]]/G41)*100</f>
        <v>2.0029789103459557</v>
      </c>
      <c r="I42">
        <f>FIO_PL[[#This Row],[Stopa WIG]]*100%</f>
        <v>2.0029789103459557</v>
      </c>
      <c r="J42">
        <f>MIN(0,(FIO_PL[[#This Row],[Logarytmiczna stopa zwrotu]]-0))</f>
        <v>0</v>
      </c>
      <c r="K42">
        <f>MIN(0,(FIO_PL[[#This Row],[Rynkowa stopa zwrotu]]-0))</f>
        <v>0</v>
      </c>
      <c r="L42">
        <f>MAX(0,(FIO_PL[[#This Row],[Logarytmiczna stopa zwrotu]]-0))</f>
        <v>2.297803393807377</v>
      </c>
    </row>
    <row r="43" spans="1:12" x14ac:dyDescent="0.25">
      <c r="A43" s="1">
        <v>45795</v>
      </c>
      <c r="B43">
        <v>60.29</v>
      </c>
      <c r="C43">
        <f>((FIO_PL[[#This Row],[Cena]]-B42)/FIO_PL[[#This Row],[Cena]])*100</f>
        <v>-0.76297893514679194</v>
      </c>
      <c r="D43">
        <f>LN(FIO_PL[[#This Row],[Cena]]/B42)*100</f>
        <v>-0.76008297193436192</v>
      </c>
      <c r="E43">
        <v>5.44</v>
      </c>
      <c r="F43">
        <f>LN(FIO_PL[[#This Row],[Instrument wolny od ryzyka]]/E42)*100</f>
        <v>1.5374943969028068</v>
      </c>
      <c r="G43">
        <v>103150.46</v>
      </c>
      <c r="H43">
        <f>LN(FIO_PL[[#This Row],[WIG]]/G42)*100</f>
        <v>-9.3925403899265236E-2</v>
      </c>
      <c r="I43">
        <f>FIO_PL[[#This Row],[Stopa WIG]]*100%</f>
        <v>-9.3925403899265236E-2</v>
      </c>
      <c r="J43">
        <f>MIN(0,(FIO_PL[[#This Row],[Logarytmiczna stopa zwrotu]]-0))</f>
        <v>-0.76008297193436192</v>
      </c>
      <c r="K43">
        <f>MIN(0,(FIO_PL[[#This Row],[Rynkowa stopa zwrotu]]-0))</f>
        <v>-9.3925403899265236E-2</v>
      </c>
      <c r="L43">
        <f>MAX(0,(FIO_PL[[#This Row],[Logarytmiczna stopa zwrotu]]-0))</f>
        <v>0</v>
      </c>
    </row>
    <row r="44" spans="1:12" x14ac:dyDescent="0.25">
      <c r="A44" s="1">
        <v>45802</v>
      </c>
      <c r="B44">
        <v>58.51</v>
      </c>
      <c r="C44">
        <f>((FIO_PL[[#This Row],[Cena]]-B43)/FIO_PL[[#This Row],[Cena]])*100</f>
        <v>-3.0422150059818853</v>
      </c>
      <c r="D44">
        <f>LN(FIO_PL[[#This Row],[Cena]]/B43)*100</f>
        <v>-2.9968572701169522</v>
      </c>
      <c r="E44">
        <v>5.5650000000000004</v>
      </c>
      <c r="F44">
        <f>LN(FIO_PL[[#This Row],[Instrument wolny od ryzyka]]/E43)*100</f>
        <v>2.2717923859656866</v>
      </c>
      <c r="G44">
        <v>99925.61</v>
      </c>
      <c r="H44">
        <f>LN(FIO_PL[[#This Row],[WIG]]/G43)*100</f>
        <v>-3.1762689875092676</v>
      </c>
      <c r="I44">
        <f>FIO_PL[[#This Row],[Stopa WIG]]*100%</f>
        <v>-3.1762689875092676</v>
      </c>
      <c r="J44">
        <f>MIN(0,(FIO_PL[[#This Row],[Logarytmiczna stopa zwrotu]]-0))</f>
        <v>-2.9968572701169522</v>
      </c>
      <c r="K44">
        <f>MIN(0,(FIO_PL[[#This Row],[Rynkowa stopa zwrotu]]-0))</f>
        <v>-3.1762689875092676</v>
      </c>
      <c r="L44">
        <f>MAX(0,(FIO_PL[[#This Row],[Logarytmiczna stopa zwrotu]]-0))</f>
        <v>0</v>
      </c>
    </row>
    <row r="45" spans="1:12" x14ac:dyDescent="0.25">
      <c r="A45" s="1">
        <v>45809</v>
      </c>
      <c r="B45">
        <v>59.29</v>
      </c>
      <c r="C45">
        <f>((FIO_PL[[#This Row],[Cena]]-B44)/FIO_PL[[#This Row],[Cena]])*100</f>
        <v>1.3155675493337851</v>
      </c>
      <c r="D45">
        <f>LN(FIO_PL[[#This Row],[Cena]]/B44)*100</f>
        <v>1.3242977919131513</v>
      </c>
      <c r="E45">
        <v>5.3869999999999996</v>
      </c>
      <c r="F45">
        <f>LN(FIO_PL[[#This Row],[Instrument wolny od ryzyka]]/E44)*100</f>
        <v>-3.2508341029111589</v>
      </c>
      <c r="G45">
        <v>101476.07</v>
      </c>
      <c r="H45">
        <f>LN(FIO_PL[[#This Row],[WIG]]/G44)*100</f>
        <v>1.5396997981261948</v>
      </c>
      <c r="I45">
        <f>FIO_PL[[#This Row],[Stopa WIG]]*100%</f>
        <v>1.5396997981261948</v>
      </c>
      <c r="J45">
        <f>MIN(0,(FIO_PL[[#This Row],[Logarytmiczna stopa zwrotu]]-0))</f>
        <v>0</v>
      </c>
      <c r="K45">
        <f>MIN(0,(FIO_PL[[#This Row],[Rynkowa stopa zwrotu]]-0))</f>
        <v>0</v>
      </c>
      <c r="L45">
        <f>MAX(0,(FIO_PL[[#This Row],[Logarytmiczna stopa zwrotu]]-0))</f>
        <v>1.3242977919131513</v>
      </c>
    </row>
    <row r="46" spans="1:12" x14ac:dyDescent="0.25">
      <c r="A46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60E1-1140-496B-8B22-02F5299EE0D8}">
  <dimension ref="A1:G29"/>
  <sheetViews>
    <sheetView zoomScale="90" zoomScaleNormal="90" workbookViewId="0">
      <selection activeCell="G23" sqref="G23"/>
    </sheetView>
  </sheetViews>
  <sheetFormatPr defaultRowHeight="15" x14ac:dyDescent="0.25"/>
  <cols>
    <col min="1" max="1" width="29.28515625" customWidth="1"/>
    <col min="2" max="2" width="16.140625" customWidth="1"/>
    <col min="3" max="3" width="17" customWidth="1"/>
    <col min="5" max="5" width="28.5703125" customWidth="1"/>
    <col min="6" max="6" width="16" customWidth="1"/>
    <col min="7" max="7" width="16.140625" customWidth="1"/>
  </cols>
  <sheetData>
    <row r="1" spans="1:7" x14ac:dyDescent="0.25">
      <c r="A1" t="s">
        <v>94</v>
      </c>
      <c r="B1" t="s">
        <v>110</v>
      </c>
      <c r="C1" t="s">
        <v>111</v>
      </c>
      <c r="E1" t="s">
        <v>94</v>
      </c>
      <c r="F1" t="s">
        <v>110</v>
      </c>
      <c r="G1" t="s">
        <v>111</v>
      </c>
    </row>
    <row r="2" spans="1:7" x14ac:dyDescent="0.25">
      <c r="A2" s="11" t="s">
        <v>112</v>
      </c>
      <c r="B2" s="11"/>
      <c r="C2" s="11"/>
      <c r="E2" s="11" t="s">
        <v>113</v>
      </c>
      <c r="F2" s="11"/>
      <c r="G2" s="11"/>
    </row>
    <row r="3" spans="1:7" x14ac:dyDescent="0.25">
      <c r="A3" s="12" t="s">
        <v>114</v>
      </c>
      <c r="B3">
        <v>-6.1894911382616401E-2</v>
      </c>
      <c r="C3">
        <v>0.9469419334743171</v>
      </c>
      <c r="E3" s="12" t="s">
        <v>114</v>
      </c>
      <c r="F3">
        <v>-5.1642802104747948E-2</v>
      </c>
      <c r="G3">
        <v>0.99368753968015955</v>
      </c>
    </row>
    <row r="4" spans="1:7" x14ac:dyDescent="0.25">
      <c r="A4" s="11" t="s">
        <v>22</v>
      </c>
      <c r="B4">
        <v>0.59782118167248988</v>
      </c>
      <c r="C4">
        <v>-0.40653235836888074</v>
      </c>
      <c r="E4" s="11" t="s">
        <v>22</v>
      </c>
      <c r="F4">
        <v>0.59782118167248988</v>
      </c>
      <c r="G4">
        <v>-0.40653235836888074</v>
      </c>
    </row>
    <row r="5" spans="1:7" x14ac:dyDescent="0.25">
      <c r="A5" s="12" t="s">
        <v>115</v>
      </c>
      <c r="B5">
        <v>-0.10168770557936155</v>
      </c>
      <c r="C5">
        <v>1.0898491477595189</v>
      </c>
      <c r="E5" s="12" t="s">
        <v>115</v>
      </c>
      <c r="F5">
        <v>-0.10168770557936155</v>
      </c>
      <c r="G5">
        <v>1.0898491477595189</v>
      </c>
    </row>
    <row r="6" spans="1:7" x14ac:dyDescent="0.25">
      <c r="A6" s="11" t="s">
        <v>116</v>
      </c>
      <c r="B6">
        <v>0.95014399999999999</v>
      </c>
      <c r="C6">
        <v>0.92846600000000001</v>
      </c>
      <c r="E6" s="11" t="s">
        <v>116</v>
      </c>
      <c r="F6">
        <v>0.923064</v>
      </c>
      <c r="G6">
        <v>0.84536900000000004</v>
      </c>
    </row>
    <row r="7" spans="1:7" x14ac:dyDescent="0.25">
      <c r="A7" s="12" t="s">
        <v>117</v>
      </c>
      <c r="B7">
        <v>2.5640000000000001</v>
      </c>
      <c r="C7">
        <v>2.7364999999999999</v>
      </c>
      <c r="E7" s="12" t="s">
        <v>117</v>
      </c>
      <c r="F7">
        <v>2.4969000000000001</v>
      </c>
      <c r="G7">
        <v>2.5021</v>
      </c>
    </row>
    <row r="8" spans="1:7" ht="15.75" thickBot="1" x14ac:dyDescent="0.3">
      <c r="A8" s="11" t="s">
        <v>118</v>
      </c>
      <c r="B8">
        <v>2.6877</v>
      </c>
      <c r="C8">
        <v>2.9344000000000001</v>
      </c>
      <c r="E8" s="11" t="s">
        <v>118</v>
      </c>
      <c r="F8">
        <v>2.6877</v>
      </c>
      <c r="G8">
        <v>2.9344000000000001</v>
      </c>
    </row>
    <row r="9" spans="1:7" x14ac:dyDescent="0.25">
      <c r="A9" s="13" t="s">
        <v>119</v>
      </c>
      <c r="B9" s="13"/>
      <c r="C9" s="13"/>
      <c r="E9" s="13" t="s">
        <v>119</v>
      </c>
      <c r="F9" s="13"/>
      <c r="G9" s="13"/>
    </row>
    <row r="10" spans="1:7" x14ac:dyDescent="0.25">
      <c r="A10" s="11" t="s">
        <v>120</v>
      </c>
      <c r="B10">
        <f>(B3-B4)/B6</f>
        <v>-0.69433274646275334</v>
      </c>
      <c r="C10">
        <f>(C3-C4)/C6</f>
        <v>1.4577532099648214</v>
      </c>
      <c r="E10" s="11" t="s">
        <v>120</v>
      </c>
      <c r="F10">
        <f>(F3-F4)/F6</f>
        <v>-0.70359583276699966</v>
      </c>
      <c r="G10">
        <f>(G3-G4)/G6</f>
        <v>1.6563416662416535</v>
      </c>
    </row>
    <row r="11" spans="1:7" x14ac:dyDescent="0.25">
      <c r="A11" s="12" t="s">
        <v>121</v>
      </c>
      <c r="B11">
        <f>(B3-B4)/B7</f>
        <v>-0.2572995682742224</v>
      </c>
      <c r="C11">
        <f>(C3-C4)/C7</f>
        <v>0.49460050862166927</v>
      </c>
      <c r="E11" s="12" t="s">
        <v>121</v>
      </c>
      <c r="F11">
        <f>(F3-F4)/F7</f>
        <v>-0.26010812758910562</v>
      </c>
      <c r="G11">
        <f>(G3-G4)/G7</f>
        <v>0.55961788020024794</v>
      </c>
    </row>
    <row r="12" spans="1:7" x14ac:dyDescent="0.25">
      <c r="A12" s="11" t="s">
        <v>122</v>
      </c>
      <c r="B12">
        <f>(B3-B4)-(((B5-B4)/B8)*B3)</f>
        <v>-0.67582504888641404</v>
      </c>
      <c r="C12">
        <f>(C3-C4)-(((C5-C4)/C8)*C3)</f>
        <v>0.87058634315575323</v>
      </c>
      <c r="E12" s="11" t="s">
        <v>122</v>
      </c>
      <c r="F12">
        <f>(F3-F4)-(((F5-F4)/F8)*F3)</f>
        <v>-0.66290469480706249</v>
      </c>
      <c r="G12">
        <f>(G3-G4)-(((G5-G4)/G8)*G3)</f>
        <v>0.89349427875800269</v>
      </c>
    </row>
    <row r="13" spans="1:7" x14ac:dyDescent="0.25">
      <c r="A13" s="12" t="s">
        <v>123</v>
      </c>
      <c r="B13">
        <f>(B3-B4)+((B5-B4)/B8)*B7</f>
        <v>-1.3270304461874303</v>
      </c>
      <c r="C13">
        <f>(C3-C4)+((C5-C4)/C8)*C7</f>
        <v>2.7489377567833442</v>
      </c>
      <c r="E13" s="12" t="s">
        <v>123</v>
      </c>
      <c r="F13">
        <f>(F3-F4)+((F5-F4)/F8)*F7</f>
        <v>-1.2993146890565279</v>
      </c>
      <c r="G13">
        <f>(G3-G4)+((G5-G4)/G8)*G7</f>
        <v>2.6761523430067382</v>
      </c>
    </row>
    <row r="14" spans="1:7" x14ac:dyDescent="0.25">
      <c r="A14" s="12" t="s">
        <v>124</v>
      </c>
      <c r="B14">
        <f>B13/B6</f>
        <v>-1.3966624492576181</v>
      </c>
      <c r="C14">
        <f>C13/C6</f>
        <v>2.9607306641097728</v>
      </c>
      <c r="E14" s="12" t="s">
        <v>124</v>
      </c>
      <c r="F14">
        <f>F13/F6</f>
        <v>-1.4076106196932476</v>
      </c>
      <c r="G14">
        <f>G13/G6</f>
        <v>3.1656617914860115</v>
      </c>
    </row>
    <row r="16" spans="1:7" x14ac:dyDescent="0.25">
      <c r="A16" t="s">
        <v>94</v>
      </c>
      <c r="B16" t="s">
        <v>110</v>
      </c>
      <c r="C16" t="s">
        <v>111</v>
      </c>
      <c r="E16" t="s">
        <v>94</v>
      </c>
      <c r="F16" t="s">
        <v>110</v>
      </c>
      <c r="G16" t="s">
        <v>111</v>
      </c>
    </row>
    <row r="17" spans="1:7" x14ac:dyDescent="0.25">
      <c r="A17" s="11" t="s">
        <v>125</v>
      </c>
      <c r="B17" s="11"/>
      <c r="C17" s="11"/>
      <c r="E17" s="11" t="s">
        <v>126</v>
      </c>
      <c r="F17" s="11"/>
      <c r="G17" s="11"/>
    </row>
    <row r="18" spans="1:7" x14ac:dyDescent="0.25">
      <c r="A18" s="12" t="s">
        <v>114</v>
      </c>
      <c r="B18">
        <v>0.30704169176293938</v>
      </c>
      <c r="C18">
        <v>0.21095617568302585</v>
      </c>
      <c r="E18" s="12" t="s">
        <v>114</v>
      </c>
      <c r="F18">
        <v>0.27180373541600605</v>
      </c>
      <c r="G18">
        <v>-4.2209260479097614E-2</v>
      </c>
    </row>
    <row r="19" spans="1:7" x14ac:dyDescent="0.25">
      <c r="A19" s="11" t="s">
        <v>22</v>
      </c>
      <c r="B19">
        <v>0.59782118167248988</v>
      </c>
      <c r="C19">
        <v>-0.40653235836888074</v>
      </c>
      <c r="E19" s="11" t="s">
        <v>22</v>
      </c>
      <c r="F19">
        <v>0.59782118167248988</v>
      </c>
      <c r="G19">
        <v>-0.40653235836888074</v>
      </c>
    </row>
    <row r="20" spans="1:7" x14ac:dyDescent="0.25">
      <c r="A20" s="12" t="s">
        <v>115</v>
      </c>
      <c r="B20">
        <v>0.46240517138664178</v>
      </c>
      <c r="C20">
        <v>0.11959462005808431</v>
      </c>
      <c r="E20" s="12" t="s">
        <v>115</v>
      </c>
      <c r="F20">
        <v>0.46240517138664178</v>
      </c>
      <c r="G20">
        <v>0.11959462005808431</v>
      </c>
    </row>
    <row r="21" spans="1:7" x14ac:dyDescent="0.25">
      <c r="A21" s="11" t="s">
        <v>116</v>
      </c>
      <c r="B21">
        <v>1.06976</v>
      </c>
      <c r="C21">
        <v>0.90341199999999999</v>
      </c>
      <c r="E21" s="11" t="s">
        <v>116</v>
      </c>
      <c r="F21">
        <v>0.701851</v>
      </c>
      <c r="G21">
        <v>0.59504999999999997</v>
      </c>
    </row>
    <row r="22" spans="1:7" x14ac:dyDescent="0.25">
      <c r="A22" s="12" t="s">
        <v>117</v>
      </c>
      <c r="B22">
        <v>2.1446999999999998</v>
      </c>
      <c r="C22">
        <v>2.6768999999999998</v>
      </c>
      <c r="E22" s="12" t="s">
        <v>117</v>
      </c>
      <c r="F22">
        <v>1.6331</v>
      </c>
      <c r="G22">
        <v>2.1112000000000002</v>
      </c>
    </row>
    <row r="23" spans="1:7" ht="15.75" thickBot="1" x14ac:dyDescent="0.3">
      <c r="A23" s="11" t="s">
        <v>118</v>
      </c>
      <c r="B23">
        <v>1.8179000000000001</v>
      </c>
      <c r="C23">
        <v>2.6120000000000001</v>
      </c>
      <c r="E23" s="11" t="s">
        <v>118</v>
      </c>
      <c r="F23">
        <v>1.8179000000000001</v>
      </c>
      <c r="G23">
        <v>2.6120000000000001</v>
      </c>
    </row>
    <row r="24" spans="1:7" x14ac:dyDescent="0.25">
      <c r="A24" s="13" t="s">
        <v>119</v>
      </c>
      <c r="B24" s="13"/>
      <c r="C24" s="13"/>
      <c r="E24" s="13" t="s">
        <v>119</v>
      </c>
      <c r="F24" s="13"/>
      <c r="G24" s="13"/>
    </row>
    <row r="25" spans="1:7" x14ac:dyDescent="0.25">
      <c r="A25" s="11" t="s">
        <v>120</v>
      </c>
      <c r="B25">
        <f>(B18-B19)/B21</f>
        <v>-0.27181750103719571</v>
      </c>
      <c r="C25">
        <f>(C18-C19)/C21</f>
        <v>0.68350711973264322</v>
      </c>
      <c r="E25" s="11" t="s">
        <v>120</v>
      </c>
      <c r="F25">
        <f>(F18-F19)/F21</f>
        <v>-0.46451090937604111</v>
      </c>
      <c r="G25">
        <f>(G18-G19)/G21</f>
        <v>0.61225627743850619</v>
      </c>
    </row>
    <row r="26" spans="1:7" x14ac:dyDescent="0.25">
      <c r="A26" s="12" t="s">
        <v>121</v>
      </c>
      <c r="B26">
        <f>(B18-B19)/B22</f>
        <v>-0.13558049606450809</v>
      </c>
      <c r="C26">
        <f>(C18-C19)/C22</f>
        <v>0.23067299266013175</v>
      </c>
      <c r="E26" s="12" t="s">
        <v>121</v>
      </c>
      <c r="F26">
        <f>(F18-F19)/F22</f>
        <v>-0.19963103683576255</v>
      </c>
      <c r="G26">
        <f>(G18-G19)/G22</f>
        <v>0.17256683302850659</v>
      </c>
    </row>
    <row r="27" spans="1:7" x14ac:dyDescent="0.25">
      <c r="A27" s="11" t="s">
        <v>122</v>
      </c>
      <c r="B27">
        <f>(B18-B19)-(((B20-B19)/B23)*B18)</f>
        <v>-0.26790784631531844</v>
      </c>
      <c r="C27">
        <f>(C18-C19)-(((C20-C19)/C23)*C18)</f>
        <v>0.57499629236254279</v>
      </c>
      <c r="E27" s="11" t="s">
        <v>122</v>
      </c>
      <c r="F27">
        <f>(F18-F19)-(((F20-F19)/F23)*F18)</f>
        <v>-0.30577069042237537</v>
      </c>
      <c r="G27">
        <f>(G18-G19)-(((G20-G19)/G23)*G18)</f>
        <v>0.37282517701593332</v>
      </c>
    </row>
    <row r="28" spans="1:7" x14ac:dyDescent="0.25">
      <c r="A28" s="12" t="s">
        <v>123</v>
      </c>
      <c r="B28">
        <f>(B18-B19)+((B20-B19)/B23)*B22</f>
        <v>-0.45053894711844999</v>
      </c>
      <c r="C28">
        <f>(C18-C19)+((C20-C19)/C23)*C22</f>
        <v>1.1566881161924667</v>
      </c>
      <c r="E28" s="12" t="s">
        <v>123</v>
      </c>
      <c r="F28">
        <f>(F18-F19)+((F20-F19)/F23)*F22</f>
        <v>-0.4476676395552453</v>
      </c>
      <c r="G28">
        <f>(G18-G19)+((G20-G19)/G23)*G22</f>
        <v>0.78957550097363027</v>
      </c>
    </row>
    <row r="29" spans="1:7" x14ac:dyDescent="0.25">
      <c r="A29" s="12" t="s">
        <v>124</v>
      </c>
      <c r="B29">
        <f>B28/B21</f>
        <v>-0.42115890210743528</v>
      </c>
      <c r="C29">
        <f>C28/C21</f>
        <v>1.2803550497364067</v>
      </c>
      <c r="E29" s="12" t="s">
        <v>124</v>
      </c>
      <c r="F29">
        <f>F28/F21</f>
        <v>-0.6378385719408326</v>
      </c>
      <c r="G29">
        <f>G28/G21</f>
        <v>1.3269061439771956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35C9-24B1-4C77-8BF0-247B917AFB90}">
  <dimension ref="A1:D10"/>
  <sheetViews>
    <sheetView zoomScale="90" zoomScaleNormal="90" workbookViewId="0">
      <selection activeCell="G17" sqref="G17"/>
    </sheetView>
  </sheetViews>
  <sheetFormatPr defaultRowHeight="15" x14ac:dyDescent="0.25"/>
  <cols>
    <col min="1" max="1" width="17" customWidth="1"/>
    <col min="2" max="2" width="19" customWidth="1"/>
    <col min="3" max="4" width="18.7109375" customWidth="1"/>
  </cols>
  <sheetData>
    <row r="1" spans="1:4" x14ac:dyDescent="0.25">
      <c r="A1" t="s">
        <v>127</v>
      </c>
      <c r="B1" t="s">
        <v>128</v>
      </c>
      <c r="C1" t="s">
        <v>110</v>
      </c>
      <c r="D1" t="s">
        <v>164</v>
      </c>
    </row>
    <row r="2" spans="1:4" x14ac:dyDescent="0.25">
      <c r="A2" s="14" t="s">
        <v>112</v>
      </c>
      <c r="B2">
        <v>0.4425235110458503</v>
      </c>
      <c r="C2">
        <v>-6.1894911382616401E-2</v>
      </c>
      <c r="D2">
        <v>0.9469419334743171</v>
      </c>
    </row>
    <row r="3" spans="1:4" x14ac:dyDescent="0.25">
      <c r="A3" s="15" t="s">
        <v>113</v>
      </c>
      <c r="B3">
        <v>0.47102236878770581</v>
      </c>
      <c r="C3">
        <v>-5.1642802104747948E-2</v>
      </c>
      <c r="D3">
        <v>0.99368753968015955</v>
      </c>
    </row>
    <row r="4" spans="1:4" x14ac:dyDescent="0.25">
      <c r="A4" s="15" t="s">
        <v>125</v>
      </c>
      <c r="B4">
        <v>0.2589989337229826</v>
      </c>
      <c r="C4">
        <v>0.30704169176293938</v>
      </c>
      <c r="D4">
        <v>0.21095617568302585</v>
      </c>
    </row>
    <row r="5" spans="1:4" x14ac:dyDescent="0.25">
      <c r="A5" s="15" t="s">
        <v>126</v>
      </c>
      <c r="B5">
        <v>0.11479723746845419</v>
      </c>
      <c r="C5">
        <v>0.27180373541600605</v>
      </c>
      <c r="D5">
        <v>-4.2209260479097614E-2</v>
      </c>
    </row>
    <row r="6" spans="1:4" x14ac:dyDescent="0.25">
      <c r="A6" s="15" t="s">
        <v>129</v>
      </c>
      <c r="B6">
        <v>0.49408072109007861</v>
      </c>
      <c r="C6">
        <v>-0.10168770557936155</v>
      </c>
      <c r="D6">
        <v>1.0898491477595189</v>
      </c>
    </row>
    <row r="7" spans="1:4" x14ac:dyDescent="0.25">
      <c r="A7" s="15" t="s">
        <v>130</v>
      </c>
      <c r="B7">
        <v>0.49408072109007861</v>
      </c>
      <c r="C7">
        <v>-0.10168770557936155</v>
      </c>
      <c r="D7">
        <v>1.0898491477595189</v>
      </c>
    </row>
    <row r="8" spans="1:4" x14ac:dyDescent="0.25">
      <c r="A8" s="15" t="s">
        <v>131</v>
      </c>
      <c r="B8">
        <v>0.29099989572236312</v>
      </c>
      <c r="C8">
        <v>0.46240517138664178</v>
      </c>
      <c r="D8">
        <v>0.11959462005808431</v>
      </c>
    </row>
    <row r="9" spans="1:4" x14ac:dyDescent="0.25">
      <c r="A9" s="15" t="s">
        <v>132</v>
      </c>
      <c r="B9">
        <v>0.29099989572236312</v>
      </c>
      <c r="C9">
        <v>0.46240517138664178</v>
      </c>
      <c r="D9">
        <v>0.11959462005808431</v>
      </c>
    </row>
    <row r="10" spans="1:4" x14ac:dyDescent="0.25">
      <c r="A10" s="16" t="s">
        <v>133</v>
      </c>
      <c r="B10">
        <v>9.5644411651804609E-2</v>
      </c>
      <c r="C10">
        <v>0.59782118167248988</v>
      </c>
      <c r="D10">
        <v>-0.40653235836888074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28A9-13AD-4665-BDB1-A1065B76A3C4}">
  <dimension ref="A1:G65"/>
  <sheetViews>
    <sheetView tabSelected="1" topLeftCell="A47" zoomScale="90" zoomScaleNormal="90" workbookViewId="0">
      <selection activeCell="G75" sqref="G75"/>
    </sheetView>
  </sheetViews>
  <sheetFormatPr defaultRowHeight="15" x14ac:dyDescent="0.25"/>
  <cols>
    <col min="1" max="1" width="31.140625" customWidth="1"/>
    <col min="2" max="2" width="17.28515625" customWidth="1"/>
    <col min="3" max="3" width="18.28515625" customWidth="1"/>
    <col min="5" max="5" width="29.28515625" customWidth="1"/>
    <col min="6" max="6" width="16.85546875" customWidth="1"/>
    <col min="7" max="7" width="17.5703125" customWidth="1"/>
  </cols>
  <sheetData>
    <row r="1" spans="1:7" x14ac:dyDescent="0.25">
      <c r="A1" t="s">
        <v>94</v>
      </c>
      <c r="B1" t="s">
        <v>110</v>
      </c>
      <c r="C1" t="s">
        <v>111</v>
      </c>
      <c r="E1" t="s">
        <v>94</v>
      </c>
      <c r="F1" t="s">
        <v>110</v>
      </c>
      <c r="G1" t="s">
        <v>111</v>
      </c>
    </row>
    <row r="2" spans="1:7" x14ac:dyDescent="0.25">
      <c r="A2" s="11" t="s">
        <v>112</v>
      </c>
      <c r="B2" s="11"/>
      <c r="C2" s="11"/>
      <c r="E2" s="11" t="s">
        <v>113</v>
      </c>
      <c r="F2" s="11"/>
      <c r="G2" s="11"/>
    </row>
    <row r="3" spans="1:7" x14ac:dyDescent="0.25">
      <c r="A3" s="12" t="s">
        <v>114</v>
      </c>
      <c r="B3">
        <v>-6.1894911382616401E-2</v>
      </c>
      <c r="C3">
        <v>0.9469419334743171</v>
      </c>
      <c r="E3" s="12" t="s">
        <v>114</v>
      </c>
      <c r="F3">
        <v>-5.1642802104747948E-2</v>
      </c>
      <c r="G3">
        <v>0.99368753968015955</v>
      </c>
    </row>
    <row r="4" spans="1:7" x14ac:dyDescent="0.25">
      <c r="A4" s="11" t="s">
        <v>134</v>
      </c>
      <c r="B4">
        <v>0</v>
      </c>
      <c r="C4">
        <v>0</v>
      </c>
      <c r="E4" s="11" t="s">
        <v>134</v>
      </c>
      <c r="F4">
        <v>0</v>
      </c>
      <c r="G4">
        <v>0</v>
      </c>
    </row>
    <row r="5" spans="1:7" x14ac:dyDescent="0.25">
      <c r="A5" s="12" t="s">
        <v>22</v>
      </c>
      <c r="B5">
        <v>0.59782118167248988</v>
      </c>
      <c r="C5">
        <v>-0.40653235836888074</v>
      </c>
      <c r="E5" s="12" t="s">
        <v>22</v>
      </c>
      <c r="F5">
        <v>0.59782118167248988</v>
      </c>
      <c r="G5">
        <v>-0.40653235836888074</v>
      </c>
    </row>
    <row r="6" spans="1:7" x14ac:dyDescent="0.25">
      <c r="A6" s="11" t="s">
        <v>115</v>
      </c>
      <c r="B6">
        <v>-0.10168770557936155</v>
      </c>
      <c r="C6">
        <v>1.0898491477595189</v>
      </c>
      <c r="E6" s="11" t="s">
        <v>115</v>
      </c>
      <c r="F6">
        <v>-0.10168770557936155</v>
      </c>
      <c r="G6">
        <v>1.0898491477595189</v>
      </c>
    </row>
    <row r="7" spans="1:7" x14ac:dyDescent="0.25">
      <c r="A7" s="12" t="s">
        <v>135</v>
      </c>
      <c r="B7">
        <v>0.95595097997869549</v>
      </c>
      <c r="C7">
        <v>1.5593785033887146</v>
      </c>
      <c r="E7" s="12" t="s">
        <v>135</v>
      </c>
      <c r="F7">
        <v>0.9400432403011284</v>
      </c>
      <c r="G7">
        <v>1.5218672886507714</v>
      </c>
    </row>
    <row r="8" spans="1:7" x14ac:dyDescent="0.25">
      <c r="A8" s="11" t="s">
        <v>136</v>
      </c>
      <c r="B8">
        <v>-1.017845891361312</v>
      </c>
      <c r="C8">
        <v>-0.61243656991439765</v>
      </c>
      <c r="E8" s="11" t="s">
        <v>136</v>
      </c>
      <c r="F8">
        <v>-0.99168604240587654</v>
      </c>
      <c r="G8">
        <v>-0.52817974897061171</v>
      </c>
    </row>
    <row r="9" spans="1:7" x14ac:dyDescent="0.25">
      <c r="A9" s="12" t="s">
        <v>137</v>
      </c>
      <c r="B9">
        <v>21.030921559531301</v>
      </c>
      <c r="C9">
        <v>34.306327074551724</v>
      </c>
      <c r="E9" s="12" t="s">
        <v>137</v>
      </c>
      <c r="F9">
        <v>20.680951286624826</v>
      </c>
      <c r="G9">
        <v>33.481080350316972</v>
      </c>
    </row>
    <row r="10" spans="1:7" x14ac:dyDescent="0.25">
      <c r="A10" s="11" t="s">
        <v>138</v>
      </c>
      <c r="B10">
        <v>-22.392609609948863</v>
      </c>
      <c r="C10">
        <v>-13.473604538116749</v>
      </c>
      <c r="E10" s="11" t="s">
        <v>138</v>
      </c>
      <c r="F10">
        <v>-21.817092932929285</v>
      </c>
      <c r="G10">
        <v>-11.619954477353458</v>
      </c>
    </row>
    <row r="11" spans="1:7" x14ac:dyDescent="0.25">
      <c r="A11" s="12" t="s">
        <v>116</v>
      </c>
      <c r="B11">
        <v>0.95014399999999999</v>
      </c>
      <c r="C11">
        <v>0.92846600000000001</v>
      </c>
      <c r="E11" s="12" t="s">
        <v>116</v>
      </c>
      <c r="F11">
        <v>0.923064</v>
      </c>
      <c r="G11">
        <v>0.84536900000000004</v>
      </c>
    </row>
    <row r="12" spans="1:7" x14ac:dyDescent="0.25">
      <c r="A12" s="11" t="s">
        <v>117</v>
      </c>
      <c r="B12">
        <v>2.5640000000000001</v>
      </c>
      <c r="C12">
        <v>2.7364999999999999</v>
      </c>
      <c r="E12" s="11" t="s">
        <v>117</v>
      </c>
      <c r="F12">
        <v>2.4969000000000001</v>
      </c>
      <c r="G12">
        <v>2.5021</v>
      </c>
    </row>
    <row r="13" spans="1:7" x14ac:dyDescent="0.25">
      <c r="A13" s="12" t="s">
        <v>118</v>
      </c>
      <c r="B13">
        <v>2.6877</v>
      </c>
      <c r="C13">
        <v>2.9344000000000001</v>
      </c>
      <c r="E13" s="12" t="s">
        <v>118</v>
      </c>
      <c r="F13">
        <v>2.6877</v>
      </c>
      <c r="G13">
        <v>2.9344000000000001</v>
      </c>
    </row>
    <row r="14" spans="1:7" x14ac:dyDescent="0.25">
      <c r="A14" s="11" t="s">
        <v>139</v>
      </c>
      <c r="B14">
        <v>2.1941815223652812</v>
      </c>
      <c r="C14">
        <v>4.0808896218605391</v>
      </c>
      <c r="E14" s="11" t="s">
        <v>139</v>
      </c>
      <c r="F14">
        <v>2.1131305651831118</v>
      </c>
      <c r="G14">
        <v>4.1354342564871418</v>
      </c>
    </row>
    <row r="15" spans="1:7" x14ac:dyDescent="0.25">
      <c r="A15" s="12" t="s">
        <v>140</v>
      </c>
      <c r="B15">
        <v>-3.9299767661405909</v>
      </c>
      <c r="C15">
        <v>-8.5068938856676635</v>
      </c>
      <c r="E15" s="12" t="s">
        <v>140</v>
      </c>
      <c r="F15">
        <v>-3.6975486747947151</v>
      </c>
      <c r="G15">
        <v>-7.8612175557185138</v>
      </c>
    </row>
    <row r="16" spans="1:7" x14ac:dyDescent="0.25">
      <c r="A16" s="11" t="s">
        <v>141</v>
      </c>
      <c r="B16">
        <v>-3.9299767661405909</v>
      </c>
      <c r="C16">
        <v>-8.5068938856676635</v>
      </c>
      <c r="E16" s="11" t="s">
        <v>141</v>
      </c>
      <c r="F16">
        <v>-3.6975486747947151</v>
      </c>
      <c r="G16">
        <v>-7.8612175557185138</v>
      </c>
    </row>
    <row r="17" spans="1:7" x14ac:dyDescent="0.25">
      <c r="A17" s="12" t="s">
        <v>142</v>
      </c>
      <c r="B17">
        <v>-3.9299767661405909</v>
      </c>
      <c r="C17">
        <v>-8.5068938856676635</v>
      </c>
      <c r="E17" s="12" t="s">
        <v>142</v>
      </c>
      <c r="F17">
        <v>-3.6975486747947151</v>
      </c>
      <c r="G17">
        <v>-7.8612175557185138</v>
      </c>
    </row>
    <row r="18" spans="1:7" ht="15.75" thickBot="1" x14ac:dyDescent="0.3">
      <c r="A18" s="11" t="s">
        <v>143</v>
      </c>
      <c r="B18">
        <v>-1.4639128752908961</v>
      </c>
      <c r="C18">
        <v>-2.2023212893503472</v>
      </c>
      <c r="E18" s="11" t="s">
        <v>143</v>
      </c>
      <c r="F18">
        <v>-1.4652849070373928</v>
      </c>
      <c r="G18">
        <v>-2.2425614113661707</v>
      </c>
    </row>
    <row r="19" spans="1:7" x14ac:dyDescent="0.25">
      <c r="A19" s="13" t="s">
        <v>144</v>
      </c>
      <c r="B19" s="13"/>
      <c r="C19" s="13"/>
      <c r="E19" s="13" t="s">
        <v>144</v>
      </c>
      <c r="F19" s="13"/>
      <c r="G19" s="13"/>
    </row>
    <row r="20" spans="1:7" x14ac:dyDescent="0.25">
      <c r="A20" s="11" t="s">
        <v>145</v>
      </c>
      <c r="B20" s="11"/>
      <c r="C20" s="11"/>
      <c r="E20" s="11" t="s">
        <v>145</v>
      </c>
      <c r="F20" s="11"/>
      <c r="G20" s="11"/>
    </row>
    <row r="21" spans="1:7" x14ac:dyDescent="0.25">
      <c r="A21" s="12" t="s">
        <v>146</v>
      </c>
      <c r="B21">
        <f>(B3-B4)/B14</f>
        <v>-2.8208655825291518E-2</v>
      </c>
      <c r="C21">
        <f>(C3-C4)/C14</f>
        <v>0.2320430154252964</v>
      </c>
      <c r="E21" s="12" t="s">
        <v>146</v>
      </c>
      <c r="F21">
        <f>(F3-F4)/F14</f>
        <v>-2.4439001998096069E-2</v>
      </c>
      <c r="G21">
        <f>(G3-G4)/G14</f>
        <v>0.24028614120062222</v>
      </c>
    </row>
    <row r="22" spans="1:7" x14ac:dyDescent="0.25">
      <c r="A22" s="11" t="s">
        <v>147</v>
      </c>
      <c r="B22">
        <f>B7/B14</f>
        <v>0.43567543078578136</v>
      </c>
      <c r="C22">
        <f>C7/C14</f>
        <v>0.38211729497299429</v>
      </c>
      <c r="E22" s="11" t="s">
        <v>147</v>
      </c>
      <c r="F22">
        <f>F7/F14</f>
        <v>0.44485809622448463</v>
      </c>
      <c r="G22">
        <f>G7/G14</f>
        <v>0.36800664555686263</v>
      </c>
    </row>
    <row r="23" spans="1:7" x14ac:dyDescent="0.25">
      <c r="A23" s="12" t="s">
        <v>148</v>
      </c>
      <c r="B23">
        <f>B9/B10</f>
        <v>-0.9391902920590115</v>
      </c>
      <c r="C23">
        <f>C9/C10</f>
        <v>-2.5461877686479015</v>
      </c>
      <c r="E23" s="12" t="s">
        <v>148</v>
      </c>
      <c r="F23">
        <f>F9/F10</f>
        <v>-0.947924242253667</v>
      </c>
      <c r="G23">
        <f>G9/G10</f>
        <v>-2.8813435040188358</v>
      </c>
    </row>
    <row r="24" spans="1:7" x14ac:dyDescent="0.25">
      <c r="A24" s="11" t="s">
        <v>149</v>
      </c>
      <c r="B24" s="11"/>
      <c r="C24" s="11"/>
      <c r="E24" s="11" t="s">
        <v>149</v>
      </c>
      <c r="F24" s="11"/>
      <c r="G24" s="11"/>
    </row>
    <row r="25" spans="1:7" x14ac:dyDescent="0.25">
      <c r="A25" s="12" t="s">
        <v>150</v>
      </c>
      <c r="B25">
        <f>(B3-B5)/B15</f>
        <v>0.16786768276571171</v>
      </c>
      <c r="C25">
        <f>(C3-C5)/C15</f>
        <v>-0.15910322969039487</v>
      </c>
      <c r="E25" s="12" t="s">
        <v>150</v>
      </c>
      <c r="F25">
        <f>(F3-F5)/F15</f>
        <v>0.17564717625070764</v>
      </c>
      <c r="G25">
        <f>(G3-G5)/G15</f>
        <v>-0.17811743386118012</v>
      </c>
    </row>
    <row r="26" spans="1:7" x14ac:dyDescent="0.25">
      <c r="A26" s="11" t="s">
        <v>151</v>
      </c>
      <c r="B26">
        <f>(B3-B5)/B16</f>
        <v>0.16786768276571171</v>
      </c>
      <c r="C26">
        <f>(C3-C5)/C16</f>
        <v>-0.15910322969039487</v>
      </c>
      <c r="E26" s="11" t="s">
        <v>151</v>
      </c>
      <c r="F26">
        <f>(F3-F5)/F16</f>
        <v>0.17564717625070764</v>
      </c>
      <c r="G26">
        <f>(G3-G5)/G16</f>
        <v>-0.17811743386118012</v>
      </c>
    </row>
    <row r="27" spans="1:7" x14ac:dyDescent="0.25">
      <c r="A27" s="12" t="s">
        <v>152</v>
      </c>
      <c r="B27">
        <f>(B3-B5)/(SQRT(POWER(B17,2)))</f>
        <v>-0.16786768276571171</v>
      </c>
      <c r="C27">
        <f>(C3-C5)/(SQRT(POWER(C17,2)))</f>
        <v>0.15910322969039487</v>
      </c>
      <c r="E27" s="12" t="s">
        <v>152</v>
      </c>
      <c r="F27">
        <f>(F3-F5)/(SQRT(POWER(F17,2)))</f>
        <v>-0.17564717625070764</v>
      </c>
      <c r="G27">
        <f>(G3-G5)/(SQRT(POWER(G17,2)))</f>
        <v>0.17811743386118012</v>
      </c>
    </row>
    <row r="28" spans="1:7" x14ac:dyDescent="0.25">
      <c r="A28" s="11" t="s">
        <v>153</v>
      </c>
      <c r="B28" s="11"/>
      <c r="C28" s="11"/>
      <c r="E28" s="11" t="s">
        <v>153</v>
      </c>
      <c r="F28" s="11"/>
      <c r="G28" s="11"/>
    </row>
    <row r="29" spans="1:7" x14ac:dyDescent="0.25">
      <c r="A29" s="12" t="s">
        <v>154</v>
      </c>
      <c r="B29">
        <f>-(B4-(1.56*B12))*1</f>
        <v>3.9998400000000003</v>
      </c>
      <c r="C29">
        <f>-(C4-(1.56*C12))*1</f>
        <v>4.2689399999999997</v>
      </c>
      <c r="E29" s="12" t="s">
        <v>154</v>
      </c>
      <c r="F29">
        <f>-(F4-(1.56*F12))*1</f>
        <v>3.8951640000000003</v>
      </c>
      <c r="G29">
        <f>-(G4-(1.56*G12))*1</f>
        <v>3.903276</v>
      </c>
    </row>
    <row r="30" spans="1:7" x14ac:dyDescent="0.25">
      <c r="A30" s="11" t="s">
        <v>155</v>
      </c>
      <c r="B30">
        <f>B4-B18*B12</f>
        <v>3.7534726122458575</v>
      </c>
      <c r="C30">
        <f>C4-C18*C12</f>
        <v>6.0266522083072251</v>
      </c>
      <c r="E30" s="11" t="s">
        <v>155</v>
      </c>
      <c r="F30">
        <f>F4-F18*F12</f>
        <v>3.6586698843816663</v>
      </c>
      <c r="G30">
        <f>G4-G18*G12</f>
        <v>5.6111129073792956</v>
      </c>
    </row>
    <row r="31" spans="1:7" x14ac:dyDescent="0.25">
      <c r="A31" s="12" t="s">
        <v>156</v>
      </c>
      <c r="B31">
        <f>((B3-B6)*1)/(B12-B13)</f>
        <v>-0.32168790781523987</v>
      </c>
      <c r="C31">
        <f>((C3-C6)*1)/(C12-C13)</f>
        <v>0.72211831372006907</v>
      </c>
      <c r="E31" s="12" t="s">
        <v>156</v>
      </c>
      <c r="F31">
        <f>((F3-F6)*1)/(F12-F13)</f>
        <v>-0.26228985049587861</v>
      </c>
      <c r="G31">
        <f>((G3-G6)*1)/(G12-G13)</f>
        <v>0.22244184149747706</v>
      </c>
    </row>
    <row r="32" spans="1:7" x14ac:dyDescent="0.25">
      <c r="A32" s="11" t="s">
        <v>157</v>
      </c>
      <c r="B32">
        <f>(B3-B5)/(B5-B30)</f>
        <v>0.20905860725410944</v>
      </c>
      <c r="C32">
        <f>(C3-C5)/(C5-C30)</f>
        <v>-0.21038947006964395</v>
      </c>
      <c r="E32" s="11" t="s">
        <v>157</v>
      </c>
      <c r="F32">
        <f>(F3-F5)/(F5-F30)</f>
        <v>0.21218428183085078</v>
      </c>
      <c r="G32">
        <f>(G3-G5)/(G5-G30)</f>
        <v>-0.23268568288977573</v>
      </c>
    </row>
    <row r="34" spans="1:7" x14ac:dyDescent="0.25">
      <c r="A34" t="s">
        <v>94</v>
      </c>
      <c r="B34" t="s">
        <v>110</v>
      </c>
      <c r="C34" t="s">
        <v>111</v>
      </c>
      <c r="E34" t="s">
        <v>94</v>
      </c>
      <c r="F34" t="s">
        <v>110</v>
      </c>
      <c r="G34" t="s">
        <v>111</v>
      </c>
    </row>
    <row r="35" spans="1:7" x14ac:dyDescent="0.25">
      <c r="A35" s="11" t="s">
        <v>125</v>
      </c>
      <c r="B35" s="11"/>
      <c r="C35" s="11"/>
      <c r="E35" s="11" t="s">
        <v>126</v>
      </c>
      <c r="F35" s="11"/>
      <c r="G35" s="11"/>
    </row>
    <row r="36" spans="1:7" x14ac:dyDescent="0.25">
      <c r="A36" s="12" t="s">
        <v>114</v>
      </c>
      <c r="B36">
        <v>0.30704169176293938</v>
      </c>
      <c r="C36">
        <v>0.21095617568302585</v>
      </c>
      <c r="E36" s="12" t="s">
        <v>114</v>
      </c>
      <c r="F36">
        <v>0.27180373541600605</v>
      </c>
      <c r="G36">
        <v>-4.2209260479097614E-2</v>
      </c>
    </row>
    <row r="37" spans="1:7" x14ac:dyDescent="0.25">
      <c r="A37" s="11" t="s">
        <v>134</v>
      </c>
      <c r="B37">
        <v>0</v>
      </c>
      <c r="C37">
        <v>0</v>
      </c>
      <c r="E37" s="11" t="s">
        <v>134</v>
      </c>
      <c r="F37">
        <v>0</v>
      </c>
      <c r="G37">
        <v>0</v>
      </c>
    </row>
    <row r="38" spans="1:7" x14ac:dyDescent="0.25">
      <c r="A38" s="12" t="s">
        <v>22</v>
      </c>
      <c r="B38">
        <v>0.59782118167248988</v>
      </c>
      <c r="C38">
        <v>-0.40653235836888074</v>
      </c>
      <c r="E38" s="12" t="s">
        <v>22</v>
      </c>
      <c r="F38">
        <v>0.59782118167248988</v>
      </c>
      <c r="G38">
        <v>-0.40653235836888074</v>
      </c>
    </row>
    <row r="39" spans="1:7" x14ac:dyDescent="0.25">
      <c r="A39" s="11" t="s">
        <v>115</v>
      </c>
      <c r="B39">
        <v>0.46240517138664178</v>
      </c>
      <c r="C39">
        <v>0.11959462005808431</v>
      </c>
      <c r="E39" s="11" t="s">
        <v>115</v>
      </c>
      <c r="F39">
        <v>0.46240517138664178</v>
      </c>
      <c r="G39">
        <v>0.11959462005808431</v>
      </c>
    </row>
    <row r="40" spans="1:7" x14ac:dyDescent="0.25">
      <c r="A40" s="12" t="s">
        <v>135</v>
      </c>
      <c r="B40">
        <v>0.86910807727297801</v>
      </c>
      <c r="C40">
        <v>1.139587725942504</v>
      </c>
      <c r="E40" s="12" t="s">
        <v>135</v>
      </c>
      <c r="F40">
        <v>0.827777718160841</v>
      </c>
      <c r="G40">
        <v>0.72623794823076115</v>
      </c>
    </row>
    <row r="41" spans="1:7" x14ac:dyDescent="0.25">
      <c r="A41" s="11" t="s">
        <v>136</v>
      </c>
      <c r="B41">
        <v>-0.56206638551003851</v>
      </c>
      <c r="C41">
        <v>-0.9286315502594783</v>
      </c>
      <c r="E41" s="11" t="s">
        <v>136</v>
      </c>
      <c r="F41">
        <v>-0.55597398274483478</v>
      </c>
      <c r="G41">
        <v>-0.76844720870985883</v>
      </c>
    </row>
    <row r="42" spans="1:7" x14ac:dyDescent="0.25">
      <c r="A42" s="12" t="s">
        <v>137</v>
      </c>
      <c r="B42">
        <v>19.120377700005516</v>
      </c>
      <c r="C42">
        <v>25.070929970735087</v>
      </c>
      <c r="E42" s="12" t="s">
        <v>137</v>
      </c>
      <c r="F42">
        <v>18.211109799538502</v>
      </c>
      <c r="G42">
        <v>15.977234861076745</v>
      </c>
    </row>
    <row r="43" spans="1:7" x14ac:dyDescent="0.25">
      <c r="A43" s="11" t="s">
        <v>138</v>
      </c>
      <c r="B43">
        <v>-12.365460481220847</v>
      </c>
      <c r="C43">
        <v>-20.429894105708524</v>
      </c>
      <c r="E43" s="11" t="s">
        <v>138</v>
      </c>
      <c r="F43">
        <v>-12.231427620386366</v>
      </c>
      <c r="G43">
        <v>-16.905838591616895</v>
      </c>
    </row>
    <row r="44" spans="1:7" x14ac:dyDescent="0.25">
      <c r="A44" s="12" t="s">
        <v>116</v>
      </c>
      <c r="B44">
        <v>1.06976</v>
      </c>
      <c r="C44">
        <v>0.90341199999999999</v>
      </c>
      <c r="E44" s="12" t="s">
        <v>116</v>
      </c>
      <c r="F44">
        <v>0.701851</v>
      </c>
      <c r="G44">
        <v>0.59504999999999997</v>
      </c>
    </row>
    <row r="45" spans="1:7" x14ac:dyDescent="0.25">
      <c r="A45" s="11" t="s">
        <v>117</v>
      </c>
      <c r="B45">
        <v>2.1446999999999998</v>
      </c>
      <c r="C45">
        <v>2.6768999999999998</v>
      </c>
      <c r="E45" s="11" t="s">
        <v>117</v>
      </c>
      <c r="F45">
        <v>1.6331</v>
      </c>
      <c r="G45">
        <v>2.1112000000000002</v>
      </c>
    </row>
    <row r="46" spans="1:7" x14ac:dyDescent="0.25">
      <c r="A46" s="12" t="s">
        <v>118</v>
      </c>
      <c r="B46">
        <v>1.8179000000000001</v>
      </c>
      <c r="C46">
        <v>2.6120000000000001</v>
      </c>
      <c r="E46" s="12" t="s">
        <v>118</v>
      </c>
      <c r="F46">
        <v>1.8179000000000001</v>
      </c>
      <c r="G46">
        <v>2.6120000000000001</v>
      </c>
    </row>
    <row r="47" spans="1:7" x14ac:dyDescent="0.25">
      <c r="A47" s="11" t="s">
        <v>139</v>
      </c>
      <c r="B47">
        <v>1.8245436865233358</v>
      </c>
      <c r="C47">
        <v>3.0226817901914296</v>
      </c>
      <c r="E47" s="11" t="s">
        <v>139</v>
      </c>
      <c r="F47">
        <v>1.6408699935944944</v>
      </c>
      <c r="G47">
        <v>2.6703946309521469</v>
      </c>
    </row>
    <row r="48" spans="1:7" x14ac:dyDescent="0.25">
      <c r="A48" s="12" t="s">
        <v>140</v>
      </c>
      <c r="B48">
        <v>-4.6673841603734338</v>
      </c>
      <c r="C48">
        <v>-8.3936205691078438</v>
      </c>
      <c r="E48" s="12" t="s">
        <v>140</v>
      </c>
      <c r="F48">
        <v>-3.0978735428041033</v>
      </c>
      <c r="G48">
        <v>-4.1686181845539227</v>
      </c>
    </row>
    <row r="49" spans="1:7" x14ac:dyDescent="0.25">
      <c r="A49" s="11" t="s">
        <v>141</v>
      </c>
      <c r="B49">
        <v>-4.6673841603734338</v>
      </c>
      <c r="C49">
        <v>-8.3936205691078438</v>
      </c>
      <c r="E49" s="11" t="s">
        <v>141</v>
      </c>
      <c r="F49">
        <v>-3.0978735428041033</v>
      </c>
      <c r="G49">
        <v>-4.1686181845539227</v>
      </c>
    </row>
    <row r="50" spans="1:7" x14ac:dyDescent="0.25">
      <c r="A50" s="12" t="s">
        <v>142</v>
      </c>
      <c r="B50">
        <v>-4.6673841603734338</v>
      </c>
      <c r="C50">
        <v>-8.3936205691078438</v>
      </c>
      <c r="E50" s="12" t="s">
        <v>142</v>
      </c>
      <c r="F50">
        <v>-3.0978735428041033</v>
      </c>
      <c r="G50">
        <v>-4.1686181845539227</v>
      </c>
    </row>
    <row r="51" spans="1:7" ht="15.75" thickBot="1" x14ac:dyDescent="0.3">
      <c r="A51" s="11" t="s">
        <v>143</v>
      </c>
      <c r="B51">
        <v>-1.6647921398585503</v>
      </c>
      <c r="C51">
        <v>-1.8763085705583658</v>
      </c>
      <c r="E51" s="11" t="s">
        <v>143</v>
      </c>
      <c r="F51">
        <v>-1.7616043192584956</v>
      </c>
      <c r="G51">
        <v>-1.8138652986632042</v>
      </c>
    </row>
    <row r="52" spans="1:7" x14ac:dyDescent="0.25">
      <c r="A52" s="13" t="s">
        <v>144</v>
      </c>
      <c r="B52" s="13"/>
      <c r="C52" s="13"/>
      <c r="E52" s="13" t="s">
        <v>144</v>
      </c>
      <c r="F52" s="13"/>
      <c r="G52" s="13"/>
    </row>
    <row r="53" spans="1:7" x14ac:dyDescent="0.25">
      <c r="A53" s="11" t="s">
        <v>145</v>
      </c>
      <c r="B53" s="11"/>
      <c r="C53" s="11"/>
      <c r="E53" s="11" t="s">
        <v>145</v>
      </c>
      <c r="F53" s="11"/>
      <c r="G53" s="11"/>
    </row>
    <row r="54" spans="1:7" x14ac:dyDescent="0.25">
      <c r="A54" s="12" t="s">
        <v>146</v>
      </c>
      <c r="B54">
        <f>(B36-B37)/B47</f>
        <v>0.16828409976195566</v>
      </c>
      <c r="C54">
        <f>(C36-C37)/C47</f>
        <v>6.9791063143853388E-2</v>
      </c>
      <c r="E54" s="12" t="s">
        <v>146</v>
      </c>
      <c r="F54">
        <f>(F36-F37)/F47</f>
        <v>0.16564611241417856</v>
      </c>
      <c r="G54">
        <f>(G36-G37)/G47</f>
        <v>-1.5806375578297064E-2</v>
      </c>
    </row>
    <row r="55" spans="1:7" x14ac:dyDescent="0.25">
      <c r="A55" s="11" t="s">
        <v>147</v>
      </c>
      <c r="B55">
        <f>B40/B47</f>
        <v>0.47634270622977609</v>
      </c>
      <c r="C55">
        <f>C40/C47</f>
        <v>0.37701213857193111</v>
      </c>
      <c r="E55" s="11" t="s">
        <v>147</v>
      </c>
      <c r="F55">
        <f>F40/F47</f>
        <v>0.50447489526425482</v>
      </c>
      <c r="G55">
        <f>G40/G47</f>
        <v>0.27195903549724265</v>
      </c>
    </row>
    <row r="56" spans="1:7" x14ac:dyDescent="0.25">
      <c r="A56" s="12" t="s">
        <v>148</v>
      </c>
      <c r="B56">
        <f>B42/B43</f>
        <v>-1.5462730020481821</v>
      </c>
      <c r="C56">
        <f>C42/C43</f>
        <v>-1.2271688654386987</v>
      </c>
      <c r="E56" s="12" t="s">
        <v>148</v>
      </c>
      <c r="F56">
        <f>F42/F43</f>
        <v>-1.4888785156350579</v>
      </c>
      <c r="G56">
        <f>G42/G43</f>
        <v>-0.9450720101515333</v>
      </c>
    </row>
    <row r="57" spans="1:7" x14ac:dyDescent="0.25">
      <c r="A57" s="11" t="s">
        <v>149</v>
      </c>
      <c r="B57" s="11"/>
      <c r="C57" s="11"/>
      <c r="E57" s="11" t="s">
        <v>149</v>
      </c>
      <c r="F57" s="11"/>
      <c r="G57" s="11"/>
    </row>
    <row r="58" spans="1:7" x14ac:dyDescent="0.25">
      <c r="A58" s="12" t="s">
        <v>150</v>
      </c>
      <c r="B58">
        <f>(B36-B38)/B48</f>
        <v>6.2300312105932468E-2</v>
      </c>
      <c r="C58">
        <f>(C36-C38)/C48</f>
        <v>-7.3566410224037482E-2</v>
      </c>
      <c r="E58" s="12" t="s">
        <v>150</v>
      </c>
      <c r="F58">
        <f>(F36-F38)/F48</f>
        <v>0.10523910732695128</v>
      </c>
      <c r="G58">
        <f>(G36-G38)/G48</f>
        <v>-8.7396610042080103E-2</v>
      </c>
    </row>
    <row r="59" spans="1:7" x14ac:dyDescent="0.25">
      <c r="A59" s="11" t="s">
        <v>151</v>
      </c>
      <c r="B59">
        <f>(B36-B38)/B49</f>
        <v>6.2300312105932468E-2</v>
      </c>
      <c r="C59">
        <f>(C36-C38)/C49</f>
        <v>-7.3566410224037482E-2</v>
      </c>
      <c r="E59" s="11" t="s">
        <v>151</v>
      </c>
      <c r="F59">
        <f>(F36-F38)/F49</f>
        <v>0.10523910732695128</v>
      </c>
      <c r="G59">
        <f>(G36-G38)/G49</f>
        <v>-8.7396610042080103E-2</v>
      </c>
    </row>
    <row r="60" spans="1:7" x14ac:dyDescent="0.25">
      <c r="A60" s="12" t="s">
        <v>152</v>
      </c>
      <c r="B60">
        <f>(B36-B38)/(SQRT(POWER(B50,2)))</f>
        <v>-6.2300312105932468E-2</v>
      </c>
      <c r="C60">
        <f>(C36-C38)/(SQRT(POWER(C50,2)))</f>
        <v>7.3566410224037482E-2</v>
      </c>
      <c r="E60" s="12" t="s">
        <v>152</v>
      </c>
      <c r="F60">
        <f>(F36-F38)/(SQRT(POWER(F50,2)))</f>
        <v>-0.10523910732695128</v>
      </c>
      <c r="G60">
        <f>(G36-G38)/(SQRT(POWER(G50,2)))</f>
        <v>8.7396610042080103E-2</v>
      </c>
    </row>
    <row r="61" spans="1:7" x14ac:dyDescent="0.25">
      <c r="A61" s="11" t="s">
        <v>153</v>
      </c>
      <c r="B61" s="11"/>
      <c r="C61" s="11"/>
      <c r="E61" s="11" t="s">
        <v>153</v>
      </c>
      <c r="F61" s="11"/>
      <c r="G61" s="11"/>
    </row>
    <row r="62" spans="1:7" x14ac:dyDescent="0.25">
      <c r="A62" s="12" t="s">
        <v>154</v>
      </c>
      <c r="B62">
        <f>-(B37-(1.56*B45))*1</f>
        <v>3.3457319999999999</v>
      </c>
      <c r="C62">
        <f>-(C37-(1.56*C45))*1</f>
        <v>4.1759639999999996</v>
      </c>
      <c r="E62" s="12" t="s">
        <v>154</v>
      </c>
      <c r="F62">
        <f>-(F37-(1.56*F45))*1</f>
        <v>2.5476360000000002</v>
      </c>
      <c r="G62">
        <f>-(G37-(1.56*G45))*1</f>
        <v>3.2934720000000004</v>
      </c>
    </row>
    <row r="63" spans="1:7" x14ac:dyDescent="0.25">
      <c r="A63" s="11" t="s">
        <v>155</v>
      </c>
      <c r="B63">
        <f>B37-B51*B45</f>
        <v>3.5704797023546329</v>
      </c>
      <c r="C63">
        <f>C37-C51*C45</f>
        <v>5.0226904125276892</v>
      </c>
      <c r="E63" s="11" t="s">
        <v>155</v>
      </c>
      <c r="F63">
        <f>F37-F51*F45</f>
        <v>2.876876013781049</v>
      </c>
      <c r="G63">
        <f>G37-G51*G45</f>
        <v>3.8294324185377571</v>
      </c>
    </row>
    <row r="64" spans="1:7" x14ac:dyDescent="0.25">
      <c r="A64" s="12" t="s">
        <v>156</v>
      </c>
      <c r="B64">
        <f>((B36-B39)*1)/(B45-B46)</f>
        <v>-0.47540844438097463</v>
      </c>
      <c r="C64">
        <f>((C36-C39)*1)/(C45-C46)</f>
        <v>1.407728129814205</v>
      </c>
      <c r="E64" s="12" t="s">
        <v>156</v>
      </c>
      <c r="F64">
        <f>((F36-F39)*1)/(F45-F46)</f>
        <v>1.0313930517891539</v>
      </c>
      <c r="G64">
        <f>((G36-G39)*1)/(G45-G46)</f>
        <v>0.32309081576913329</v>
      </c>
    </row>
    <row r="65" spans="1:7" x14ac:dyDescent="0.25">
      <c r="A65" s="11" t="s">
        <v>157</v>
      </c>
      <c r="B65">
        <f>(B36-B38)/(B38-B63)</f>
        <v>9.7817992845954146E-2</v>
      </c>
      <c r="C65">
        <f>(C36-C38)/(C38-C63)</f>
        <v>-0.11373424154963085</v>
      </c>
      <c r="E65" s="11" t="s">
        <v>157</v>
      </c>
      <c r="F65">
        <f>(F36-F38)/(F38-F63)</f>
        <v>0.14304940875637276</v>
      </c>
      <c r="G65">
        <f>(G36-G38)/(G38-G63)</f>
        <v>-8.6007112211125197E-2</v>
      </c>
    </row>
  </sheetData>
  <pageMargins left="0.7" right="0.7" top="0.75" bottom="0.75" header="0.3" footer="0.3"/>
  <pageSetup paperSize="9" orientation="portrait" horizontalDpi="4294967294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237BB-FEF3-4077-BD2E-9ACA8EC898FE}">
  <dimension ref="A1:L46"/>
  <sheetViews>
    <sheetView zoomScale="90" zoomScaleNormal="90" workbookViewId="0">
      <selection activeCell="D1" activeCellId="1" sqref="A1:A1048576 D1:D1048576"/>
    </sheetView>
  </sheetViews>
  <sheetFormatPr defaultRowHeight="15" x14ac:dyDescent="0.25"/>
  <cols>
    <col min="1" max="1" width="10.42578125" bestFit="1" customWidth="1"/>
    <col min="2" max="2" width="13.5703125" bestFit="1" customWidth="1"/>
    <col min="3" max="3" width="21.5703125" customWidth="1"/>
    <col min="4" max="4" width="28" customWidth="1"/>
    <col min="5" max="5" width="27.42578125" customWidth="1"/>
    <col min="6" max="6" width="22.5703125" customWidth="1"/>
    <col min="7" max="7" width="11.85546875" customWidth="1"/>
    <col min="8" max="8" width="16.42578125" customWidth="1"/>
    <col min="9" max="9" width="23.5703125" customWidth="1"/>
    <col min="10" max="10" width="24.42578125" customWidth="1"/>
    <col min="11" max="11" width="32.85546875" customWidth="1"/>
    <col min="12" max="12" width="26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10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1">
        <v>45508</v>
      </c>
      <c r="B2">
        <v>2171.35</v>
      </c>
      <c r="C2">
        <v>0</v>
      </c>
      <c r="D2">
        <v>0</v>
      </c>
      <c r="E2">
        <v>5.165</v>
      </c>
      <c r="F2">
        <v>0</v>
      </c>
      <c r="G2">
        <v>81648.83</v>
      </c>
      <c r="H2">
        <v>0</v>
      </c>
      <c r="I2">
        <f>SFIO_PL[[#This Row],[Stopa WIG]]*100%</f>
        <v>0</v>
      </c>
      <c r="J2">
        <f>MIN(0,(SFIO_PL[[#This Row],[Logarytmiczna stopa zwrotu]]-0))</f>
        <v>0</v>
      </c>
      <c r="K2">
        <f>MIN(0,(SFIO_PL[[#This Row],[Rynkowa stopa zwrotu]]-0))</f>
        <v>0</v>
      </c>
      <c r="L2">
        <f>MAX(0,(SFIO_PL[[#This Row],[Logarytmiczna stopa zwrotu]]-0))</f>
        <v>0</v>
      </c>
    </row>
    <row r="3" spans="1:12" x14ac:dyDescent="0.25">
      <c r="A3" s="1">
        <v>45515</v>
      </c>
      <c r="B3">
        <v>2124.5500000000002</v>
      </c>
      <c r="C3">
        <f>((SFIO_PL[[#This Row],[Cena]]-B2)/SFIO_PL[[#This Row],[Cena]])*100</f>
        <v>-2.2028194205831695</v>
      </c>
      <c r="D3">
        <f>LN(SFIO_PL[[#This Row],[Cena]]/B2)*100</f>
        <v>-2.1789078686540146</v>
      </c>
      <c r="E3">
        <v>5.2169999999999996</v>
      </c>
      <c r="F3">
        <f>LN(SFIO_PL[[#This Row],[Instrument wolny od ryzyka]]/E2)*100</f>
        <v>1.0017421468653662</v>
      </c>
      <c r="G3">
        <v>79603.179999999993</v>
      </c>
      <c r="H3">
        <f>LN(SFIO_PL[[#This Row],[WIG]]/G2)*100</f>
        <v>-2.5373448057704686</v>
      </c>
      <c r="I3">
        <f>SFIO_PL[[#This Row],[Stopa WIG]]*100%</f>
        <v>-2.5373448057704686</v>
      </c>
      <c r="J3">
        <f>MIN(0,(SFIO_PL[[#This Row],[Logarytmiczna stopa zwrotu]]-0))</f>
        <v>-2.1789078686540146</v>
      </c>
      <c r="K3">
        <f>MIN(0,(SFIO_PL[[#This Row],[Rynkowa stopa zwrotu]]-0))</f>
        <v>-2.5373448057704686</v>
      </c>
      <c r="L3">
        <f>MAX(0,(SFIO_PL[[#This Row],[Logarytmiczna stopa zwrotu]]-0))</f>
        <v>0</v>
      </c>
    </row>
    <row r="4" spans="1:12" x14ac:dyDescent="0.25">
      <c r="A4" s="1">
        <v>45522</v>
      </c>
      <c r="B4">
        <v>2248.27</v>
      </c>
      <c r="C4">
        <f>((SFIO_PL[[#This Row],[Cena]]-B3)/SFIO_PL[[#This Row],[Cena]])*100</f>
        <v>5.502897783629181</v>
      </c>
      <c r="D4">
        <f>LN(SFIO_PL[[#This Row],[Cena]]/B3)*100</f>
        <v>5.6601016335584342</v>
      </c>
      <c r="E4">
        <v>5.3150000000000004</v>
      </c>
      <c r="F4">
        <f>LN(SFIO_PL[[#This Row],[Instrument wolny od ryzyka]]/E3)*100</f>
        <v>1.8610487753655796</v>
      </c>
      <c r="G4">
        <v>84690.74</v>
      </c>
      <c r="H4">
        <f>LN(SFIO_PL[[#This Row],[WIG]]/G3)*100</f>
        <v>6.1952226843661986</v>
      </c>
      <c r="I4">
        <f>SFIO_PL[[#This Row],[Stopa WIG]]*100%</f>
        <v>6.1952226843661986</v>
      </c>
      <c r="J4">
        <f>MIN(0,(SFIO_PL[[#This Row],[Logarytmiczna stopa zwrotu]]-0))</f>
        <v>0</v>
      </c>
      <c r="K4">
        <f>MIN(0,(SFIO_PL[[#This Row],[Rynkowa stopa zwrotu]]-0))</f>
        <v>0</v>
      </c>
      <c r="L4">
        <f>MAX(0,(SFIO_PL[[#This Row],[Logarytmiczna stopa zwrotu]]-0))</f>
        <v>5.6601016335584342</v>
      </c>
    </row>
    <row r="5" spans="1:12" x14ac:dyDescent="0.25">
      <c r="A5" s="1">
        <v>45529</v>
      </c>
      <c r="B5">
        <v>2222.7600000000002</v>
      </c>
      <c r="C5">
        <f>((SFIO_PL[[#This Row],[Cena]]-B4)/SFIO_PL[[#This Row],[Cena]])*100</f>
        <v>-1.1476722633122678</v>
      </c>
      <c r="D5">
        <f>LN(SFIO_PL[[#This Row],[Cena]]/B4)*100</f>
        <v>-1.1411364640275905</v>
      </c>
      <c r="E5">
        <v>5.2990000000000004</v>
      </c>
      <c r="F5">
        <f>LN(SFIO_PL[[#This Row],[Instrument wolny od ryzyka]]/E4)*100</f>
        <v>-0.301488828328626</v>
      </c>
      <c r="G5">
        <v>84158.33</v>
      </c>
      <c r="H5">
        <f>LN(SFIO_PL[[#This Row],[WIG]]/G4)*100</f>
        <v>-0.63063630081447597</v>
      </c>
      <c r="I5">
        <f>SFIO_PL[[#This Row],[Stopa WIG]]*100%</f>
        <v>-0.63063630081447597</v>
      </c>
      <c r="J5">
        <f>MIN(0,(SFIO_PL[[#This Row],[Logarytmiczna stopa zwrotu]]-0))</f>
        <v>-1.1411364640275905</v>
      </c>
      <c r="K5">
        <f>MIN(0,(SFIO_PL[[#This Row],[Rynkowa stopa zwrotu]]-0))</f>
        <v>-0.63063630081447597</v>
      </c>
      <c r="L5">
        <f>MAX(0,(SFIO_PL[[#This Row],[Logarytmiczna stopa zwrotu]]-0))</f>
        <v>0</v>
      </c>
    </row>
    <row r="6" spans="1:12" x14ac:dyDescent="0.25">
      <c r="A6" s="1">
        <v>45536</v>
      </c>
      <c r="B6">
        <v>2239.9299999999998</v>
      </c>
      <c r="C6">
        <f>((SFIO_PL[[#This Row],[Cena]]-B5)/SFIO_PL[[#This Row],[Cena]])*100</f>
        <v>0.76654181157445178</v>
      </c>
      <c r="D6">
        <f>LN(SFIO_PL[[#This Row],[Cena]]/B5)*100</f>
        <v>0.76949484381618782</v>
      </c>
      <c r="E6">
        <v>5.4219999999999997</v>
      </c>
      <c r="F6">
        <f>LN(SFIO_PL[[#This Row],[Instrument wolny od ryzyka]]/E5)*100</f>
        <v>2.2946627565848541</v>
      </c>
      <c r="G6">
        <v>84868.25</v>
      </c>
      <c r="H6">
        <f>LN(SFIO_PL[[#This Row],[WIG]]/G5)*100</f>
        <v>0.84001483609518857</v>
      </c>
      <c r="I6">
        <f>SFIO_PL[[#This Row],[Stopa WIG]]*100%</f>
        <v>0.84001483609518857</v>
      </c>
      <c r="J6">
        <f>MIN(0,(SFIO_PL[[#This Row],[Logarytmiczna stopa zwrotu]]-0))</f>
        <v>0</v>
      </c>
      <c r="K6">
        <f>MIN(0,(SFIO_PL[[#This Row],[Rynkowa stopa zwrotu]]-0))</f>
        <v>0</v>
      </c>
      <c r="L6">
        <f>MAX(0,(SFIO_PL[[#This Row],[Logarytmiczna stopa zwrotu]]-0))</f>
        <v>0.76949484381618782</v>
      </c>
    </row>
    <row r="7" spans="1:12" x14ac:dyDescent="0.25">
      <c r="A7" s="1">
        <v>45543</v>
      </c>
      <c r="B7">
        <v>2158.62</v>
      </c>
      <c r="C7">
        <f>((SFIO_PL[[#This Row],[Cena]]-B6)/SFIO_PL[[#This Row],[Cena]])*100</f>
        <v>-3.766758391935586</v>
      </c>
      <c r="D7">
        <f>LN(SFIO_PL[[#This Row],[Cena]]/B6)*100</f>
        <v>-3.6975486747947151</v>
      </c>
      <c r="E7">
        <v>5.258</v>
      </c>
      <c r="F7">
        <f>LN(SFIO_PL[[#This Row],[Instrument wolny od ryzyka]]/E6)*100</f>
        <v>-3.0714024768784305</v>
      </c>
      <c r="G7">
        <v>81744.47</v>
      </c>
      <c r="H7">
        <f>LN(SFIO_PL[[#This Row],[WIG]]/G6)*100</f>
        <v>-3.7501891768199869</v>
      </c>
      <c r="I7">
        <f>SFIO_PL[[#This Row],[Stopa WIG]]*100%</f>
        <v>-3.7501891768199869</v>
      </c>
      <c r="J7">
        <f>MIN(0,(SFIO_PL[[#This Row],[Logarytmiczna stopa zwrotu]]-0))</f>
        <v>-3.6975486747947151</v>
      </c>
      <c r="K7">
        <f>MIN(0,(SFIO_PL[[#This Row],[Rynkowa stopa zwrotu]]-0))</f>
        <v>-3.7501891768199869</v>
      </c>
      <c r="L7">
        <f>MAX(0,(SFIO_PL[[#This Row],[Logarytmiczna stopa zwrotu]]-0))</f>
        <v>0</v>
      </c>
    </row>
    <row r="8" spans="1:12" x14ac:dyDescent="0.25">
      <c r="A8" s="1">
        <v>45550</v>
      </c>
      <c r="B8">
        <v>2176.87</v>
      </c>
      <c r="C8">
        <f>((SFIO_PL[[#This Row],[Cena]]-B7)/SFIO_PL[[#This Row],[Cena]])*100</f>
        <v>0.83835966318613431</v>
      </c>
      <c r="D8">
        <f>LN(SFIO_PL[[#This Row],[Cena]]/B7)*100</f>
        <v>0.84189366342668859</v>
      </c>
      <c r="E8">
        <v>5.2510000000000003</v>
      </c>
      <c r="F8">
        <f>LN(SFIO_PL[[#This Row],[Instrument wolny od ryzyka]]/E7)*100</f>
        <v>-0.13321916519672172</v>
      </c>
      <c r="G8">
        <v>82302.58</v>
      </c>
      <c r="H8">
        <f>LN(SFIO_PL[[#This Row],[WIG]]/G7)*100</f>
        <v>0.68042936864627257</v>
      </c>
      <c r="I8">
        <f>SFIO_PL[[#This Row],[Stopa WIG]]*100%</f>
        <v>0.68042936864627257</v>
      </c>
      <c r="J8">
        <f>MIN(0,(SFIO_PL[[#This Row],[Logarytmiczna stopa zwrotu]]-0))</f>
        <v>0</v>
      </c>
      <c r="K8">
        <f>MIN(0,(SFIO_PL[[#This Row],[Rynkowa stopa zwrotu]]-0))</f>
        <v>0</v>
      </c>
      <c r="L8">
        <f>MAX(0,(SFIO_PL[[#This Row],[Logarytmiczna stopa zwrotu]]-0))</f>
        <v>0.84189366342668859</v>
      </c>
    </row>
    <row r="9" spans="1:12" x14ac:dyDescent="0.25">
      <c r="A9" s="1">
        <v>45557</v>
      </c>
      <c r="B9">
        <v>2159.02</v>
      </c>
      <c r="C9">
        <f>((SFIO_PL[[#This Row],[Cena]]-B8)/SFIO_PL[[#This Row],[Cena]])*100</f>
        <v>-0.82676399477540319</v>
      </c>
      <c r="D9">
        <f>LN(SFIO_PL[[#This Row],[Cena]]/B8)*100</f>
        <v>-0.82336502272740331</v>
      </c>
      <c r="E9">
        <v>5.3550000000000004</v>
      </c>
      <c r="F9">
        <f>LN(SFIO_PL[[#This Row],[Instrument wolny od ryzyka]]/E8)*100</f>
        <v>1.9612169243989883</v>
      </c>
      <c r="G9">
        <v>81759.710000000006</v>
      </c>
      <c r="H9">
        <f>LN(SFIO_PL[[#This Row],[WIG]]/G8)*100</f>
        <v>-0.66178764334710349</v>
      </c>
      <c r="I9">
        <f>SFIO_PL[[#This Row],[Stopa WIG]]*100%</f>
        <v>-0.66178764334710349</v>
      </c>
      <c r="J9">
        <f>MIN(0,(SFIO_PL[[#This Row],[Logarytmiczna stopa zwrotu]]-0))</f>
        <v>-0.82336502272740331</v>
      </c>
      <c r="K9">
        <f>MIN(0,(SFIO_PL[[#This Row],[Rynkowa stopa zwrotu]]-0))</f>
        <v>-0.66178764334710349</v>
      </c>
      <c r="L9">
        <f>MAX(0,(SFIO_PL[[#This Row],[Logarytmiczna stopa zwrotu]]-0))</f>
        <v>0</v>
      </c>
    </row>
    <row r="10" spans="1:12" x14ac:dyDescent="0.25">
      <c r="A10" s="1">
        <v>45564</v>
      </c>
      <c r="B10">
        <v>2245.17</v>
      </c>
      <c r="C10">
        <f>((SFIO_PL[[#This Row],[Cena]]-B9)/SFIO_PL[[#This Row],[Cena]])*100</f>
        <v>3.8371259191954326</v>
      </c>
      <c r="D10">
        <f>LN(SFIO_PL[[#This Row],[Cena]]/B9)*100</f>
        <v>3.9126827120345222</v>
      </c>
      <c r="E10">
        <v>5.2389999999999999</v>
      </c>
      <c r="F10">
        <f>LN(SFIO_PL[[#This Row],[Instrument wolny od ryzyka]]/E9)*100</f>
        <v>-2.1900063473629574</v>
      </c>
      <c r="G10">
        <v>84947.19</v>
      </c>
      <c r="H10">
        <f>LN(SFIO_PL[[#This Row],[WIG]]/G9)*100</f>
        <v>3.8245189807128668</v>
      </c>
      <c r="I10">
        <f>SFIO_PL[[#This Row],[Stopa WIG]]*100%</f>
        <v>3.8245189807128668</v>
      </c>
      <c r="J10">
        <f>MIN(0,(SFIO_PL[[#This Row],[Logarytmiczna stopa zwrotu]]-0))</f>
        <v>0</v>
      </c>
      <c r="K10">
        <f>MIN(0,(SFIO_PL[[#This Row],[Rynkowa stopa zwrotu]]-0))</f>
        <v>0</v>
      </c>
      <c r="L10">
        <f>MAX(0,(SFIO_PL[[#This Row],[Logarytmiczna stopa zwrotu]]-0))</f>
        <v>3.9126827120345222</v>
      </c>
    </row>
    <row r="11" spans="1:12" x14ac:dyDescent="0.25">
      <c r="A11" s="1">
        <v>45571</v>
      </c>
      <c r="B11">
        <v>2177.4699999999998</v>
      </c>
      <c r="C11">
        <f>((SFIO_PL[[#This Row],[Cena]]-B10)/SFIO_PL[[#This Row],[Cena]])*100</f>
        <v>-3.1091128695228996</v>
      </c>
      <c r="D11">
        <f>LN(SFIO_PL[[#This Row],[Cena]]/B10)*100</f>
        <v>-3.0617589775943364</v>
      </c>
      <c r="E11">
        <v>5.4080000000000004</v>
      </c>
      <c r="F11">
        <f>LN(SFIO_PL[[#This Row],[Instrument wolny od ryzyka]]/E10)*100</f>
        <v>3.1748698314580484</v>
      </c>
      <c r="G11">
        <v>82010.86</v>
      </c>
      <c r="H11">
        <f>LN(SFIO_PL[[#This Row],[WIG]]/G10)*100</f>
        <v>-3.5178091770130608</v>
      </c>
      <c r="I11">
        <f>SFIO_PL[[#This Row],[Stopa WIG]]*100%</f>
        <v>-3.5178091770130608</v>
      </c>
      <c r="J11">
        <f>MIN(0,(SFIO_PL[[#This Row],[Logarytmiczna stopa zwrotu]]-0))</f>
        <v>-3.0617589775943364</v>
      </c>
      <c r="K11">
        <f>MIN(0,(SFIO_PL[[#This Row],[Rynkowa stopa zwrotu]]-0))</f>
        <v>-3.5178091770130608</v>
      </c>
      <c r="L11">
        <f>MAX(0,(SFIO_PL[[#This Row],[Logarytmiczna stopa zwrotu]]-0))</f>
        <v>0</v>
      </c>
    </row>
    <row r="12" spans="1:12" x14ac:dyDescent="0.25">
      <c r="A12" s="1">
        <v>45578</v>
      </c>
      <c r="B12">
        <v>2207.98</v>
      </c>
      <c r="C12">
        <f>((SFIO_PL[[#This Row],[Cena]]-B11)/SFIO_PL[[#This Row],[Cena]])*100</f>
        <v>1.3818059946195262</v>
      </c>
      <c r="D12">
        <f>LN(SFIO_PL[[#This Row],[Cena]]/B11)*100</f>
        <v>1.3914418020706092</v>
      </c>
      <c r="E12">
        <v>5.548</v>
      </c>
      <c r="F12">
        <f>LN(SFIO_PL[[#This Row],[Instrument wolny od ryzyka]]/E11)*100</f>
        <v>2.5558163711922184</v>
      </c>
      <c r="G12">
        <v>83455.17</v>
      </c>
      <c r="H12">
        <f>LN(SFIO_PL[[#This Row],[WIG]]/G11)*100</f>
        <v>1.7457923934878101</v>
      </c>
      <c r="I12">
        <f>SFIO_PL[[#This Row],[Stopa WIG]]*100%</f>
        <v>1.7457923934878101</v>
      </c>
      <c r="J12">
        <f>MIN(0,(SFIO_PL[[#This Row],[Logarytmiczna stopa zwrotu]]-0))</f>
        <v>0</v>
      </c>
      <c r="K12">
        <f>MIN(0,(SFIO_PL[[#This Row],[Rynkowa stopa zwrotu]]-0))</f>
        <v>0</v>
      </c>
      <c r="L12">
        <f>MAX(0,(SFIO_PL[[#This Row],[Logarytmiczna stopa zwrotu]]-0))</f>
        <v>1.3914418020706092</v>
      </c>
    </row>
    <row r="13" spans="1:12" x14ac:dyDescent="0.25">
      <c r="A13" s="1">
        <v>45585</v>
      </c>
      <c r="B13">
        <v>2192.85</v>
      </c>
      <c r="C13">
        <f>((SFIO_PL[[#This Row],[Cena]]-B12)/SFIO_PL[[#This Row],[Cena]])*100</f>
        <v>-0.68996967416832478</v>
      </c>
      <c r="D13">
        <f>LN(SFIO_PL[[#This Row],[Cena]]/B12)*100</f>
        <v>-0.68760027592132611</v>
      </c>
      <c r="E13">
        <v>5.5810000000000004</v>
      </c>
      <c r="F13">
        <f>LN(SFIO_PL[[#This Row],[Instrument wolny od ryzyka]]/E12)*100</f>
        <v>0.5930469353711405</v>
      </c>
      <c r="G13">
        <v>82650.039999999994</v>
      </c>
      <c r="H13">
        <f>LN(SFIO_PL[[#This Row],[WIG]]/G12)*100</f>
        <v>-0.96942932187900954</v>
      </c>
      <c r="I13">
        <f>SFIO_PL[[#This Row],[Stopa WIG]]*100%</f>
        <v>-0.96942932187900954</v>
      </c>
      <c r="J13">
        <f>MIN(0,(SFIO_PL[[#This Row],[Logarytmiczna stopa zwrotu]]-0))</f>
        <v>-0.68760027592132611</v>
      </c>
      <c r="K13">
        <f>MIN(0,(SFIO_PL[[#This Row],[Rynkowa stopa zwrotu]]-0))</f>
        <v>-0.96942932187900954</v>
      </c>
      <c r="L13">
        <f>MAX(0,(SFIO_PL[[#This Row],[Logarytmiczna stopa zwrotu]]-0))</f>
        <v>0</v>
      </c>
    </row>
    <row r="14" spans="1:12" x14ac:dyDescent="0.25">
      <c r="A14" s="1">
        <v>45592</v>
      </c>
      <c r="B14">
        <v>2144.75</v>
      </c>
      <c r="C14">
        <f>((SFIO_PL[[#This Row],[Cena]]-B13)/SFIO_PL[[#This Row],[Cena]])*100</f>
        <v>-2.2426856276955314</v>
      </c>
      <c r="D14">
        <f>LN(SFIO_PL[[#This Row],[Cena]]/B13)*100</f>
        <v>-2.2179072172659868</v>
      </c>
      <c r="E14">
        <v>5.7779999999999996</v>
      </c>
      <c r="F14">
        <f>LN(SFIO_PL[[#This Row],[Instrument wolny od ryzyka]]/E13)*100</f>
        <v>3.4689630237746836</v>
      </c>
      <c r="G14">
        <v>80755.53</v>
      </c>
      <c r="H14">
        <f>LN(SFIO_PL[[#This Row],[WIG]]/G13)*100</f>
        <v>-2.3188865505407614</v>
      </c>
      <c r="I14">
        <f>SFIO_PL[[#This Row],[Stopa WIG]]*100%</f>
        <v>-2.3188865505407614</v>
      </c>
      <c r="J14">
        <f>MIN(0,(SFIO_PL[[#This Row],[Logarytmiczna stopa zwrotu]]-0))</f>
        <v>-2.2179072172659868</v>
      </c>
      <c r="K14">
        <f>MIN(0,(SFIO_PL[[#This Row],[Rynkowa stopa zwrotu]]-0))</f>
        <v>-2.3188865505407614</v>
      </c>
      <c r="L14">
        <f>MAX(0,(SFIO_PL[[#This Row],[Logarytmiczna stopa zwrotu]]-0))</f>
        <v>0</v>
      </c>
    </row>
    <row r="15" spans="1:12" x14ac:dyDescent="0.25">
      <c r="A15" s="1">
        <v>45599</v>
      </c>
      <c r="B15">
        <v>2116.12</v>
      </c>
      <c r="C15">
        <f>((SFIO_PL[[#This Row],[Cena]]-B14)/SFIO_PL[[#This Row],[Cena]])*100</f>
        <v>-1.3529478479481367</v>
      </c>
      <c r="D15">
        <f>LN(SFIO_PL[[#This Row],[Cena]]/B14)*100</f>
        <v>-1.343877230783264</v>
      </c>
      <c r="E15">
        <v>5.9630000000000001</v>
      </c>
      <c r="F15">
        <f>LN(SFIO_PL[[#This Row],[Instrument wolny od ryzyka]]/E14)*100</f>
        <v>3.1516108096925386</v>
      </c>
      <c r="G15">
        <v>79550.320000000007</v>
      </c>
      <c r="H15">
        <f>LN(SFIO_PL[[#This Row],[WIG]]/G14)*100</f>
        <v>-1.5036665327066834</v>
      </c>
      <c r="I15">
        <f>SFIO_PL[[#This Row],[Stopa WIG]]*100%</f>
        <v>-1.5036665327066834</v>
      </c>
      <c r="J15">
        <f>MIN(0,(SFIO_PL[[#This Row],[Logarytmiczna stopa zwrotu]]-0))</f>
        <v>-1.343877230783264</v>
      </c>
      <c r="K15">
        <f>MIN(0,(SFIO_PL[[#This Row],[Rynkowa stopa zwrotu]]-0))</f>
        <v>-1.5036665327066834</v>
      </c>
      <c r="L15">
        <f>MAX(0,(SFIO_PL[[#This Row],[Logarytmiczna stopa zwrotu]]-0))</f>
        <v>0</v>
      </c>
    </row>
    <row r="16" spans="1:12" x14ac:dyDescent="0.25">
      <c r="A16" s="1">
        <v>45606</v>
      </c>
      <c r="B16">
        <v>2193.7199999999998</v>
      </c>
      <c r="C16">
        <f>((SFIO_PL[[#This Row],[Cena]]-B15)/SFIO_PL[[#This Row],[Cena]])*100</f>
        <v>3.5373703116167929</v>
      </c>
      <c r="D16">
        <f>LN(SFIO_PL[[#This Row],[Cena]]/B15)*100</f>
        <v>3.6014509761752014</v>
      </c>
      <c r="E16">
        <v>5.6589999999999998</v>
      </c>
      <c r="F16">
        <f>LN(SFIO_PL[[#This Row],[Instrument wolny od ryzyka]]/E15)*100</f>
        <v>-5.232651198058214</v>
      </c>
      <c r="G16">
        <v>82250.2</v>
      </c>
      <c r="H16">
        <f>LN(SFIO_PL[[#This Row],[WIG]]/G15)*100</f>
        <v>3.3376043850483463</v>
      </c>
      <c r="I16">
        <f>SFIO_PL[[#This Row],[Stopa WIG]]*100%</f>
        <v>3.3376043850483463</v>
      </c>
      <c r="J16">
        <f>MIN(0,(SFIO_PL[[#This Row],[Logarytmiczna stopa zwrotu]]-0))</f>
        <v>0</v>
      </c>
      <c r="K16">
        <f>MIN(0,(SFIO_PL[[#This Row],[Rynkowa stopa zwrotu]]-0))</f>
        <v>0</v>
      </c>
      <c r="L16">
        <f>MAX(0,(SFIO_PL[[#This Row],[Logarytmiczna stopa zwrotu]]-0))</f>
        <v>3.6014509761752014</v>
      </c>
    </row>
    <row r="17" spans="1:12" x14ac:dyDescent="0.25">
      <c r="A17" s="1">
        <v>45613</v>
      </c>
      <c r="B17">
        <v>2128.7199999999998</v>
      </c>
      <c r="C17">
        <f>((SFIO_PL[[#This Row],[Cena]]-B16)/SFIO_PL[[#This Row],[Cena]])*100</f>
        <v>-3.0534781464917891</v>
      </c>
      <c r="D17">
        <f>LN(SFIO_PL[[#This Row],[Cena]]/B16)*100</f>
        <v>-3.0077872806851831</v>
      </c>
      <c r="E17">
        <v>5.6950000000000003</v>
      </c>
      <c r="F17">
        <f>LN(SFIO_PL[[#This Row],[Instrument wolny od ryzyka]]/E16)*100</f>
        <v>0.63413987387586768</v>
      </c>
      <c r="G17">
        <v>79330.679999999993</v>
      </c>
      <c r="H17">
        <f>LN(SFIO_PL[[#This Row],[WIG]]/G16)*100</f>
        <v>-3.6140882187562555</v>
      </c>
      <c r="I17">
        <f>SFIO_PL[[#This Row],[Stopa WIG]]*100%</f>
        <v>-3.6140882187562555</v>
      </c>
      <c r="J17">
        <f>MIN(0,(SFIO_PL[[#This Row],[Logarytmiczna stopa zwrotu]]-0))</f>
        <v>-3.0077872806851831</v>
      </c>
      <c r="K17">
        <f>MIN(0,(SFIO_PL[[#This Row],[Rynkowa stopa zwrotu]]-0))</f>
        <v>-3.6140882187562555</v>
      </c>
      <c r="L17">
        <f>MAX(0,(SFIO_PL[[#This Row],[Logarytmiczna stopa zwrotu]]-0))</f>
        <v>0</v>
      </c>
    </row>
    <row r="18" spans="1:12" x14ac:dyDescent="0.25">
      <c r="A18" s="1">
        <v>45620</v>
      </c>
      <c r="B18">
        <v>2137.37</v>
      </c>
      <c r="C18">
        <f>((SFIO_PL[[#This Row],[Cena]]-B17)/SFIO_PL[[#This Row],[Cena]])*100</f>
        <v>0.40470297608743883</v>
      </c>
      <c r="D18">
        <f>LN(SFIO_PL[[#This Row],[Cena]]/B17)*100</f>
        <v>0.40552411477898298</v>
      </c>
      <c r="E18">
        <v>5.5750000000000002</v>
      </c>
      <c r="F18">
        <f>LN(SFIO_PL[[#This Row],[Instrument wolny od ryzyka]]/E17)*100</f>
        <v>-2.1296279552963053</v>
      </c>
      <c r="G18">
        <v>79492.14</v>
      </c>
      <c r="H18">
        <f>LN(SFIO_PL[[#This Row],[WIG]]/G17)*100</f>
        <v>0.20332097820980446</v>
      </c>
      <c r="I18">
        <f>SFIO_PL[[#This Row],[Stopa WIG]]*100%</f>
        <v>0.20332097820980446</v>
      </c>
      <c r="J18">
        <f>MIN(0,(SFIO_PL[[#This Row],[Logarytmiczna stopa zwrotu]]-0))</f>
        <v>0</v>
      </c>
      <c r="K18">
        <f>MIN(0,(SFIO_PL[[#This Row],[Rynkowa stopa zwrotu]]-0))</f>
        <v>0</v>
      </c>
      <c r="L18">
        <f>MAX(0,(SFIO_PL[[#This Row],[Logarytmiczna stopa zwrotu]]-0))</f>
        <v>0.40552411477898298</v>
      </c>
    </row>
    <row r="19" spans="1:12" x14ac:dyDescent="0.25">
      <c r="A19" s="1">
        <v>45627</v>
      </c>
      <c r="B19">
        <v>2131.34</v>
      </c>
      <c r="C19">
        <f>((SFIO_PL[[#This Row],[Cena]]-B18)/SFIO_PL[[#This Row],[Cena]])*100</f>
        <v>-0.2829206039392938</v>
      </c>
      <c r="D19">
        <f>LN(SFIO_PL[[#This Row],[Cena]]/B18)*100</f>
        <v>-0.28252113687101504</v>
      </c>
      <c r="E19">
        <v>5.516</v>
      </c>
      <c r="F19">
        <f>LN(SFIO_PL[[#This Row],[Instrument wolny od ryzyka]]/E18)*100</f>
        <v>-1.0639357415127135</v>
      </c>
      <c r="G19">
        <v>79369.820000000007</v>
      </c>
      <c r="H19">
        <f>LN(SFIO_PL[[#This Row],[WIG]]/G18)*100</f>
        <v>-0.15399536071825495</v>
      </c>
      <c r="I19">
        <f>SFIO_PL[[#This Row],[Stopa WIG]]*100%</f>
        <v>-0.15399536071825495</v>
      </c>
      <c r="J19">
        <f>MIN(0,(SFIO_PL[[#This Row],[Logarytmiczna stopa zwrotu]]-0))</f>
        <v>-0.28252113687101504</v>
      </c>
      <c r="K19">
        <f>MIN(0,(SFIO_PL[[#This Row],[Rynkowa stopa zwrotu]]-0))</f>
        <v>-0.15399536071825495</v>
      </c>
      <c r="L19">
        <f>MAX(0,(SFIO_PL[[#This Row],[Logarytmiczna stopa zwrotu]]-0))</f>
        <v>0</v>
      </c>
    </row>
    <row r="20" spans="1:12" x14ac:dyDescent="0.25">
      <c r="A20" s="1">
        <v>45634</v>
      </c>
      <c r="B20">
        <v>2217.35</v>
      </c>
      <c r="C20">
        <f>((SFIO_PL[[#This Row],[Cena]]-B19)/SFIO_PL[[#This Row],[Cena]])*100</f>
        <v>3.8789546079779815</v>
      </c>
      <c r="D20">
        <f>LN(SFIO_PL[[#This Row],[Cena]]/B19)*100</f>
        <v>3.9561899273617751</v>
      </c>
      <c r="E20">
        <v>5.633</v>
      </c>
      <c r="F20">
        <f>LN(SFIO_PL[[#This Row],[Instrument wolny od ryzyka]]/E19)*100</f>
        <v>2.0989199981521436</v>
      </c>
      <c r="G20">
        <v>82860.19</v>
      </c>
      <c r="H20">
        <f>LN(SFIO_PL[[#This Row],[WIG]]/G19)*100</f>
        <v>4.3036534430185291</v>
      </c>
      <c r="I20">
        <f>SFIO_PL[[#This Row],[Stopa WIG]]*100%</f>
        <v>4.3036534430185291</v>
      </c>
      <c r="J20">
        <f>MIN(0,(SFIO_PL[[#This Row],[Logarytmiczna stopa zwrotu]]-0))</f>
        <v>0</v>
      </c>
      <c r="K20">
        <f>MIN(0,(SFIO_PL[[#This Row],[Rynkowa stopa zwrotu]]-0))</f>
        <v>0</v>
      </c>
      <c r="L20">
        <f>MAX(0,(SFIO_PL[[#This Row],[Logarytmiczna stopa zwrotu]]-0))</f>
        <v>3.9561899273617751</v>
      </c>
    </row>
    <row r="21" spans="1:12" x14ac:dyDescent="0.25">
      <c r="A21" s="1">
        <v>45641</v>
      </c>
      <c r="B21">
        <v>2200.98</v>
      </c>
      <c r="C21">
        <f>((SFIO_PL[[#This Row],[Cena]]-B20)/SFIO_PL[[#This Row],[Cena]])*100</f>
        <v>-0.74375959799725078</v>
      </c>
      <c r="D21">
        <f>LN(SFIO_PL[[#This Row],[Cena]]/B20)*100</f>
        <v>-0.74100734463998763</v>
      </c>
      <c r="E21">
        <v>5.8</v>
      </c>
      <c r="F21">
        <f>LN(SFIO_PL[[#This Row],[Instrument wolny od ryzyka]]/E20)*100</f>
        <v>2.9215757639796616</v>
      </c>
      <c r="G21">
        <v>81632.73</v>
      </c>
      <c r="H21">
        <f>LN(SFIO_PL[[#This Row],[WIG]]/G20)*100</f>
        <v>-1.4924445180048402</v>
      </c>
      <c r="I21">
        <f>SFIO_PL[[#This Row],[Stopa WIG]]*100%</f>
        <v>-1.4924445180048402</v>
      </c>
      <c r="J21">
        <f>MIN(0,(SFIO_PL[[#This Row],[Logarytmiczna stopa zwrotu]]-0))</f>
        <v>-0.74100734463998763</v>
      </c>
      <c r="K21">
        <f>MIN(0,(SFIO_PL[[#This Row],[Rynkowa stopa zwrotu]]-0))</f>
        <v>-1.4924445180048402</v>
      </c>
      <c r="L21">
        <f>MAX(0,(SFIO_PL[[#This Row],[Logarytmiczna stopa zwrotu]]-0))</f>
        <v>0</v>
      </c>
    </row>
    <row r="22" spans="1:12" x14ac:dyDescent="0.25">
      <c r="A22" s="1">
        <v>45648</v>
      </c>
      <c r="B22">
        <v>2143.77</v>
      </c>
      <c r="C22">
        <f>((SFIO_PL[[#This Row],[Cena]]-B21)/SFIO_PL[[#This Row],[Cena]])*100</f>
        <v>-2.6686631494983155</v>
      </c>
      <c r="D22">
        <f>LN(SFIO_PL[[#This Row],[Cena]]/B21)*100</f>
        <v>-2.6336754389644592</v>
      </c>
      <c r="E22">
        <v>5.8239999999999998</v>
      </c>
      <c r="F22">
        <f>LN(SFIO_PL[[#This Row],[Instrument wolny od ryzyka]]/E21)*100</f>
        <v>0.41293933420111123</v>
      </c>
      <c r="G22">
        <v>79474.16</v>
      </c>
      <c r="H22">
        <f>LN(SFIO_PL[[#This Row],[WIG]]/G21)*100</f>
        <v>-2.6798347111380969</v>
      </c>
      <c r="I22">
        <f>SFIO_PL[[#This Row],[Stopa WIG]]*100%</f>
        <v>-2.6798347111380969</v>
      </c>
      <c r="J22">
        <f>MIN(0,(SFIO_PL[[#This Row],[Logarytmiczna stopa zwrotu]]-0))</f>
        <v>-2.6336754389644592</v>
      </c>
      <c r="K22">
        <f>MIN(0,(SFIO_PL[[#This Row],[Rynkowa stopa zwrotu]]-0))</f>
        <v>-2.6798347111380969</v>
      </c>
      <c r="L22">
        <f>MAX(0,(SFIO_PL[[#This Row],[Logarytmiczna stopa zwrotu]]-0))</f>
        <v>0</v>
      </c>
    </row>
    <row r="23" spans="1:12" x14ac:dyDescent="0.25">
      <c r="A23" s="1">
        <v>45655</v>
      </c>
      <c r="B23">
        <v>2146.8200000000002</v>
      </c>
      <c r="C23">
        <f>((SFIO_PL[[#This Row],[Cena]]-B22)/SFIO_PL[[#This Row],[Cena]])*100</f>
        <v>0.14207059744180608</v>
      </c>
      <c r="D23">
        <f>LN(SFIO_PL[[#This Row],[Cena]]/B22)*100</f>
        <v>0.14217161340242521</v>
      </c>
      <c r="E23">
        <v>5.891</v>
      </c>
      <c r="F23">
        <f>LN(SFIO_PL[[#This Row],[Instrument wolny od ryzyka]]/E22)*100</f>
        <v>1.1438451645165457</v>
      </c>
      <c r="G23">
        <v>79842.52</v>
      </c>
      <c r="H23">
        <f>LN(SFIO_PL[[#This Row],[WIG]]/G22)*100</f>
        <v>0.4624257251780271</v>
      </c>
      <c r="I23">
        <f>SFIO_PL[[#This Row],[Stopa WIG]]*100%</f>
        <v>0.4624257251780271</v>
      </c>
      <c r="J23">
        <f>MIN(0,(SFIO_PL[[#This Row],[Logarytmiczna stopa zwrotu]]-0))</f>
        <v>0</v>
      </c>
      <c r="K23">
        <f>MIN(0,(SFIO_PL[[#This Row],[Rynkowa stopa zwrotu]]-0))</f>
        <v>0</v>
      </c>
      <c r="L23">
        <f>MAX(0,(SFIO_PL[[#This Row],[Logarytmiczna stopa zwrotu]]-0))</f>
        <v>0.14217161340242521</v>
      </c>
    </row>
    <row r="24" spans="1:12" x14ac:dyDescent="0.25">
      <c r="A24" s="1">
        <v>45662</v>
      </c>
      <c r="B24">
        <v>2187.23</v>
      </c>
      <c r="C24">
        <f>((SFIO_PL[[#This Row],[Cena]]-B23)/SFIO_PL[[#This Row],[Cena]])*100</f>
        <v>1.8475423252241354</v>
      </c>
      <c r="D24">
        <f>LN(SFIO_PL[[#This Row],[Cena]]/B23)*100</f>
        <v>1.8648225591588579</v>
      </c>
      <c r="E24">
        <v>5.9160000000000004</v>
      </c>
      <c r="F24">
        <f>LN(SFIO_PL[[#This Row],[Instrument wolny od ryzyka]]/E23)*100</f>
        <v>0.42347823090030562</v>
      </c>
      <c r="G24">
        <v>81444.58</v>
      </c>
      <c r="H24">
        <f>LN(SFIO_PL[[#This Row],[WIG]]/G23)*100</f>
        <v>1.9866594310596724</v>
      </c>
      <c r="I24">
        <f>SFIO_PL[[#This Row],[Stopa WIG]]*100%</f>
        <v>1.9866594310596724</v>
      </c>
      <c r="J24">
        <f>MIN(0,(SFIO_PL[[#This Row],[Logarytmiczna stopa zwrotu]]-0))</f>
        <v>0</v>
      </c>
      <c r="K24">
        <f>MIN(0,(SFIO_PL[[#This Row],[Rynkowa stopa zwrotu]]-0))</f>
        <v>0</v>
      </c>
      <c r="L24">
        <f>MAX(0,(SFIO_PL[[#This Row],[Logarytmiczna stopa zwrotu]]-0))</f>
        <v>1.8648225591588579</v>
      </c>
    </row>
    <row r="25" spans="1:12" x14ac:dyDescent="0.25">
      <c r="A25" s="1">
        <v>45669</v>
      </c>
      <c r="B25">
        <v>2207.4499999999998</v>
      </c>
      <c r="C25">
        <f>((SFIO_PL[[#This Row],[Cena]]-B24)/SFIO_PL[[#This Row],[Cena]])*100</f>
        <v>0.91598903712427471</v>
      </c>
      <c r="D25">
        <f>LN(SFIO_PL[[#This Row],[Cena]]/B24)*100</f>
        <v>0.9202100122565412</v>
      </c>
      <c r="E25">
        <v>6.0309999999999997</v>
      </c>
      <c r="F25">
        <f>LN(SFIO_PL[[#This Row],[Instrument wolny od ryzyka]]/E24)*100</f>
        <v>1.9252289620296323</v>
      </c>
      <c r="G25">
        <v>82210.47</v>
      </c>
      <c r="H25">
        <f>LN(SFIO_PL[[#This Row],[WIG]]/G24)*100</f>
        <v>0.93598772717972101</v>
      </c>
      <c r="I25">
        <f>SFIO_PL[[#This Row],[Stopa WIG]]*100%</f>
        <v>0.93598772717972101</v>
      </c>
      <c r="J25">
        <f>MIN(0,(SFIO_PL[[#This Row],[Logarytmiczna stopa zwrotu]]-0))</f>
        <v>0</v>
      </c>
      <c r="K25">
        <f>MIN(0,(SFIO_PL[[#This Row],[Rynkowa stopa zwrotu]]-0))</f>
        <v>0</v>
      </c>
      <c r="L25">
        <f>MAX(0,(SFIO_PL[[#This Row],[Logarytmiczna stopa zwrotu]]-0))</f>
        <v>0.9202100122565412</v>
      </c>
    </row>
    <row r="26" spans="1:12" x14ac:dyDescent="0.25">
      <c r="A26" s="1">
        <v>45676</v>
      </c>
      <c r="B26">
        <v>2238.86</v>
      </c>
      <c r="C26">
        <f>((SFIO_PL[[#This Row],[Cena]]-B25)/SFIO_PL[[#This Row],[Cena]])*100</f>
        <v>1.4029461422331146</v>
      </c>
      <c r="D26">
        <f>LN(SFIO_PL[[#This Row],[Cena]]/B25)*100</f>
        <v>1.4128804564582473</v>
      </c>
      <c r="E26">
        <v>5.8869999999999996</v>
      </c>
      <c r="F26">
        <f>LN(SFIO_PL[[#This Row],[Instrument wolny od ryzyka]]/E25)*100</f>
        <v>-2.4166304422725462</v>
      </c>
      <c r="G26">
        <v>83676.42</v>
      </c>
      <c r="H26">
        <f>LN(SFIO_PL[[#This Row],[WIG]]/G25)*100</f>
        <v>1.7674551160917102</v>
      </c>
      <c r="I26">
        <f>SFIO_PL[[#This Row],[Stopa WIG]]*100%</f>
        <v>1.7674551160917102</v>
      </c>
      <c r="J26">
        <f>MIN(0,(SFIO_PL[[#This Row],[Logarytmiczna stopa zwrotu]]-0))</f>
        <v>0</v>
      </c>
      <c r="K26">
        <f>MIN(0,(SFIO_PL[[#This Row],[Rynkowa stopa zwrotu]]-0))</f>
        <v>0</v>
      </c>
      <c r="L26">
        <f>MAX(0,(SFIO_PL[[#This Row],[Logarytmiczna stopa zwrotu]]-0))</f>
        <v>1.4128804564582473</v>
      </c>
    </row>
    <row r="27" spans="1:12" x14ac:dyDescent="0.25">
      <c r="A27" s="1">
        <v>45683</v>
      </c>
      <c r="B27">
        <v>2296.2399999999998</v>
      </c>
      <c r="C27">
        <f>((SFIO_PL[[#This Row],[Cena]]-B26)/SFIO_PL[[#This Row],[Cena]])*100</f>
        <v>2.4988677141762037</v>
      </c>
      <c r="D27">
        <f>LN(SFIO_PL[[#This Row],[Cena]]/B26)*100</f>
        <v>2.5306194863785985</v>
      </c>
      <c r="E27">
        <v>5.9160000000000004</v>
      </c>
      <c r="F27">
        <f>LN(SFIO_PL[[#This Row],[Instrument wolny od ryzyka]]/E26)*100</f>
        <v>0.49140148024291624</v>
      </c>
      <c r="G27">
        <v>85840.78</v>
      </c>
      <c r="H27">
        <f>LN(SFIO_PL[[#This Row],[WIG]]/G26)*100</f>
        <v>2.5536967579372076</v>
      </c>
      <c r="I27">
        <f>SFIO_PL[[#This Row],[Stopa WIG]]*100%</f>
        <v>2.5536967579372076</v>
      </c>
      <c r="J27">
        <f>MIN(0,(SFIO_PL[[#This Row],[Logarytmiczna stopa zwrotu]]-0))</f>
        <v>0</v>
      </c>
      <c r="K27">
        <f>MIN(0,(SFIO_PL[[#This Row],[Rynkowa stopa zwrotu]]-0))</f>
        <v>0</v>
      </c>
      <c r="L27">
        <f>MAX(0,(SFIO_PL[[#This Row],[Logarytmiczna stopa zwrotu]]-0))</f>
        <v>2.5306194863785985</v>
      </c>
    </row>
    <row r="28" spans="1:12" x14ac:dyDescent="0.25">
      <c r="A28" s="1">
        <v>45690</v>
      </c>
      <c r="B28">
        <v>2329.71</v>
      </c>
      <c r="C28">
        <f>((SFIO_PL[[#This Row],[Cena]]-B27)/SFIO_PL[[#This Row],[Cena]])*100</f>
        <v>1.4366594983925145</v>
      </c>
      <c r="D28">
        <f>LN(SFIO_PL[[#This Row],[Cena]]/B27)*100</f>
        <v>1.4470793700864406</v>
      </c>
      <c r="E28">
        <v>5.8330000000000002</v>
      </c>
      <c r="F28">
        <f>LN(SFIO_PL[[#This Row],[Instrument wolny od ryzyka]]/E27)*100</f>
        <v>-1.4129097077052879</v>
      </c>
      <c r="G28">
        <v>87367.57</v>
      </c>
      <c r="H28">
        <f>LN(SFIO_PL[[#This Row],[WIG]]/G27)*100</f>
        <v>1.7629976218810302</v>
      </c>
      <c r="I28">
        <f>SFIO_PL[[#This Row],[Stopa WIG]]*100%</f>
        <v>1.7629976218810302</v>
      </c>
      <c r="J28">
        <f>MIN(0,(SFIO_PL[[#This Row],[Logarytmiczna stopa zwrotu]]-0))</f>
        <v>0</v>
      </c>
      <c r="K28">
        <f>MIN(0,(SFIO_PL[[#This Row],[Rynkowa stopa zwrotu]]-0))</f>
        <v>0</v>
      </c>
      <c r="L28">
        <f>MAX(0,(SFIO_PL[[#This Row],[Logarytmiczna stopa zwrotu]]-0))</f>
        <v>1.4470793700864406</v>
      </c>
    </row>
    <row r="29" spans="1:12" x14ac:dyDescent="0.25">
      <c r="A29" s="1">
        <v>45697</v>
      </c>
      <c r="B29">
        <v>2382.58</v>
      </c>
      <c r="C29">
        <f>((SFIO_PL[[#This Row],[Cena]]-B28)/SFIO_PL[[#This Row],[Cena]])*100</f>
        <v>2.2190230758253611</v>
      </c>
      <c r="D29">
        <f>LN(SFIO_PL[[#This Row],[Cena]]/B28)*100</f>
        <v>2.2440137844603223</v>
      </c>
      <c r="E29">
        <v>5.8010000000000002</v>
      </c>
      <c r="F29">
        <f>LN(SFIO_PL[[#This Row],[Instrument wolny od ryzyka]]/E28)*100</f>
        <v>-0.55011312875733431</v>
      </c>
      <c r="G29">
        <v>89150.14</v>
      </c>
      <c r="H29">
        <f>LN(SFIO_PL[[#This Row],[WIG]]/G28)*100</f>
        <v>2.0197753522055062</v>
      </c>
      <c r="I29">
        <f>SFIO_PL[[#This Row],[Stopa WIG]]*100%</f>
        <v>2.0197753522055062</v>
      </c>
      <c r="J29">
        <f>MIN(0,(SFIO_PL[[#This Row],[Logarytmiczna stopa zwrotu]]-0))</f>
        <v>0</v>
      </c>
      <c r="K29">
        <f>MIN(0,(SFIO_PL[[#This Row],[Rynkowa stopa zwrotu]]-0))</f>
        <v>0</v>
      </c>
      <c r="L29">
        <f>MAX(0,(SFIO_PL[[#This Row],[Logarytmiczna stopa zwrotu]]-0))</f>
        <v>2.2440137844603223</v>
      </c>
    </row>
    <row r="30" spans="1:12" x14ac:dyDescent="0.25">
      <c r="A30" s="1">
        <v>45704</v>
      </c>
      <c r="B30">
        <v>2441.5300000000002</v>
      </c>
      <c r="C30">
        <f>((SFIO_PL[[#This Row],[Cena]]-B29)/SFIO_PL[[#This Row],[Cena]])*100</f>
        <v>2.4144696153641476</v>
      </c>
      <c r="D30">
        <f>LN(SFIO_PL[[#This Row],[Cena]]/B29)*100</f>
        <v>2.4440957815573188</v>
      </c>
      <c r="E30">
        <v>5.7460000000000004</v>
      </c>
      <c r="F30">
        <f>LN(SFIO_PL[[#This Row],[Instrument wolny od ryzyka]]/E29)*100</f>
        <v>-0.95263559268293652</v>
      </c>
      <c r="G30">
        <v>91788.05</v>
      </c>
      <c r="H30">
        <f>LN(SFIO_PL[[#This Row],[WIG]]/G29)*100</f>
        <v>2.9160200166192762</v>
      </c>
      <c r="I30">
        <f>SFIO_PL[[#This Row],[Stopa WIG]]*100%</f>
        <v>2.9160200166192762</v>
      </c>
      <c r="J30">
        <f>MIN(0,(SFIO_PL[[#This Row],[Logarytmiczna stopa zwrotu]]-0))</f>
        <v>0</v>
      </c>
      <c r="K30">
        <f>MIN(0,(SFIO_PL[[#This Row],[Rynkowa stopa zwrotu]]-0))</f>
        <v>0</v>
      </c>
      <c r="L30">
        <f>MAX(0,(SFIO_PL[[#This Row],[Logarytmiczna stopa zwrotu]]-0))</f>
        <v>2.4440957815573188</v>
      </c>
    </row>
    <row r="31" spans="1:12" x14ac:dyDescent="0.25">
      <c r="A31" s="1">
        <v>45711</v>
      </c>
      <c r="B31">
        <v>2477.0100000000002</v>
      </c>
      <c r="C31">
        <f>((SFIO_PL[[#This Row],[Cena]]-B30)/SFIO_PL[[#This Row],[Cena]])*100</f>
        <v>1.4323720937743496</v>
      </c>
      <c r="D31">
        <f>LN(SFIO_PL[[#This Row],[Cena]]/B30)*100</f>
        <v>1.4427295668531233</v>
      </c>
      <c r="E31">
        <v>5.8849999999999998</v>
      </c>
      <c r="F31">
        <f>LN(SFIO_PL[[#This Row],[Instrument wolny od ryzyka]]/E30)*100</f>
        <v>2.3902780155142014</v>
      </c>
      <c r="G31">
        <v>93117.48</v>
      </c>
      <c r="H31">
        <f>LN(SFIO_PL[[#This Row],[WIG]]/G30)*100</f>
        <v>1.4379806900181613</v>
      </c>
      <c r="I31">
        <f>SFIO_PL[[#This Row],[Stopa WIG]]*100%</f>
        <v>1.4379806900181613</v>
      </c>
      <c r="J31">
        <f>MIN(0,(SFIO_PL[[#This Row],[Logarytmiczna stopa zwrotu]]-0))</f>
        <v>0</v>
      </c>
      <c r="K31">
        <f>MIN(0,(SFIO_PL[[#This Row],[Rynkowa stopa zwrotu]]-0))</f>
        <v>0</v>
      </c>
      <c r="L31">
        <f>MAX(0,(SFIO_PL[[#This Row],[Logarytmiczna stopa zwrotu]]-0))</f>
        <v>1.4427295668531233</v>
      </c>
    </row>
    <row r="32" spans="1:12" x14ac:dyDescent="0.25">
      <c r="A32" s="1">
        <v>45718</v>
      </c>
      <c r="B32">
        <v>2453.48</v>
      </c>
      <c r="C32">
        <f>((SFIO_PL[[#This Row],[Cena]]-B31)/SFIO_PL[[#This Row],[Cena]])*100</f>
        <v>-0.9590459266022221</v>
      </c>
      <c r="D32">
        <f>LN(SFIO_PL[[#This Row],[Cena]]/B31)*100</f>
        <v>-0.95447627463151274</v>
      </c>
      <c r="E32">
        <v>5.7569999999999997</v>
      </c>
      <c r="F32">
        <f>LN(SFIO_PL[[#This Row],[Instrument wolny od ryzyka]]/E31)*100</f>
        <v>-2.1990235018567468</v>
      </c>
      <c r="G32">
        <v>91996.4</v>
      </c>
      <c r="H32">
        <f>LN(SFIO_PL[[#This Row],[WIG]]/G31)*100</f>
        <v>-1.2112475912636742</v>
      </c>
      <c r="I32">
        <f>SFIO_PL[[#This Row],[Stopa WIG]]*100%</f>
        <v>-1.2112475912636742</v>
      </c>
      <c r="J32">
        <f>MIN(0,(SFIO_PL[[#This Row],[Logarytmiczna stopa zwrotu]]-0))</f>
        <v>-0.95447627463151274</v>
      </c>
      <c r="K32">
        <f>MIN(0,(SFIO_PL[[#This Row],[Rynkowa stopa zwrotu]]-0))</f>
        <v>-1.2112475912636742</v>
      </c>
      <c r="L32">
        <f>MAX(0,(SFIO_PL[[#This Row],[Logarytmiczna stopa zwrotu]]-0))</f>
        <v>0</v>
      </c>
    </row>
    <row r="33" spans="1:12" x14ac:dyDescent="0.25">
      <c r="A33" s="1">
        <v>45725</v>
      </c>
      <c r="B33">
        <v>2479.8000000000002</v>
      </c>
      <c r="C33">
        <f>((SFIO_PL[[#This Row],[Cena]]-B32)/SFIO_PL[[#This Row],[Cena]])*100</f>
        <v>1.0613759174127011</v>
      </c>
      <c r="D33">
        <f>LN(SFIO_PL[[#This Row],[Cena]]/B32)*100</f>
        <v>1.0670486869142841</v>
      </c>
      <c r="E33">
        <v>5.9640000000000004</v>
      </c>
      <c r="F33">
        <f>LN(SFIO_PL[[#This Row],[Instrument wolny od ryzyka]]/E32)*100</f>
        <v>3.532489120881948</v>
      </c>
      <c r="G33">
        <v>93611.8</v>
      </c>
      <c r="H33">
        <f>LN(SFIO_PL[[#This Row],[WIG]]/G32)*100</f>
        <v>1.7406998065022721</v>
      </c>
      <c r="I33">
        <f>SFIO_PL[[#This Row],[Stopa WIG]]*100%</f>
        <v>1.7406998065022721</v>
      </c>
      <c r="J33">
        <f>MIN(0,(SFIO_PL[[#This Row],[Logarytmiczna stopa zwrotu]]-0))</f>
        <v>0</v>
      </c>
      <c r="K33">
        <f>MIN(0,(SFIO_PL[[#This Row],[Rynkowa stopa zwrotu]]-0))</f>
        <v>0</v>
      </c>
      <c r="L33">
        <f>MAX(0,(SFIO_PL[[#This Row],[Logarytmiczna stopa zwrotu]]-0))</f>
        <v>1.0670486869142841</v>
      </c>
    </row>
    <row r="34" spans="1:12" x14ac:dyDescent="0.25">
      <c r="A34" s="1">
        <v>45732</v>
      </c>
      <c r="B34">
        <v>2551.86</v>
      </c>
      <c r="C34">
        <f>((SFIO_PL[[#This Row],[Cena]]-B33)/SFIO_PL[[#This Row],[Cena]])*100</f>
        <v>2.8238226234981521</v>
      </c>
      <c r="D34">
        <f>LN(SFIO_PL[[#This Row],[Cena]]/B33)*100</f>
        <v>2.8644593279963231</v>
      </c>
      <c r="E34">
        <v>5.8959999999999999</v>
      </c>
      <c r="F34">
        <f>LN(SFIO_PL[[#This Row],[Instrument wolny od ryzyka]]/E33)*100</f>
        <v>-1.1467242015456542</v>
      </c>
      <c r="G34">
        <v>97045.24</v>
      </c>
      <c r="H34">
        <f>LN(SFIO_PL[[#This Row],[WIG]]/G33)*100</f>
        <v>3.6020817615466818</v>
      </c>
      <c r="I34">
        <f>SFIO_PL[[#This Row],[Stopa WIG]]*100%</f>
        <v>3.6020817615466818</v>
      </c>
      <c r="J34">
        <f>MIN(0,(SFIO_PL[[#This Row],[Logarytmiczna stopa zwrotu]]-0))</f>
        <v>0</v>
      </c>
      <c r="K34">
        <f>MIN(0,(SFIO_PL[[#This Row],[Rynkowa stopa zwrotu]]-0))</f>
        <v>0</v>
      </c>
      <c r="L34">
        <f>MAX(0,(SFIO_PL[[#This Row],[Logarytmiczna stopa zwrotu]]-0))</f>
        <v>2.8644593279963231</v>
      </c>
    </row>
    <row r="35" spans="1:12" x14ac:dyDescent="0.25">
      <c r="A35" s="1">
        <v>45739</v>
      </c>
      <c r="B35">
        <v>2562.12</v>
      </c>
      <c r="C35">
        <f>((SFIO_PL[[#This Row],[Cena]]-B34)/SFIO_PL[[#This Row],[Cena]])*100</f>
        <v>0.40044962765209136</v>
      </c>
      <c r="D35">
        <f>LN(SFIO_PL[[#This Row],[Cena]]/B34)*100</f>
        <v>0.40125357415847168</v>
      </c>
      <c r="E35">
        <v>5.8310000000000004</v>
      </c>
      <c r="F35">
        <f>LN(SFIO_PL[[#This Row],[Instrument wolny od ryzyka]]/E34)*100</f>
        <v>-1.1085642647016498</v>
      </c>
      <c r="G35">
        <v>96891.23</v>
      </c>
      <c r="H35">
        <f>LN(SFIO_PL[[#This Row],[WIG]]/G34)*100</f>
        <v>-0.15882524042515353</v>
      </c>
      <c r="I35">
        <f>SFIO_PL[[#This Row],[Stopa WIG]]*100%</f>
        <v>-0.15882524042515353</v>
      </c>
      <c r="J35">
        <f>MIN(0,(SFIO_PL[[#This Row],[Logarytmiczna stopa zwrotu]]-0))</f>
        <v>0</v>
      </c>
      <c r="K35">
        <f>MIN(0,(SFIO_PL[[#This Row],[Rynkowa stopa zwrotu]]-0))</f>
        <v>-0.15882524042515353</v>
      </c>
      <c r="L35">
        <f>MAX(0,(SFIO_PL[[#This Row],[Logarytmiczna stopa zwrotu]]-0))</f>
        <v>0.40125357415847168</v>
      </c>
    </row>
    <row r="36" spans="1:12" x14ac:dyDescent="0.25">
      <c r="A36" s="1">
        <v>45746</v>
      </c>
      <c r="B36">
        <v>2581.69</v>
      </c>
      <c r="C36">
        <f>((SFIO_PL[[#This Row],[Cena]]-B35)/SFIO_PL[[#This Row],[Cena]])*100</f>
        <v>0.75803059236392301</v>
      </c>
      <c r="D36">
        <f>LN(SFIO_PL[[#This Row],[Cena]]/B35)*100</f>
        <v>0.7609182463816051</v>
      </c>
      <c r="E36">
        <v>5.7960000000000003</v>
      </c>
      <c r="F36">
        <f>LN(SFIO_PL[[#This Row],[Instrument wolny od ryzyka]]/E35)*100</f>
        <v>-0.60204877815830249</v>
      </c>
      <c r="G36">
        <v>97819.39</v>
      </c>
      <c r="H36">
        <f>LN(SFIO_PL[[#This Row],[WIG]]/G35)*100</f>
        <v>0.95338100233176115</v>
      </c>
      <c r="I36">
        <f>SFIO_PL[[#This Row],[Stopa WIG]]*100%</f>
        <v>0.95338100233176115</v>
      </c>
      <c r="J36">
        <f>MIN(0,(SFIO_PL[[#This Row],[Logarytmiczna stopa zwrotu]]-0))</f>
        <v>0</v>
      </c>
      <c r="K36">
        <f>MIN(0,(SFIO_PL[[#This Row],[Rynkowa stopa zwrotu]]-0))</f>
        <v>0</v>
      </c>
      <c r="L36">
        <f>MAX(0,(SFIO_PL[[#This Row],[Logarytmiczna stopa zwrotu]]-0))</f>
        <v>0.7609182463816051</v>
      </c>
    </row>
    <row r="37" spans="1:12" x14ac:dyDescent="0.25">
      <c r="A37" s="1">
        <v>45753</v>
      </c>
      <c r="B37">
        <v>2386.5100000000002</v>
      </c>
      <c r="C37">
        <f>((SFIO_PL[[#This Row],[Cena]]-B36)/SFIO_PL[[#This Row],[Cena]])*100</f>
        <v>-8.1784698157560545</v>
      </c>
      <c r="D37">
        <f>LN(SFIO_PL[[#This Row],[Cena]]/B36)*100</f>
        <v>-7.8612175557185138</v>
      </c>
      <c r="E37">
        <v>5.2939999999999996</v>
      </c>
      <c r="F37">
        <f>LN(SFIO_PL[[#This Row],[Instrument wolny od ryzyka]]/E36)*100</f>
        <v>-9.0593920653526503</v>
      </c>
      <c r="G37">
        <v>89040</v>
      </c>
      <c r="H37">
        <f>LN(SFIO_PL[[#This Row],[WIG]]/G36)*100</f>
        <v>-9.4037112180908338</v>
      </c>
      <c r="I37">
        <f>SFIO_PL[[#This Row],[Stopa WIG]]*100%</f>
        <v>-9.4037112180908338</v>
      </c>
      <c r="J37">
        <f>MIN(0,(SFIO_PL[[#This Row],[Logarytmiczna stopa zwrotu]]-0))</f>
        <v>-7.8612175557185138</v>
      </c>
      <c r="K37">
        <f>MIN(0,(SFIO_PL[[#This Row],[Rynkowa stopa zwrotu]]-0))</f>
        <v>-9.4037112180908338</v>
      </c>
      <c r="L37">
        <f>MAX(0,(SFIO_PL[[#This Row],[Logarytmiczna stopa zwrotu]]-0))</f>
        <v>0</v>
      </c>
    </row>
    <row r="38" spans="1:12" x14ac:dyDescent="0.25">
      <c r="A38" s="1">
        <v>45760</v>
      </c>
      <c r="B38">
        <v>2431.11</v>
      </c>
      <c r="C38">
        <f>((SFIO_PL[[#This Row],[Cena]]-B37)/SFIO_PL[[#This Row],[Cena]])*100</f>
        <v>1.8345529408377206</v>
      </c>
      <c r="D38">
        <f>LN(SFIO_PL[[#This Row],[Cena]]/B37)*100</f>
        <v>1.8515895487281804</v>
      </c>
      <c r="E38">
        <v>5.2549999999999999</v>
      </c>
      <c r="F38">
        <f>LN(SFIO_PL[[#This Row],[Instrument wolny od ryzyka]]/E37)*100</f>
        <v>-0.73940994759949707</v>
      </c>
      <c r="G38">
        <v>91120.04</v>
      </c>
      <c r="H38">
        <f>LN(SFIO_PL[[#This Row],[WIG]]/G37)*100</f>
        <v>2.3092051153103568</v>
      </c>
      <c r="I38">
        <f>SFIO_PL[[#This Row],[Stopa WIG]]*100%</f>
        <v>2.3092051153103568</v>
      </c>
      <c r="J38">
        <f>MIN(0,(SFIO_PL[[#This Row],[Logarytmiczna stopa zwrotu]]-0))</f>
        <v>0</v>
      </c>
      <c r="K38">
        <f>MIN(0,(SFIO_PL[[#This Row],[Rynkowa stopa zwrotu]]-0))</f>
        <v>0</v>
      </c>
      <c r="L38">
        <f>MAX(0,(SFIO_PL[[#This Row],[Logarytmiczna stopa zwrotu]]-0))</f>
        <v>1.8515895487281804</v>
      </c>
    </row>
    <row r="39" spans="1:12" x14ac:dyDescent="0.25">
      <c r="A39" s="1">
        <v>45767</v>
      </c>
      <c r="B39">
        <v>2515.35</v>
      </c>
      <c r="C39">
        <f>((SFIO_PL[[#This Row],[Cena]]-B38)/SFIO_PL[[#This Row],[Cena]])*100</f>
        <v>3.3490369133520104</v>
      </c>
      <c r="D39">
        <f>LN(SFIO_PL[[#This Row],[Cena]]/B38)*100</f>
        <v>3.4064015700025796</v>
      </c>
      <c r="E39">
        <v>5.1369999999999996</v>
      </c>
      <c r="F39">
        <f>LN(SFIO_PL[[#This Row],[Instrument wolny od ryzyka]]/E38)*100</f>
        <v>-2.2710752843783695</v>
      </c>
      <c r="G39">
        <v>95165.01</v>
      </c>
      <c r="H39">
        <f>LN(SFIO_PL[[#This Row],[WIG]]/G38)*100</f>
        <v>4.3434574099998136</v>
      </c>
      <c r="I39">
        <f>SFIO_PL[[#This Row],[Stopa WIG]]*100%</f>
        <v>4.3434574099998136</v>
      </c>
      <c r="J39">
        <f>MIN(0,(SFIO_PL[[#This Row],[Logarytmiczna stopa zwrotu]]-0))</f>
        <v>0</v>
      </c>
      <c r="K39">
        <f>MIN(0,(SFIO_PL[[#This Row],[Rynkowa stopa zwrotu]]-0))</f>
        <v>0</v>
      </c>
      <c r="L39">
        <f>MAX(0,(SFIO_PL[[#This Row],[Logarytmiczna stopa zwrotu]]-0))</f>
        <v>3.4064015700025796</v>
      </c>
    </row>
    <row r="40" spans="1:12" x14ac:dyDescent="0.25">
      <c r="A40" s="1">
        <v>45774</v>
      </c>
      <c r="B40">
        <v>2625.92</v>
      </c>
      <c r="C40">
        <f>((SFIO_PL[[#This Row],[Cena]]-B39)/SFIO_PL[[#This Row],[Cena]])*100</f>
        <v>4.2107147209359068</v>
      </c>
      <c r="D40">
        <f>LN(SFIO_PL[[#This Row],[Cena]]/B39)*100</f>
        <v>4.3019351952538303</v>
      </c>
      <c r="E40">
        <v>5.2649999999999997</v>
      </c>
      <c r="F40">
        <f>LN(SFIO_PL[[#This Row],[Instrument wolny od ryzyka]]/E39)*100</f>
        <v>2.4611894100808067</v>
      </c>
      <c r="G40">
        <v>100156.88</v>
      </c>
      <c r="H40">
        <f>LN(SFIO_PL[[#This Row],[WIG]]/G39)*100</f>
        <v>5.1125424486476669</v>
      </c>
      <c r="I40">
        <f>SFIO_PL[[#This Row],[Stopa WIG]]*100%</f>
        <v>5.1125424486476669</v>
      </c>
      <c r="J40">
        <f>MIN(0,(SFIO_PL[[#This Row],[Logarytmiczna stopa zwrotu]]-0))</f>
        <v>0</v>
      </c>
      <c r="K40">
        <f>MIN(0,(SFIO_PL[[#This Row],[Rynkowa stopa zwrotu]]-0))</f>
        <v>0</v>
      </c>
      <c r="L40">
        <f>MAX(0,(SFIO_PL[[#This Row],[Logarytmiczna stopa zwrotu]]-0))</f>
        <v>4.3019351952538303</v>
      </c>
    </row>
    <row r="41" spans="1:12" x14ac:dyDescent="0.25">
      <c r="A41" s="1">
        <v>45781</v>
      </c>
      <c r="B41">
        <v>2644.63</v>
      </c>
      <c r="C41">
        <f>((SFIO_PL[[#This Row],[Cena]]-B40)/SFIO_PL[[#This Row],[Cena]])*100</f>
        <v>0.70747136650495668</v>
      </c>
      <c r="D41">
        <f>LN(SFIO_PL[[#This Row],[Cena]]/B40)*100</f>
        <v>0.70998581151434381</v>
      </c>
      <c r="E41">
        <v>5.2370000000000001</v>
      </c>
      <c r="F41">
        <f>LN(SFIO_PL[[#This Row],[Instrument wolny od ryzyka]]/E40)*100</f>
        <v>-0.5332330288588113</v>
      </c>
      <c r="G41">
        <v>101199.94</v>
      </c>
      <c r="H41">
        <f>LN(SFIO_PL[[#This Row],[WIG]]/G40)*100</f>
        <v>1.0360407260946209</v>
      </c>
      <c r="I41">
        <f>SFIO_PL[[#This Row],[Stopa WIG]]*100%</f>
        <v>1.0360407260946209</v>
      </c>
      <c r="J41">
        <f>MIN(0,(SFIO_PL[[#This Row],[Logarytmiczna stopa zwrotu]]-0))</f>
        <v>0</v>
      </c>
      <c r="K41">
        <f>MIN(0,(SFIO_PL[[#This Row],[Rynkowa stopa zwrotu]]-0))</f>
        <v>0</v>
      </c>
      <c r="L41">
        <f>MAX(0,(SFIO_PL[[#This Row],[Logarytmiczna stopa zwrotu]]-0))</f>
        <v>0.70998581151434381</v>
      </c>
    </row>
    <row r="42" spans="1:12" x14ac:dyDescent="0.25">
      <c r="A42" s="1">
        <v>45788</v>
      </c>
      <c r="B42">
        <v>2715.07</v>
      </c>
      <c r="C42">
        <f>((SFIO_PL[[#This Row],[Cena]]-B41)/SFIO_PL[[#This Row],[Cena]])*100</f>
        <v>2.5944082473011765</v>
      </c>
      <c r="D42">
        <f>LN(SFIO_PL[[#This Row],[Cena]]/B41)*100</f>
        <v>2.6286566795524253</v>
      </c>
      <c r="E42">
        <v>5.3570000000000002</v>
      </c>
      <c r="F42">
        <f>LN(SFIO_PL[[#This Row],[Instrument wolny od ryzyka]]/E41)*100</f>
        <v>2.2655301601472666</v>
      </c>
      <c r="G42">
        <v>103247.39</v>
      </c>
      <c r="H42">
        <f>LN(SFIO_PL[[#This Row],[WIG]]/G41)*100</f>
        <v>2.0029789103459557</v>
      </c>
      <c r="I42">
        <f>SFIO_PL[[#This Row],[Stopa WIG]]*100%</f>
        <v>2.0029789103459557</v>
      </c>
      <c r="J42">
        <f>MIN(0,(SFIO_PL[[#This Row],[Logarytmiczna stopa zwrotu]]-0))</f>
        <v>0</v>
      </c>
      <c r="K42">
        <f>MIN(0,(SFIO_PL[[#This Row],[Rynkowa stopa zwrotu]]-0))</f>
        <v>0</v>
      </c>
      <c r="L42">
        <f>MAX(0,(SFIO_PL[[#This Row],[Logarytmiczna stopa zwrotu]]-0))</f>
        <v>2.6286566795524253</v>
      </c>
    </row>
    <row r="43" spans="1:12" x14ac:dyDescent="0.25">
      <c r="A43" s="1">
        <v>45795</v>
      </c>
      <c r="B43">
        <v>2702.54</v>
      </c>
      <c r="C43">
        <f>((SFIO_PL[[#This Row],[Cena]]-B42)/SFIO_PL[[#This Row],[Cena]])*100</f>
        <v>-0.46363791100224977</v>
      </c>
      <c r="D43">
        <f>LN(SFIO_PL[[#This Row],[Cena]]/B42)*100</f>
        <v>-0.46256642105229384</v>
      </c>
      <c r="E43">
        <v>5.44</v>
      </c>
      <c r="F43">
        <f>LN(SFIO_PL[[#This Row],[Instrument wolny od ryzyka]]/E42)*100</f>
        <v>1.5374943969028068</v>
      </c>
      <c r="G43">
        <v>103150.46</v>
      </c>
      <c r="H43">
        <f>LN(SFIO_PL[[#This Row],[WIG]]/G42)*100</f>
        <v>-9.3925403899265236E-2</v>
      </c>
      <c r="I43">
        <f>SFIO_PL[[#This Row],[Stopa WIG]]*100%</f>
        <v>-9.3925403899265236E-2</v>
      </c>
      <c r="J43">
        <f>MIN(0,(SFIO_PL[[#This Row],[Logarytmiczna stopa zwrotu]]-0))</f>
        <v>-0.46256642105229384</v>
      </c>
      <c r="K43">
        <f>MIN(0,(SFIO_PL[[#This Row],[Rynkowa stopa zwrotu]]-0))</f>
        <v>-9.3925403899265236E-2</v>
      </c>
      <c r="L43">
        <f>MAX(0,(SFIO_PL[[#This Row],[Logarytmiczna stopa zwrotu]]-0))</f>
        <v>0</v>
      </c>
    </row>
    <row r="44" spans="1:12" x14ac:dyDescent="0.25">
      <c r="A44" s="1">
        <v>45802</v>
      </c>
      <c r="B44">
        <v>2639.99</v>
      </c>
      <c r="C44">
        <f>((SFIO_PL[[#This Row],[Cena]]-B43)/SFIO_PL[[#This Row],[Cena]])*100</f>
        <v>-2.3693271565422669</v>
      </c>
      <c r="D44">
        <f>LN(SFIO_PL[[#This Row],[Cena]]/B43)*100</f>
        <v>-2.3416942259511369</v>
      </c>
      <c r="E44">
        <v>5.5650000000000004</v>
      </c>
      <c r="F44">
        <f>LN(SFIO_PL[[#This Row],[Instrument wolny od ryzyka]]/E43)*100</f>
        <v>2.2717923859656866</v>
      </c>
      <c r="G44">
        <v>99925.61</v>
      </c>
      <c r="H44">
        <f>LN(SFIO_PL[[#This Row],[WIG]]/G43)*100</f>
        <v>-3.1762689875092676</v>
      </c>
      <c r="I44">
        <f>SFIO_PL[[#This Row],[Stopa WIG]]*100%</f>
        <v>-3.1762689875092676</v>
      </c>
      <c r="J44">
        <f>MIN(0,(SFIO_PL[[#This Row],[Logarytmiczna stopa zwrotu]]-0))</f>
        <v>-2.3416942259511369</v>
      </c>
      <c r="K44">
        <f>MIN(0,(SFIO_PL[[#This Row],[Rynkowa stopa zwrotu]]-0))</f>
        <v>-3.1762689875092676</v>
      </c>
      <c r="L44">
        <f>MAX(0,(SFIO_PL[[#This Row],[Logarytmiczna stopa zwrotu]]-0))</f>
        <v>0</v>
      </c>
    </row>
    <row r="45" spans="1:12" x14ac:dyDescent="0.25">
      <c r="A45" s="1">
        <v>45809</v>
      </c>
      <c r="B45">
        <v>2671.39</v>
      </c>
      <c r="C45">
        <f>((SFIO_PL[[#This Row],[Cena]]-B44)/SFIO_PL[[#This Row],[Cena]])*100</f>
        <v>1.1754180407952448</v>
      </c>
      <c r="D45">
        <f>LN(SFIO_PL[[#This Row],[Cena]]/B44)*100</f>
        <v>1.1823806926054796</v>
      </c>
      <c r="E45">
        <v>5.3869999999999996</v>
      </c>
      <c r="F45">
        <f>LN(SFIO_PL[[#This Row],[Instrument wolny od ryzyka]]/E44)*100</f>
        <v>-3.2508341029111589</v>
      </c>
      <c r="G45">
        <v>101476.07</v>
      </c>
      <c r="H45">
        <f>LN(SFIO_PL[[#This Row],[WIG]]/G44)*100</f>
        <v>1.5396997981261948</v>
      </c>
      <c r="I45">
        <f>SFIO_PL[[#This Row],[Stopa WIG]]*100%</f>
        <v>1.5396997981261948</v>
      </c>
      <c r="J45">
        <f>MIN(0,(SFIO_PL[[#This Row],[Logarytmiczna stopa zwrotu]]-0))</f>
        <v>0</v>
      </c>
      <c r="K45">
        <f>MIN(0,(SFIO_PL[[#This Row],[Rynkowa stopa zwrotu]]-0))</f>
        <v>0</v>
      </c>
      <c r="L45">
        <f>MAX(0,(SFIO_PL[[#This Row],[Logarytmiczna stopa zwrotu]]-0))</f>
        <v>1.1823806926054796</v>
      </c>
    </row>
    <row r="46" spans="1:12" x14ac:dyDescent="0.25">
      <c r="A46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2948-06E7-4A5F-B76C-5568D21655CF}">
  <dimension ref="A1:L46"/>
  <sheetViews>
    <sheetView zoomScale="90" zoomScaleNormal="90" workbookViewId="0">
      <selection activeCell="D1" activeCellId="1" sqref="A1:A1048576 D1:D1048576"/>
    </sheetView>
  </sheetViews>
  <sheetFormatPr defaultRowHeight="15" x14ac:dyDescent="0.25"/>
  <cols>
    <col min="1" max="1" width="10.42578125" bestFit="1" customWidth="1"/>
    <col min="2" max="2" width="13.5703125" bestFit="1" customWidth="1"/>
    <col min="3" max="3" width="21.140625" customWidth="1"/>
    <col min="4" max="4" width="21.7109375" customWidth="1"/>
    <col min="5" max="5" width="28.28515625" customWidth="1"/>
    <col min="6" max="6" width="22.42578125" customWidth="1"/>
    <col min="7" max="7" width="19.28515625" customWidth="1"/>
    <col min="8" max="8" width="14" customWidth="1"/>
    <col min="9" max="9" width="23.28515625" customWidth="1"/>
    <col min="10" max="10" width="24.42578125" customWidth="1"/>
    <col min="11" max="11" width="20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13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1">
        <v>45508</v>
      </c>
      <c r="B2">
        <v>50.37</v>
      </c>
      <c r="C2">
        <v>0</v>
      </c>
      <c r="D2">
        <v>0</v>
      </c>
      <c r="E2">
        <v>5.165</v>
      </c>
      <c r="F2">
        <v>0</v>
      </c>
      <c r="G2" s="2">
        <v>10842</v>
      </c>
      <c r="H2">
        <v>0</v>
      </c>
      <c r="I2">
        <f>FIO_Z[[#This Row],[Stopa MSCI]]*100%</f>
        <v>0</v>
      </c>
      <c r="J2">
        <f>MIN(0,(FIO_Z[[#This Row],[Logarytmiczna stopa zwrotu]]-0))</f>
        <v>0</v>
      </c>
      <c r="K2">
        <f>MIN(0,(FIO_Z[[#This Row],[Rynkowa stopa zwrotu]]-0))</f>
        <v>0</v>
      </c>
      <c r="L2">
        <f>MAX(0,(FIO_Z[[#This Row],[Logarytmiczna stopa zwrotu]]-0))</f>
        <v>0</v>
      </c>
    </row>
    <row r="3" spans="1:12" x14ac:dyDescent="0.25">
      <c r="A3" s="1">
        <v>45515</v>
      </c>
      <c r="B3">
        <v>50.34</v>
      </c>
      <c r="C3">
        <f>((FIO_Z[[#This Row],[Cena]]-B2)/FIO_PL[[#This Row],[Cena]])*100</f>
        <v>-6.2893081760993771E-2</v>
      </c>
      <c r="D3">
        <f>LN(FIO_Z[[#This Row],[Cena]]/B2)*100</f>
        <v>-5.9577005038922937E-2</v>
      </c>
      <c r="E3">
        <v>5.2169999999999996</v>
      </c>
      <c r="F3">
        <f>LN(FIO_Z[[#This Row],[Instrument wolny od ryzyka]]/E2)*100</f>
        <v>1.0017421468653662</v>
      </c>
      <c r="G3" s="2">
        <v>10887</v>
      </c>
      <c r="H3">
        <f>LN(FIO_Z[[#This Row],[MSCI Wolrd Index]]/G2)*100</f>
        <v>0.41419360608964534</v>
      </c>
      <c r="I3">
        <f>FIO_Z[[#This Row],[Stopa MSCI]]*100%</f>
        <v>0.41419360608964534</v>
      </c>
      <c r="J3">
        <f>MIN(0,(FIO_Z[[#This Row],[Logarytmiczna stopa zwrotu]]-0))</f>
        <v>-5.9577005038922937E-2</v>
      </c>
      <c r="K3">
        <f>MIN(0,(FIO_Z[[#This Row],[Rynkowa stopa zwrotu]]-0))</f>
        <v>0</v>
      </c>
      <c r="L3">
        <f>MAX(0,(FIO_Z[[#This Row],[Logarytmiczna stopa zwrotu]]-0))</f>
        <v>0</v>
      </c>
    </row>
    <row r="4" spans="1:12" x14ac:dyDescent="0.25">
      <c r="A4" s="1">
        <v>45522</v>
      </c>
      <c r="B4">
        <v>52.5</v>
      </c>
      <c r="C4">
        <f>((FIO_Z[[#This Row],[Cena]]-B3)/FIO_PL[[#This Row],[Cena]])*100</f>
        <v>4.2637189103829387</v>
      </c>
      <c r="D4">
        <f>LN(FIO_Z[[#This Row],[Cena]]/B3)*100</f>
        <v>4.2013179890408221</v>
      </c>
      <c r="E4">
        <v>5.3150000000000004</v>
      </c>
      <c r="F4">
        <f>LN(FIO_Z[[#This Row],[Instrument wolny od ryzyka]]/E3)*100</f>
        <v>1.8610487753655796</v>
      </c>
      <c r="G4" s="2">
        <v>11321</v>
      </c>
      <c r="H4">
        <f>LN(FIO_Z[[#This Row],[MSCI Wolrd Index]]/G3)*100</f>
        <v>3.9089991196929454</v>
      </c>
      <c r="I4">
        <f>FIO_Z[[#This Row],[Stopa MSCI]]*100%</f>
        <v>3.9089991196929454</v>
      </c>
      <c r="J4">
        <f>MIN(0,(FIO_Z[[#This Row],[Logarytmiczna stopa zwrotu]]-0))</f>
        <v>0</v>
      </c>
      <c r="K4">
        <f>MIN(0,(FIO_Z[[#This Row],[Rynkowa stopa zwrotu]]-0))</f>
        <v>0</v>
      </c>
      <c r="L4">
        <f>MAX(0,(FIO_Z[[#This Row],[Logarytmiczna stopa zwrotu]]-0))</f>
        <v>4.2013179890408221</v>
      </c>
    </row>
    <row r="5" spans="1:12" x14ac:dyDescent="0.25">
      <c r="A5" s="1">
        <v>45529</v>
      </c>
      <c r="B5">
        <v>52.65</v>
      </c>
      <c r="C5">
        <f>((FIO_Z[[#This Row],[Cena]]-B4)/FIO_PL[[#This Row],[Cena]])*100</f>
        <v>0.29874526986655764</v>
      </c>
      <c r="D5">
        <f>LN(FIO_Z[[#This Row],[Cena]]/B4)*100</f>
        <v>0.28530689824064809</v>
      </c>
      <c r="E5">
        <v>5.2990000000000004</v>
      </c>
      <c r="F5">
        <f>LN(FIO_Z[[#This Row],[Instrument wolny od ryzyka]]/E4)*100</f>
        <v>-0.301488828328626</v>
      </c>
      <c r="G5" s="2">
        <v>11546</v>
      </c>
      <c r="H5">
        <f>LN(FIO_Z[[#This Row],[MSCI Wolrd Index]]/G4)*100</f>
        <v>1.9679648542769534</v>
      </c>
      <c r="I5">
        <f>FIO_Z[[#This Row],[Stopa MSCI]]*100%</f>
        <v>1.9679648542769534</v>
      </c>
      <c r="J5">
        <f>MIN(0,(FIO_Z[[#This Row],[Logarytmiczna stopa zwrotu]]-0))</f>
        <v>0</v>
      </c>
      <c r="K5">
        <f>MIN(0,(FIO_Z[[#This Row],[Rynkowa stopa zwrotu]]-0))</f>
        <v>0</v>
      </c>
      <c r="L5">
        <f>MAX(0,(FIO_Z[[#This Row],[Logarytmiczna stopa zwrotu]]-0))</f>
        <v>0.28530689824064809</v>
      </c>
    </row>
    <row r="6" spans="1:12" x14ac:dyDescent="0.25">
      <c r="A6" s="1">
        <v>45536</v>
      </c>
      <c r="B6">
        <v>52.63</v>
      </c>
      <c r="C6">
        <f>((FIO_Z[[#This Row],[Cena]]-B5)/FIO_PL[[#This Row],[Cena]])*100</f>
        <v>-3.9525691699596875E-2</v>
      </c>
      <c r="D6">
        <f>LN(FIO_Z[[#This Row],[Cena]]/B5)*100</f>
        <v>-3.799392142967916E-2</v>
      </c>
      <c r="E6">
        <v>5.4219999999999997</v>
      </c>
      <c r="F6">
        <f>LN(FIO_Z[[#This Row],[Instrument wolny od ryzyka]]/E5)*100</f>
        <v>2.2946627565848541</v>
      </c>
      <c r="G6" s="2">
        <v>11499</v>
      </c>
      <c r="H6">
        <f>LN(FIO_Z[[#This Row],[MSCI Wolrd Index]]/G5)*100</f>
        <v>-0.40789815722141559</v>
      </c>
      <c r="I6">
        <f>FIO_Z[[#This Row],[Stopa MSCI]]*100%</f>
        <v>-0.40789815722141559</v>
      </c>
      <c r="J6">
        <f>MIN(0,(FIO_Z[[#This Row],[Logarytmiczna stopa zwrotu]]-0))</f>
        <v>-3.799392142967916E-2</v>
      </c>
      <c r="K6">
        <f>MIN(0,(FIO_Z[[#This Row],[Rynkowa stopa zwrotu]]-0))</f>
        <v>-0.40789815722141559</v>
      </c>
      <c r="L6">
        <f>MAX(0,(FIO_Z[[#This Row],[Logarytmiczna stopa zwrotu]]-0))</f>
        <v>0</v>
      </c>
    </row>
    <row r="7" spans="1:12" x14ac:dyDescent="0.25">
      <c r="A7" s="1">
        <v>45543</v>
      </c>
      <c r="B7">
        <v>50.23</v>
      </c>
      <c r="C7">
        <f>((FIO_Z[[#This Row],[Cena]]-B6)/FIO_PL[[#This Row],[Cena]])*100</f>
        <v>-4.9331963001027868</v>
      </c>
      <c r="D7">
        <f>LN(FIO_Z[[#This Row],[Cena]]/B6)*100</f>
        <v>-4.6673841603734338</v>
      </c>
      <c r="E7">
        <v>5.258</v>
      </c>
      <c r="F7">
        <f>LN(FIO_Z[[#This Row],[Instrument wolny od ryzyka]]/E6)*100</f>
        <v>-3.0714024768784305</v>
      </c>
      <c r="G7" s="2">
        <v>11106</v>
      </c>
      <c r="H7">
        <f>LN(FIO_Z[[#This Row],[MSCI Wolrd Index]]/G6)*100</f>
        <v>-3.4774572247112236</v>
      </c>
      <c r="I7">
        <f>FIO_Z[[#This Row],[Stopa MSCI]]*100%</f>
        <v>-3.4774572247112236</v>
      </c>
      <c r="J7">
        <f>MIN(0,(FIO_Z[[#This Row],[Logarytmiczna stopa zwrotu]]-0))</f>
        <v>-4.6673841603734338</v>
      </c>
      <c r="K7">
        <f>MIN(0,(FIO_Z[[#This Row],[Rynkowa stopa zwrotu]]-0))</f>
        <v>-3.4774572247112236</v>
      </c>
      <c r="L7">
        <f>MAX(0,(FIO_Z[[#This Row],[Logarytmiczna stopa zwrotu]]-0))</f>
        <v>0</v>
      </c>
    </row>
    <row r="8" spans="1:12" x14ac:dyDescent="0.25">
      <c r="A8" s="1">
        <v>45550</v>
      </c>
      <c r="B8">
        <v>51.72</v>
      </c>
      <c r="C8">
        <f>((FIO_Z[[#This Row],[Cena]]-B7)/FIO_PL[[#This Row],[Cena]])*100</f>
        <v>3.0364785001018992</v>
      </c>
      <c r="D8">
        <f>LN(FIO_Z[[#This Row],[Cena]]/B7)*100</f>
        <v>2.9232096141703492</v>
      </c>
      <c r="E8">
        <v>5.2510000000000003</v>
      </c>
      <c r="F8">
        <f>LN(FIO_Z[[#This Row],[Instrument wolny od ryzyka]]/E7)*100</f>
        <v>-0.13321916519672172</v>
      </c>
      <c r="G8" s="2">
        <v>11474</v>
      </c>
      <c r="H8">
        <f>LN(FIO_Z[[#This Row],[MSCI Wolrd Index]]/G7)*100</f>
        <v>3.2598103360263893</v>
      </c>
      <c r="I8">
        <f>FIO_Z[[#This Row],[Stopa MSCI]]*100%</f>
        <v>3.2598103360263893</v>
      </c>
      <c r="J8">
        <f>MIN(0,(FIO_Z[[#This Row],[Logarytmiczna stopa zwrotu]]-0))</f>
        <v>0</v>
      </c>
      <c r="K8">
        <f>MIN(0,(FIO_Z[[#This Row],[Rynkowa stopa zwrotu]]-0))</f>
        <v>0</v>
      </c>
      <c r="L8">
        <f>MAX(0,(FIO_Z[[#This Row],[Logarytmiczna stopa zwrotu]]-0))</f>
        <v>2.9232096141703492</v>
      </c>
    </row>
    <row r="9" spans="1:12" x14ac:dyDescent="0.25">
      <c r="A9" s="1">
        <v>45557</v>
      </c>
      <c r="B9">
        <v>52.06</v>
      </c>
      <c r="C9">
        <f>((FIO_Z[[#This Row],[Cena]]-B8)/FIO_PL[[#This Row],[Cena]])*100</f>
        <v>0.69615069615070313</v>
      </c>
      <c r="D9">
        <f>LN(FIO_Z[[#This Row],[Cena]]/B8)*100</f>
        <v>0.65523456627626531</v>
      </c>
      <c r="E9">
        <v>5.3550000000000004</v>
      </c>
      <c r="F9">
        <f>LN(FIO_Z[[#This Row],[Instrument wolny od ryzyka]]/E8)*100</f>
        <v>1.9612169243989883</v>
      </c>
      <c r="G9" s="2">
        <v>11714</v>
      </c>
      <c r="H9">
        <f>LN(FIO_Z[[#This Row],[MSCI Wolrd Index]]/G8)*100</f>
        <v>2.0701101487911222</v>
      </c>
      <c r="I9">
        <f>FIO_Z[[#This Row],[Stopa MSCI]]*100%</f>
        <v>2.0701101487911222</v>
      </c>
      <c r="J9">
        <f>MIN(0,(FIO_Z[[#This Row],[Logarytmiczna stopa zwrotu]]-0))</f>
        <v>0</v>
      </c>
      <c r="K9">
        <f>MIN(0,(FIO_Z[[#This Row],[Rynkowa stopa zwrotu]]-0))</f>
        <v>0</v>
      </c>
      <c r="L9">
        <f>MAX(0,(FIO_Z[[#This Row],[Logarytmiczna stopa zwrotu]]-0))</f>
        <v>0.65523456627626531</v>
      </c>
    </row>
    <row r="10" spans="1:12" x14ac:dyDescent="0.25">
      <c r="A10" s="1">
        <v>45564</v>
      </c>
      <c r="B10">
        <v>53.3</v>
      </c>
      <c r="C10">
        <f>((FIO_Z[[#This Row],[Cena]]-B9)/FIO_PL[[#This Row],[Cena]])*100</f>
        <v>2.4371069182389835</v>
      </c>
      <c r="D10">
        <f>LN(FIO_Z[[#This Row],[Cena]]/B9)*100</f>
        <v>2.3539431605379546</v>
      </c>
      <c r="E10">
        <v>5.2389999999999999</v>
      </c>
      <c r="F10">
        <f>LN(FIO_Z[[#This Row],[Instrument wolny od ryzyka]]/E9)*100</f>
        <v>-2.1900063473629574</v>
      </c>
      <c r="G10" s="2">
        <v>11906</v>
      </c>
      <c r="H10">
        <f>LN(FIO_Z[[#This Row],[MSCI Wolrd Index]]/G9)*100</f>
        <v>1.6257767063607911</v>
      </c>
      <c r="I10">
        <f>FIO_Z[[#This Row],[Stopa MSCI]]*100%</f>
        <v>1.6257767063607911</v>
      </c>
      <c r="J10">
        <f>MIN(0,(FIO_Z[[#This Row],[Logarytmiczna stopa zwrotu]]-0))</f>
        <v>0</v>
      </c>
      <c r="K10">
        <f>MIN(0,(FIO_Z[[#This Row],[Rynkowa stopa zwrotu]]-0))</f>
        <v>0</v>
      </c>
      <c r="L10">
        <f>MAX(0,(FIO_Z[[#This Row],[Logarytmiczna stopa zwrotu]]-0))</f>
        <v>2.3539431605379546</v>
      </c>
    </row>
    <row r="11" spans="1:12" x14ac:dyDescent="0.25">
      <c r="A11" s="1">
        <v>45571</v>
      </c>
      <c r="B11">
        <v>53.08</v>
      </c>
      <c r="C11">
        <f>((FIO_Z[[#This Row],[Cena]]-B10)/FIO_PL[[#This Row],[Cena]])*100</f>
        <v>-0.44579533941235833</v>
      </c>
      <c r="D11">
        <f>LN(FIO_Z[[#This Row],[Cena]]/B10)*100</f>
        <v>-0.41361217077920565</v>
      </c>
      <c r="E11">
        <v>5.4080000000000004</v>
      </c>
      <c r="F11">
        <f>LN(FIO_Z[[#This Row],[Instrument wolny od ryzyka]]/E10)*100</f>
        <v>3.1748698314580484</v>
      </c>
      <c r="G11" s="2">
        <v>11743</v>
      </c>
      <c r="H11">
        <f>LN(FIO_Z[[#This Row],[MSCI Wolrd Index]]/G10)*100</f>
        <v>-1.3785156348254293</v>
      </c>
      <c r="I11">
        <f>FIO_Z[[#This Row],[Stopa MSCI]]*100%</f>
        <v>-1.3785156348254293</v>
      </c>
      <c r="J11">
        <f>MIN(0,(FIO_Z[[#This Row],[Logarytmiczna stopa zwrotu]]-0))</f>
        <v>-0.41361217077920565</v>
      </c>
      <c r="K11">
        <f>MIN(0,(FIO_Z[[#This Row],[Rynkowa stopa zwrotu]]-0))</f>
        <v>-1.3785156348254293</v>
      </c>
      <c r="L11">
        <f>MAX(0,(FIO_Z[[#This Row],[Logarytmiczna stopa zwrotu]]-0))</f>
        <v>0</v>
      </c>
    </row>
    <row r="12" spans="1:12" x14ac:dyDescent="0.25">
      <c r="A12" s="1">
        <v>45578</v>
      </c>
      <c r="B12">
        <v>53.47</v>
      </c>
      <c r="C12">
        <f>((FIO_Z[[#This Row],[Cena]]-B11)/FIO_PL[[#This Row],[Cena]])*100</f>
        <v>0.77984403119376244</v>
      </c>
      <c r="D12">
        <f>LN(FIO_Z[[#This Row],[Cena]]/B11)*100</f>
        <v>0.73205394966334247</v>
      </c>
      <c r="E12">
        <v>5.548</v>
      </c>
      <c r="F12">
        <f>LN(FIO_Z[[#This Row],[Instrument wolny od ryzyka]]/E11)*100</f>
        <v>2.5558163711922184</v>
      </c>
      <c r="G12" s="2">
        <v>11902</v>
      </c>
      <c r="H12">
        <f>LN(FIO_Z[[#This Row],[MSCI Wolrd Index]]/G11)*100</f>
        <v>1.3449134839716155</v>
      </c>
      <c r="I12">
        <f>FIO_Z[[#This Row],[Stopa MSCI]]*100%</f>
        <v>1.3449134839716155</v>
      </c>
      <c r="J12">
        <f>MIN(0,(FIO_Z[[#This Row],[Logarytmiczna stopa zwrotu]]-0))</f>
        <v>0</v>
      </c>
      <c r="K12">
        <f>MIN(0,(FIO_Z[[#This Row],[Rynkowa stopa zwrotu]]-0))</f>
        <v>0</v>
      </c>
      <c r="L12">
        <f>MAX(0,(FIO_Z[[#This Row],[Logarytmiczna stopa zwrotu]]-0))</f>
        <v>0.73205394966334247</v>
      </c>
    </row>
    <row r="13" spans="1:12" x14ac:dyDescent="0.25">
      <c r="A13" s="1">
        <v>45585</v>
      </c>
      <c r="B13">
        <v>53.27</v>
      </c>
      <c r="C13">
        <f>((FIO_Z[[#This Row],[Cena]]-B12)/FIO_PL[[#This Row],[Cena]])*100</f>
        <v>-0.40338846308994702</v>
      </c>
      <c r="D13">
        <f>LN(FIO_Z[[#This Row],[Cena]]/B12)*100</f>
        <v>-0.37474280317323561</v>
      </c>
      <c r="E13">
        <v>5.5810000000000004</v>
      </c>
      <c r="F13">
        <f>LN(FIO_Z[[#This Row],[Instrument wolny od ryzyka]]/E12)*100</f>
        <v>0.5930469353711405</v>
      </c>
      <c r="G13" s="2">
        <v>11954</v>
      </c>
      <c r="H13">
        <f>LN(FIO_Z[[#This Row],[MSCI Wolrd Index]]/G12)*100</f>
        <v>0.43594971794021498</v>
      </c>
      <c r="I13">
        <f>FIO_Z[[#This Row],[Stopa MSCI]]*100%</f>
        <v>0.43594971794021498</v>
      </c>
      <c r="J13">
        <f>MIN(0,(FIO_Z[[#This Row],[Logarytmiczna stopa zwrotu]]-0))</f>
        <v>-0.37474280317323561</v>
      </c>
      <c r="K13">
        <f>MIN(0,(FIO_Z[[#This Row],[Rynkowa stopa zwrotu]]-0))</f>
        <v>0</v>
      </c>
      <c r="L13">
        <f>MAX(0,(FIO_Z[[#This Row],[Logarytmiczna stopa zwrotu]]-0))</f>
        <v>0</v>
      </c>
    </row>
    <row r="14" spans="1:12" x14ac:dyDescent="0.25">
      <c r="A14" s="1">
        <v>45592</v>
      </c>
      <c r="B14">
        <v>52.89</v>
      </c>
      <c r="C14">
        <f>((FIO_Z[[#This Row],[Cena]]-B13)/FIO_PL[[#This Row],[Cena]])*100</f>
        <v>-0.78221490325237253</v>
      </c>
      <c r="D14">
        <f>LN(FIO_Z[[#This Row],[Cena]]/B13)*100</f>
        <v>-0.71590358510192342</v>
      </c>
      <c r="E14">
        <v>5.7779999999999996</v>
      </c>
      <c r="F14">
        <f>LN(FIO_Z[[#This Row],[Instrument wolny od ryzyka]]/E13)*100</f>
        <v>3.4689630237746836</v>
      </c>
      <c r="G14" s="2">
        <v>11849</v>
      </c>
      <c r="H14">
        <f>LN(FIO_Z[[#This Row],[MSCI Wolrd Index]]/G13)*100</f>
        <v>-0.88224745674595584</v>
      </c>
      <c r="I14">
        <f>FIO_Z[[#This Row],[Stopa MSCI]]*100%</f>
        <v>-0.88224745674595584</v>
      </c>
      <c r="J14">
        <f>MIN(0,(FIO_Z[[#This Row],[Logarytmiczna stopa zwrotu]]-0))</f>
        <v>-0.71590358510192342</v>
      </c>
      <c r="K14">
        <f>MIN(0,(FIO_Z[[#This Row],[Rynkowa stopa zwrotu]]-0))</f>
        <v>-0.88224745674595584</v>
      </c>
      <c r="L14">
        <f>MAX(0,(FIO_Z[[#This Row],[Logarytmiczna stopa zwrotu]]-0))</f>
        <v>0</v>
      </c>
    </row>
    <row r="15" spans="1:12" x14ac:dyDescent="0.25">
      <c r="A15" s="1">
        <v>45599</v>
      </c>
      <c r="B15">
        <v>52.14</v>
      </c>
      <c r="C15">
        <f>((FIO_Z[[#This Row],[Cena]]-B14)/FIO_PL[[#This Row],[Cena]])*100</f>
        <v>-1.567070622649394</v>
      </c>
      <c r="D15">
        <f>LN(FIO_Z[[#This Row],[Cena]]/B14)*100</f>
        <v>-1.4281876572532854</v>
      </c>
      <c r="E15">
        <v>5.9630000000000001</v>
      </c>
      <c r="F15">
        <f>LN(FIO_Z[[#This Row],[Instrument wolny od ryzyka]]/E14)*100</f>
        <v>3.1516108096925386</v>
      </c>
      <c r="G15" s="2">
        <v>11686</v>
      </c>
      <c r="H15">
        <f>LN(FIO_Z[[#This Row],[MSCI Wolrd Index]]/G14)*100</f>
        <v>-1.3851931702357678</v>
      </c>
      <c r="I15">
        <f>FIO_Z[[#This Row],[Stopa MSCI]]*100%</f>
        <v>-1.3851931702357678</v>
      </c>
      <c r="J15">
        <f>MIN(0,(FIO_Z[[#This Row],[Logarytmiczna stopa zwrotu]]-0))</f>
        <v>-1.4281876572532854</v>
      </c>
      <c r="K15">
        <f>MIN(0,(FIO_Z[[#This Row],[Rynkowa stopa zwrotu]]-0))</f>
        <v>-1.3851931702357678</v>
      </c>
      <c r="L15">
        <f>MAX(0,(FIO_Z[[#This Row],[Logarytmiczna stopa zwrotu]]-0))</f>
        <v>0</v>
      </c>
    </row>
    <row r="16" spans="1:12" x14ac:dyDescent="0.25">
      <c r="A16" s="1">
        <v>45606</v>
      </c>
      <c r="B16">
        <v>54.19</v>
      </c>
      <c r="C16">
        <f>((FIO_Z[[#This Row],[Cena]]-B15)/FIO_PL[[#This Row],[Cena]])*100</f>
        <v>4.1414141414141357</v>
      </c>
      <c r="D16">
        <f>LN(FIO_Z[[#This Row],[Cena]]/B15)*100</f>
        <v>3.8563981072667128</v>
      </c>
      <c r="E16">
        <v>5.6589999999999998</v>
      </c>
      <c r="F16">
        <f>LN(FIO_Z[[#This Row],[Instrument wolny od ryzyka]]/E15)*100</f>
        <v>-5.232651198058214</v>
      </c>
      <c r="G16" s="2">
        <v>12033</v>
      </c>
      <c r="H16">
        <f>LN(FIO_Z[[#This Row],[MSCI Wolrd Index]]/G15)*100</f>
        <v>2.9261331323780118</v>
      </c>
      <c r="I16">
        <f>FIO_Z[[#This Row],[Stopa MSCI]]*100%</f>
        <v>2.9261331323780118</v>
      </c>
      <c r="J16">
        <f>MIN(0,(FIO_Z[[#This Row],[Logarytmiczna stopa zwrotu]]-0))</f>
        <v>0</v>
      </c>
      <c r="K16">
        <f>MIN(0,(FIO_Z[[#This Row],[Rynkowa stopa zwrotu]]-0))</f>
        <v>0</v>
      </c>
      <c r="L16">
        <f>MAX(0,(FIO_Z[[#This Row],[Logarytmiczna stopa zwrotu]]-0))</f>
        <v>3.8563981072667128</v>
      </c>
    </row>
    <row r="17" spans="1:12" x14ac:dyDescent="0.25">
      <c r="A17" s="1">
        <v>45613</v>
      </c>
      <c r="B17">
        <v>53.31</v>
      </c>
      <c r="C17">
        <f>((FIO_Z[[#This Row],[Cena]]-B16)/FIO_PL[[#This Row],[Cena]])*100</f>
        <v>-1.8360108491550082</v>
      </c>
      <c r="D17">
        <f>LN(FIO_Z[[#This Row],[Cena]]/B16)*100</f>
        <v>-1.6372458743353153</v>
      </c>
      <c r="E17">
        <v>5.6950000000000003</v>
      </c>
      <c r="F17">
        <f>LN(FIO_Z[[#This Row],[Instrument wolny od ryzyka]]/E16)*100</f>
        <v>0.63413987387586768</v>
      </c>
      <c r="G17" s="2">
        <v>11808</v>
      </c>
      <c r="H17">
        <f>LN(FIO_Z[[#This Row],[MSCI Wolrd Index]]/G16)*100</f>
        <v>-1.8875607597908808</v>
      </c>
      <c r="I17">
        <f>FIO_Z[[#This Row],[Stopa MSCI]]*100%</f>
        <v>-1.8875607597908808</v>
      </c>
      <c r="J17">
        <f>MIN(0,(FIO_Z[[#This Row],[Logarytmiczna stopa zwrotu]]-0))</f>
        <v>-1.6372458743353153</v>
      </c>
      <c r="K17">
        <f>MIN(0,(FIO_Z[[#This Row],[Rynkowa stopa zwrotu]]-0))</f>
        <v>-1.8875607597908808</v>
      </c>
      <c r="L17">
        <f>MAX(0,(FIO_Z[[#This Row],[Logarytmiczna stopa zwrotu]]-0))</f>
        <v>0</v>
      </c>
    </row>
    <row r="18" spans="1:12" x14ac:dyDescent="0.25">
      <c r="A18" s="1">
        <v>45620</v>
      </c>
      <c r="B18">
        <v>53.75</v>
      </c>
      <c r="C18">
        <f>((FIO_Z[[#This Row],[Cena]]-B17)/FIO_PL[[#This Row],[Cena]])*100</f>
        <v>0.91400083090984152</v>
      </c>
      <c r="D18">
        <f>LN(FIO_Z[[#This Row],[Cena]]/B17)*100</f>
        <v>0.82197361731024021</v>
      </c>
      <c r="E18">
        <v>5.5750000000000002</v>
      </c>
      <c r="F18">
        <f>LN(FIO_Z[[#This Row],[Instrument wolny od ryzyka]]/E17)*100</f>
        <v>-2.1296279552963053</v>
      </c>
      <c r="G18" s="2">
        <v>11936</v>
      </c>
      <c r="H18">
        <f>LN(FIO_Z[[#This Row],[MSCI Wolrd Index]]/G17)*100</f>
        <v>1.0781775603288413</v>
      </c>
      <c r="I18">
        <f>FIO_Z[[#This Row],[Stopa MSCI]]*100%</f>
        <v>1.0781775603288413</v>
      </c>
      <c r="J18">
        <f>MIN(0,(FIO_Z[[#This Row],[Logarytmiczna stopa zwrotu]]-0))</f>
        <v>0</v>
      </c>
      <c r="K18">
        <f>MIN(0,(FIO_Z[[#This Row],[Rynkowa stopa zwrotu]]-0))</f>
        <v>0</v>
      </c>
      <c r="L18">
        <f>MAX(0,(FIO_Z[[#This Row],[Logarytmiczna stopa zwrotu]]-0))</f>
        <v>0.82197361731024021</v>
      </c>
    </row>
    <row r="19" spans="1:12" x14ac:dyDescent="0.25">
      <c r="A19" s="1">
        <v>45627</v>
      </c>
      <c r="B19">
        <v>53.96</v>
      </c>
      <c r="C19">
        <f>((FIO_Z[[#This Row],[Cena]]-B18)/FIO_PL[[#This Row],[Cena]])*100</f>
        <v>0.43704474505723384</v>
      </c>
      <c r="D19">
        <f>LN(FIO_Z[[#This Row],[Cena]]/B18)*100</f>
        <v>0.38993643317830695</v>
      </c>
      <c r="E19">
        <v>5.516</v>
      </c>
      <c r="F19">
        <f>LN(FIO_Z[[#This Row],[Instrument wolny od ryzyka]]/E18)*100</f>
        <v>-1.0639357415127135</v>
      </c>
      <c r="G19" s="2">
        <v>12090</v>
      </c>
      <c r="H19">
        <f>LN(FIO_Z[[#This Row],[MSCI Wolrd Index]]/G18)*100</f>
        <v>1.2819621165296347</v>
      </c>
      <c r="I19">
        <f>FIO_Z[[#This Row],[Stopa MSCI]]*100%</f>
        <v>1.2819621165296347</v>
      </c>
      <c r="J19">
        <f>MIN(0,(FIO_Z[[#This Row],[Logarytmiczna stopa zwrotu]]-0))</f>
        <v>0</v>
      </c>
      <c r="K19">
        <f>MIN(0,(FIO_Z[[#This Row],[Rynkowa stopa zwrotu]]-0))</f>
        <v>0</v>
      </c>
      <c r="L19">
        <f>MAX(0,(FIO_Z[[#This Row],[Logarytmiczna stopa zwrotu]]-0))</f>
        <v>0.38993643317830695</v>
      </c>
    </row>
    <row r="20" spans="1:12" x14ac:dyDescent="0.25">
      <c r="A20" s="1">
        <v>45634</v>
      </c>
      <c r="B20">
        <v>55.27</v>
      </c>
      <c r="C20">
        <f>((FIO_Z[[#This Row],[Cena]]-B19)/FIO_PL[[#This Row],[Cena]])*100</f>
        <v>2.623673142399364</v>
      </c>
      <c r="D20">
        <f>LN(FIO_Z[[#This Row],[Cena]]/B19)*100</f>
        <v>2.398723450561655</v>
      </c>
      <c r="E20">
        <v>5.633</v>
      </c>
      <c r="F20">
        <f>LN(FIO_Z[[#This Row],[Instrument wolny od ryzyka]]/E19)*100</f>
        <v>2.0989199981521436</v>
      </c>
      <c r="G20" s="2">
        <v>12221</v>
      </c>
      <c r="H20">
        <f>LN(FIO_Z[[#This Row],[MSCI Wolrd Index]]/G19)*100</f>
        <v>1.0777118829162249</v>
      </c>
      <c r="I20">
        <f>FIO_Z[[#This Row],[Stopa MSCI]]*100%</f>
        <v>1.0777118829162249</v>
      </c>
      <c r="J20">
        <f>MIN(0,(FIO_Z[[#This Row],[Logarytmiczna stopa zwrotu]]-0))</f>
        <v>0</v>
      </c>
      <c r="K20">
        <f>MIN(0,(FIO_Z[[#This Row],[Rynkowa stopa zwrotu]]-0))</f>
        <v>0</v>
      </c>
      <c r="L20">
        <f>MAX(0,(FIO_Z[[#This Row],[Logarytmiczna stopa zwrotu]]-0))</f>
        <v>2.398723450561655</v>
      </c>
    </row>
    <row r="21" spans="1:12" x14ac:dyDescent="0.25">
      <c r="A21" s="1">
        <v>45641</v>
      </c>
      <c r="B21">
        <v>54.89</v>
      </c>
      <c r="C21">
        <f>((FIO_Z[[#This Row],[Cena]]-B20)/FIO_PL[[#This Row],[Cena]])*100</f>
        <v>-0.76985413290113969</v>
      </c>
      <c r="D21">
        <f>LN(FIO_Z[[#This Row],[Cena]]/B20)*100</f>
        <v>-0.68990832833738125</v>
      </c>
      <c r="E21">
        <v>5.8</v>
      </c>
      <c r="F21">
        <f>LN(FIO_Z[[#This Row],[Instrument wolny od ryzyka]]/E20)*100</f>
        <v>2.9215757639796616</v>
      </c>
      <c r="G21" s="2">
        <v>12073</v>
      </c>
      <c r="H21">
        <f>LN(FIO_Z[[#This Row],[MSCI Wolrd Index]]/G20)*100</f>
        <v>-1.2184229105613169</v>
      </c>
      <c r="I21">
        <f>FIO_Z[[#This Row],[Stopa MSCI]]*100%</f>
        <v>-1.2184229105613169</v>
      </c>
      <c r="J21">
        <f>MIN(0,(FIO_Z[[#This Row],[Logarytmiczna stopa zwrotu]]-0))</f>
        <v>-0.68990832833738125</v>
      </c>
      <c r="K21">
        <f>MIN(0,(FIO_Z[[#This Row],[Rynkowa stopa zwrotu]]-0))</f>
        <v>-1.2184229105613169</v>
      </c>
      <c r="L21">
        <f>MAX(0,(FIO_Z[[#This Row],[Logarytmiczna stopa zwrotu]]-0))</f>
        <v>0</v>
      </c>
    </row>
    <row r="22" spans="1:12" x14ac:dyDescent="0.25">
      <c r="A22" s="1">
        <v>45648</v>
      </c>
      <c r="B22">
        <v>53.62</v>
      </c>
      <c r="C22">
        <f>((FIO_Z[[#This Row],[Cena]]-B21)/FIO_PL[[#This Row],[Cena]])*100</f>
        <v>-2.6463846634715629</v>
      </c>
      <c r="D22">
        <f>LN(FIO_Z[[#This Row],[Cena]]/B21)*100</f>
        <v>-2.3409049753984652</v>
      </c>
      <c r="E22">
        <v>5.8239999999999998</v>
      </c>
      <c r="F22">
        <f>LN(FIO_Z[[#This Row],[Instrument wolny od ryzyka]]/E21)*100</f>
        <v>0.41293933420111123</v>
      </c>
      <c r="G22" s="2">
        <v>11971</v>
      </c>
      <c r="H22">
        <f>LN(FIO_Z[[#This Row],[MSCI Wolrd Index]]/G21)*100</f>
        <v>-0.84844960810175618</v>
      </c>
      <c r="I22">
        <f>FIO_Z[[#This Row],[Stopa MSCI]]*100%</f>
        <v>-0.84844960810175618</v>
      </c>
      <c r="J22">
        <f>MIN(0,(FIO_Z[[#This Row],[Logarytmiczna stopa zwrotu]]-0))</f>
        <v>-2.3409049753984652</v>
      </c>
      <c r="K22">
        <f>MIN(0,(FIO_Z[[#This Row],[Rynkowa stopa zwrotu]]-0))</f>
        <v>-0.84844960810175618</v>
      </c>
      <c r="L22">
        <f>MAX(0,(FIO_Z[[#This Row],[Logarytmiczna stopa zwrotu]]-0))</f>
        <v>0</v>
      </c>
    </row>
    <row r="23" spans="1:12" x14ac:dyDescent="0.25">
      <c r="A23" s="1">
        <v>45655</v>
      </c>
      <c r="B23">
        <v>53.89</v>
      </c>
      <c r="C23">
        <f>((FIO_Z[[#This Row],[Cena]]-B22)/FIO_PL[[#This Row],[Cena]])*100</f>
        <v>0.56086414624013947</v>
      </c>
      <c r="D23">
        <f>LN(FIO_Z[[#This Row],[Cena]]/B22)*100</f>
        <v>0.50227991375921699</v>
      </c>
      <c r="E23">
        <v>5.891</v>
      </c>
      <c r="F23">
        <f>LN(FIO_Z[[#This Row],[Instrument wolny od ryzyka]]/E22)*100</f>
        <v>1.1438451645165457</v>
      </c>
      <c r="G23" s="2">
        <v>12003</v>
      </c>
      <c r="H23">
        <f>LN(FIO_Z[[#This Row],[MSCI Wolrd Index]]/G22)*100</f>
        <v>0.26695602739747881</v>
      </c>
      <c r="I23">
        <f>FIO_Z[[#This Row],[Stopa MSCI]]*100%</f>
        <v>0.26695602739747881</v>
      </c>
      <c r="J23">
        <f>MIN(0,(FIO_Z[[#This Row],[Logarytmiczna stopa zwrotu]]-0))</f>
        <v>0</v>
      </c>
      <c r="K23">
        <f>MIN(0,(FIO_Z[[#This Row],[Rynkowa stopa zwrotu]]-0))</f>
        <v>0</v>
      </c>
      <c r="L23">
        <f>MAX(0,(FIO_Z[[#This Row],[Logarytmiczna stopa zwrotu]]-0))</f>
        <v>0.50227991375921699</v>
      </c>
    </row>
    <row r="24" spans="1:12" x14ac:dyDescent="0.25">
      <c r="A24" s="1">
        <v>45662</v>
      </c>
      <c r="B24">
        <v>54.54</v>
      </c>
      <c r="C24">
        <f>((FIO_Z[[#This Row],[Cena]]-B23)/FIO_PL[[#This Row],[Cena]])*100</f>
        <v>1.32517838939857</v>
      </c>
      <c r="D24">
        <f>LN(FIO_Z[[#This Row],[Cena]]/B23)*100</f>
        <v>1.1989445472037144</v>
      </c>
      <c r="E24">
        <v>5.9160000000000004</v>
      </c>
      <c r="F24">
        <f>LN(FIO_Z[[#This Row],[Instrument wolny od ryzyka]]/E23)*100</f>
        <v>0.42347823090030562</v>
      </c>
      <c r="G24" s="2">
        <v>11903</v>
      </c>
      <c r="H24">
        <f>LN(FIO_Z[[#This Row],[MSCI Wolrd Index]]/G23)*100</f>
        <v>-0.83661493574649493</v>
      </c>
      <c r="I24">
        <f>FIO_Z[[#This Row],[Stopa MSCI]]*100%</f>
        <v>-0.83661493574649493</v>
      </c>
      <c r="J24">
        <f>MIN(0,(FIO_Z[[#This Row],[Logarytmiczna stopa zwrotu]]-0))</f>
        <v>0</v>
      </c>
      <c r="K24">
        <f>MIN(0,(FIO_Z[[#This Row],[Rynkowa stopa zwrotu]]-0))</f>
        <v>-0.83661493574649493</v>
      </c>
      <c r="L24">
        <f>MAX(0,(FIO_Z[[#This Row],[Logarytmiczna stopa zwrotu]]-0))</f>
        <v>1.1989445472037144</v>
      </c>
    </row>
    <row r="25" spans="1:12" x14ac:dyDescent="0.25">
      <c r="A25" s="1">
        <v>45669</v>
      </c>
      <c r="B25">
        <v>54.19</v>
      </c>
      <c r="C25">
        <f>((FIO_Z[[#This Row],[Cena]]-B24)/FIO_PL[[#This Row],[Cena]])*100</f>
        <v>-0.70578745714862146</v>
      </c>
      <c r="D25">
        <f>LN(FIO_Z[[#This Row],[Cena]]/B24)*100</f>
        <v>-0.64379878394196366</v>
      </c>
      <c r="E25">
        <v>6.0309999999999997</v>
      </c>
      <c r="F25">
        <f>LN(FIO_Z[[#This Row],[Instrument wolny od ryzyka]]/E24)*100</f>
        <v>1.9252289620296323</v>
      </c>
      <c r="G25" s="2">
        <v>11717</v>
      </c>
      <c r="H25">
        <f>LN(FIO_Z[[#This Row],[MSCI Wolrd Index]]/G24)*100</f>
        <v>-1.5749690499724165</v>
      </c>
      <c r="I25">
        <f>FIO_Z[[#This Row],[Stopa MSCI]]*100%</f>
        <v>-1.5749690499724165</v>
      </c>
      <c r="J25">
        <f>MIN(0,(FIO_Z[[#This Row],[Logarytmiczna stopa zwrotu]]-0))</f>
        <v>-0.64379878394196366</v>
      </c>
      <c r="K25">
        <f>MIN(0,(FIO_Z[[#This Row],[Rynkowa stopa zwrotu]]-0))</f>
        <v>-1.5749690499724165</v>
      </c>
      <c r="L25">
        <f>MAX(0,(FIO_Z[[#This Row],[Logarytmiczna stopa zwrotu]]-0))</f>
        <v>0</v>
      </c>
    </row>
    <row r="26" spans="1:12" x14ac:dyDescent="0.25">
      <c r="A26" s="1">
        <v>45676</v>
      </c>
      <c r="B26">
        <v>54.97</v>
      </c>
      <c r="C26">
        <f>((FIO_Z[[#This Row],[Cena]]-B25)/FIO_PL[[#This Row],[Cena]])*100</f>
        <v>1.5494636471990486</v>
      </c>
      <c r="D26">
        <f>LN(FIO_Z[[#This Row],[Cena]]/B25)*100</f>
        <v>1.4291192294546207</v>
      </c>
      <c r="E26">
        <v>5.8869999999999996</v>
      </c>
      <c r="F26">
        <f>LN(FIO_Z[[#This Row],[Instrument wolny od ryzyka]]/E25)*100</f>
        <v>-2.4166304422725462</v>
      </c>
      <c r="G26" s="2">
        <v>12076</v>
      </c>
      <c r="H26">
        <f>LN(FIO_Z[[#This Row],[MSCI Wolrd Index]]/G25)*100</f>
        <v>3.0179233158573804</v>
      </c>
      <c r="I26">
        <f>FIO_Z[[#This Row],[Stopa MSCI]]*100%</f>
        <v>3.0179233158573804</v>
      </c>
      <c r="J26">
        <f>MIN(0,(FIO_Z[[#This Row],[Logarytmiczna stopa zwrotu]]-0))</f>
        <v>0</v>
      </c>
      <c r="K26">
        <f>MIN(0,(FIO_Z[[#This Row],[Rynkowa stopa zwrotu]]-0))</f>
        <v>0</v>
      </c>
      <c r="L26">
        <f>MAX(0,(FIO_Z[[#This Row],[Logarytmiczna stopa zwrotu]]-0))</f>
        <v>1.4291192294546207</v>
      </c>
    </row>
    <row r="27" spans="1:12" x14ac:dyDescent="0.25">
      <c r="A27" s="1">
        <v>45683</v>
      </c>
      <c r="B27">
        <v>55.67</v>
      </c>
      <c r="C27">
        <f>((FIO_Z[[#This Row],[Cena]]-B26)/FIO_PL[[#This Row],[Cena]])*100</f>
        <v>1.3584319813700811</v>
      </c>
      <c r="D27">
        <f>LN(FIO_Z[[#This Row],[Cena]]/B26)*100</f>
        <v>1.2653820322847542</v>
      </c>
      <c r="E27">
        <v>5.9160000000000004</v>
      </c>
      <c r="F27">
        <f>LN(FIO_Z[[#This Row],[Instrument wolny od ryzyka]]/E26)*100</f>
        <v>0.49140148024291624</v>
      </c>
      <c r="G27" s="2">
        <v>12333</v>
      </c>
      <c r="H27">
        <f>LN(FIO_Z[[#This Row],[MSCI Wolrd Index]]/G26)*100</f>
        <v>2.1058584739258759</v>
      </c>
      <c r="I27">
        <f>FIO_Z[[#This Row],[Stopa MSCI]]*100%</f>
        <v>2.1058584739258759</v>
      </c>
      <c r="J27">
        <f>MIN(0,(FIO_Z[[#This Row],[Logarytmiczna stopa zwrotu]]-0))</f>
        <v>0</v>
      </c>
      <c r="K27">
        <f>MIN(0,(FIO_Z[[#This Row],[Rynkowa stopa zwrotu]]-0))</f>
        <v>0</v>
      </c>
      <c r="L27">
        <f>MAX(0,(FIO_Z[[#This Row],[Logarytmiczna stopa zwrotu]]-0))</f>
        <v>1.2653820322847542</v>
      </c>
    </row>
    <row r="28" spans="1:12" x14ac:dyDescent="0.25">
      <c r="A28" s="1">
        <v>45690</v>
      </c>
      <c r="B28">
        <v>54.99</v>
      </c>
      <c r="C28">
        <f>((FIO_Z[[#This Row],[Cena]]-B27)/FIO_PL[[#This Row],[Cena]])*100</f>
        <v>-1.2984533129654376</v>
      </c>
      <c r="D28">
        <f>LN(FIO_Z[[#This Row],[Cena]]/B27)*100</f>
        <v>-1.2290051675693086</v>
      </c>
      <c r="E28">
        <v>5.8330000000000002</v>
      </c>
      <c r="F28">
        <f>LN(FIO_Z[[#This Row],[Instrument wolny od ryzyka]]/E27)*100</f>
        <v>-1.4129097077052879</v>
      </c>
      <c r="G28" s="2">
        <v>12336</v>
      </c>
      <c r="H28">
        <f>LN(FIO_Z[[#This Row],[MSCI Wolrd Index]]/G27)*100</f>
        <v>2.4322023712261807E-2</v>
      </c>
      <c r="I28">
        <f>FIO_Z[[#This Row],[Stopa MSCI]]*100%</f>
        <v>2.4322023712261807E-2</v>
      </c>
      <c r="J28">
        <f>MIN(0,(FIO_Z[[#This Row],[Logarytmiczna stopa zwrotu]]-0))</f>
        <v>-1.2290051675693086</v>
      </c>
      <c r="K28">
        <f>MIN(0,(FIO_Z[[#This Row],[Rynkowa stopa zwrotu]]-0))</f>
        <v>0</v>
      </c>
      <c r="L28">
        <f>MAX(0,(FIO_Z[[#This Row],[Logarytmiczna stopa zwrotu]]-0))</f>
        <v>0</v>
      </c>
    </row>
    <row r="29" spans="1:12" x14ac:dyDescent="0.25">
      <c r="A29" s="1">
        <v>45697</v>
      </c>
      <c r="B29">
        <v>55.3</v>
      </c>
      <c r="C29">
        <f>((FIO_Z[[#This Row],[Cena]]-B28)/FIO_PL[[#This Row],[Cena]])*100</f>
        <v>0.57954757898671749</v>
      </c>
      <c r="D29">
        <f>LN(FIO_Z[[#This Row],[Cena]]/B28)*100</f>
        <v>0.56215580085656069</v>
      </c>
      <c r="E29">
        <v>5.8010000000000002</v>
      </c>
      <c r="F29">
        <f>LN(FIO_Z[[#This Row],[Instrument wolny od ryzyka]]/E28)*100</f>
        <v>-0.55011312875733431</v>
      </c>
      <c r="G29" s="2">
        <v>12208</v>
      </c>
      <c r="H29">
        <f>LN(FIO_Z[[#This Row],[MSCI Wolrd Index]]/G28)*100</f>
        <v>-1.0430342278872446</v>
      </c>
      <c r="I29">
        <f>FIO_Z[[#This Row],[Stopa MSCI]]*100%</f>
        <v>-1.0430342278872446</v>
      </c>
      <c r="J29">
        <f>MIN(0,(FIO_Z[[#This Row],[Logarytmiczna stopa zwrotu]]-0))</f>
        <v>0</v>
      </c>
      <c r="K29">
        <f>MIN(0,(FIO_Z[[#This Row],[Rynkowa stopa zwrotu]]-0))</f>
        <v>-1.0430342278872446</v>
      </c>
      <c r="L29">
        <f>MAX(0,(FIO_Z[[#This Row],[Logarytmiczna stopa zwrotu]]-0))</f>
        <v>0.56215580085656069</v>
      </c>
    </row>
    <row r="30" spans="1:12" x14ac:dyDescent="0.25">
      <c r="A30" s="1">
        <v>45704</v>
      </c>
      <c r="B30">
        <v>56.38</v>
      </c>
      <c r="C30">
        <f>((FIO_Z[[#This Row],[Cena]]-B29)/FIO_PL[[#This Row],[Cena]])*100</f>
        <v>1.9664967225054724</v>
      </c>
      <c r="D30">
        <f>LN(FIO_Z[[#This Row],[Cena]]/B29)*100</f>
        <v>1.9341577157677508</v>
      </c>
      <c r="E30">
        <v>5.7460000000000004</v>
      </c>
      <c r="F30">
        <f>LN(FIO_Z[[#This Row],[Instrument wolny od ryzyka]]/E29)*100</f>
        <v>-0.95263559268293652</v>
      </c>
      <c r="G30" s="2">
        <v>12399</v>
      </c>
      <c r="H30">
        <f>LN(FIO_Z[[#This Row],[MSCI Wolrd Index]]/G29)*100</f>
        <v>1.5524349655603733</v>
      </c>
      <c r="I30">
        <f>FIO_Z[[#This Row],[Stopa MSCI]]*100%</f>
        <v>1.5524349655603733</v>
      </c>
      <c r="J30">
        <f>MIN(0,(FIO_Z[[#This Row],[Logarytmiczna stopa zwrotu]]-0))</f>
        <v>0</v>
      </c>
      <c r="K30">
        <f>MIN(0,(FIO_Z[[#This Row],[Rynkowa stopa zwrotu]]-0))</f>
        <v>0</v>
      </c>
      <c r="L30">
        <f>MAX(0,(FIO_Z[[#This Row],[Logarytmiczna stopa zwrotu]]-0))</f>
        <v>1.9341577157677508</v>
      </c>
    </row>
    <row r="31" spans="1:12" x14ac:dyDescent="0.25">
      <c r="A31" s="1">
        <v>45711</v>
      </c>
      <c r="B31">
        <v>55.97</v>
      </c>
      <c r="C31">
        <f>((FIO_Z[[#This Row],[Cena]]-B30)/FIO_PL[[#This Row],[Cena]])*100</f>
        <v>-0.73714491190220011</v>
      </c>
      <c r="D31">
        <f>LN(FIO_Z[[#This Row],[Cena]]/B30)*100</f>
        <v>-0.72986527826983905</v>
      </c>
      <c r="E31">
        <v>5.8849999999999998</v>
      </c>
      <c r="F31">
        <f>LN(FIO_Z[[#This Row],[Instrument wolny od ryzyka]]/E30)*100</f>
        <v>2.3902780155142014</v>
      </c>
      <c r="G31" s="2">
        <v>12327</v>
      </c>
      <c r="H31">
        <f>LN(FIO_Z[[#This Row],[MSCI Wolrd Index]]/G30)*100</f>
        <v>-0.58238456283225737</v>
      </c>
      <c r="I31">
        <f>FIO_Z[[#This Row],[Stopa MSCI]]*100%</f>
        <v>-0.58238456283225737</v>
      </c>
      <c r="J31">
        <f>MIN(0,(FIO_Z[[#This Row],[Logarytmiczna stopa zwrotu]]-0))</f>
        <v>-0.72986527826983905</v>
      </c>
      <c r="K31">
        <f>MIN(0,(FIO_Z[[#This Row],[Rynkowa stopa zwrotu]]-0))</f>
        <v>-0.58238456283225737</v>
      </c>
      <c r="L31">
        <f>MAX(0,(FIO_Z[[#This Row],[Logarytmiczna stopa zwrotu]]-0))</f>
        <v>0</v>
      </c>
    </row>
    <row r="32" spans="1:12" x14ac:dyDescent="0.25">
      <c r="A32" s="1">
        <v>45718</v>
      </c>
      <c r="B32">
        <v>55.05</v>
      </c>
      <c r="C32">
        <f>((FIO_Z[[#This Row],[Cena]]-B31)/FIO_PL[[#This Row],[Cena]])*100</f>
        <v>-1.6733357584576243</v>
      </c>
      <c r="D32">
        <f>LN(FIO_Z[[#This Row],[Cena]]/B31)*100</f>
        <v>-1.6573969734579328</v>
      </c>
      <c r="E32">
        <v>5.7569999999999997</v>
      </c>
      <c r="F32">
        <f>LN(FIO_Z[[#This Row],[Instrument wolny od ryzyka]]/E31)*100</f>
        <v>-2.1990235018567468</v>
      </c>
      <c r="G32" s="2">
        <v>11966</v>
      </c>
      <c r="H32">
        <f>LN(FIO_Z[[#This Row],[MSCI Wolrd Index]]/G31)*100</f>
        <v>-2.9722683601542297</v>
      </c>
      <c r="I32">
        <f>FIO_Z[[#This Row],[Stopa MSCI]]*100%</f>
        <v>-2.9722683601542297</v>
      </c>
      <c r="J32">
        <f>MIN(0,(FIO_Z[[#This Row],[Logarytmiczna stopa zwrotu]]-0))</f>
        <v>-1.6573969734579328</v>
      </c>
      <c r="K32">
        <f>MIN(0,(FIO_Z[[#This Row],[Rynkowa stopa zwrotu]]-0))</f>
        <v>-2.9722683601542297</v>
      </c>
      <c r="L32">
        <f>MAX(0,(FIO_Z[[#This Row],[Logarytmiczna stopa zwrotu]]-0))</f>
        <v>0</v>
      </c>
    </row>
    <row r="33" spans="1:12" x14ac:dyDescent="0.25">
      <c r="A33" s="1">
        <v>45725</v>
      </c>
      <c r="B33">
        <v>53.7</v>
      </c>
      <c r="C33">
        <f>((FIO_Z[[#This Row],[Cena]]-B32)/FIO_PL[[#This Row],[Cena]])*100</f>
        <v>-2.4284943335132114</v>
      </c>
      <c r="D33">
        <f>LN(FIO_Z[[#This Row],[Cena]]/B32)*100</f>
        <v>-2.4828861653869883</v>
      </c>
      <c r="E33">
        <v>5.9640000000000004</v>
      </c>
      <c r="F33">
        <f>LN(FIO_Z[[#This Row],[Instrument wolny od ryzyka]]/E32)*100</f>
        <v>3.532489120881948</v>
      </c>
      <c r="G33" s="2">
        <v>11736</v>
      </c>
      <c r="H33">
        <f>LN(FIO_Z[[#This Row],[MSCI Wolrd Index]]/G32)*100</f>
        <v>-1.9408254127159477</v>
      </c>
      <c r="I33">
        <f>FIO_Z[[#This Row],[Stopa MSCI]]*100%</f>
        <v>-1.9408254127159477</v>
      </c>
      <c r="J33">
        <f>MIN(0,(FIO_Z[[#This Row],[Logarytmiczna stopa zwrotu]]-0))</f>
        <v>-2.4828861653869883</v>
      </c>
      <c r="K33">
        <f>MIN(0,(FIO_Z[[#This Row],[Rynkowa stopa zwrotu]]-0))</f>
        <v>-1.9408254127159477</v>
      </c>
      <c r="L33">
        <f>MAX(0,(FIO_Z[[#This Row],[Logarytmiczna stopa zwrotu]]-0))</f>
        <v>0</v>
      </c>
    </row>
    <row r="34" spans="1:12" x14ac:dyDescent="0.25">
      <c r="A34" s="1">
        <v>45732</v>
      </c>
      <c r="B34">
        <v>53.46</v>
      </c>
      <c r="C34">
        <f>((FIO_Z[[#This Row],[Cena]]-B33)/FIO_PL[[#This Row],[Cena]])*100</f>
        <v>-0.41936047527520881</v>
      </c>
      <c r="D34">
        <f>LN(FIO_Z[[#This Row],[Cena]]/B33)*100</f>
        <v>-0.44792908040460566</v>
      </c>
      <c r="E34">
        <v>5.8959999999999999</v>
      </c>
      <c r="F34">
        <f>LN(FIO_Z[[#This Row],[Instrument wolny od ryzyka]]/E33)*100</f>
        <v>-1.1467242015456542</v>
      </c>
      <c r="G34" s="2">
        <v>11597</v>
      </c>
      <c r="H34">
        <f>LN(FIO_Z[[#This Row],[MSCI Wolrd Index]]/G33)*100</f>
        <v>-1.19145968661144</v>
      </c>
      <c r="I34">
        <f>FIO_Z[[#This Row],[Stopa MSCI]]*100%</f>
        <v>-1.19145968661144</v>
      </c>
      <c r="J34">
        <f>MIN(0,(FIO_Z[[#This Row],[Logarytmiczna stopa zwrotu]]-0))</f>
        <v>-0.44792908040460566</v>
      </c>
      <c r="K34">
        <f>MIN(0,(FIO_Z[[#This Row],[Rynkowa stopa zwrotu]]-0))</f>
        <v>-1.19145968661144</v>
      </c>
      <c r="L34">
        <f>MAX(0,(FIO_Z[[#This Row],[Logarytmiczna stopa zwrotu]]-0))</f>
        <v>0</v>
      </c>
    </row>
    <row r="35" spans="1:12" x14ac:dyDescent="0.25">
      <c r="A35" s="1">
        <v>45739</v>
      </c>
      <c r="B35">
        <v>53.71</v>
      </c>
      <c r="C35">
        <f>((FIO_Z[[#This Row],[Cena]]-B34)/FIO_PL[[#This Row],[Cena]])*100</f>
        <v>0.43706293706293703</v>
      </c>
      <c r="D35">
        <f>LN(FIO_Z[[#This Row],[Cena]]/B34)*100</f>
        <v>0.46654932065950716</v>
      </c>
      <c r="E35">
        <v>5.8310000000000004</v>
      </c>
      <c r="F35">
        <f>LN(FIO_Z[[#This Row],[Instrument wolny od ryzyka]]/E34)*100</f>
        <v>-1.1085642647016498</v>
      </c>
      <c r="G35" s="2">
        <v>11800</v>
      </c>
      <c r="H35">
        <f>LN(FIO_Z[[#This Row],[MSCI Wolrd Index]]/G34)*100</f>
        <v>1.7353087497052881</v>
      </c>
      <c r="I35">
        <f>FIO_Z[[#This Row],[Stopa MSCI]]*100%</f>
        <v>1.7353087497052881</v>
      </c>
      <c r="J35">
        <f>MIN(0,(FIO_Z[[#This Row],[Logarytmiczna stopa zwrotu]]-0))</f>
        <v>0</v>
      </c>
      <c r="K35">
        <f>MIN(0,(FIO_Z[[#This Row],[Rynkowa stopa zwrotu]]-0))</f>
        <v>0</v>
      </c>
      <c r="L35">
        <f>MAX(0,(FIO_Z[[#This Row],[Logarytmiczna stopa zwrotu]]-0))</f>
        <v>0.46654932065950716</v>
      </c>
    </row>
    <row r="36" spans="1:12" x14ac:dyDescent="0.25">
      <c r="A36" s="1">
        <v>45746</v>
      </c>
      <c r="B36">
        <v>52.54</v>
      </c>
      <c r="C36">
        <f>((FIO_Z[[#This Row],[Cena]]-B35)/FIO_PL[[#This Row],[Cena]])*100</f>
        <v>-2.0344287949921784</v>
      </c>
      <c r="D36">
        <f>LN(FIO_Z[[#This Row],[Cena]]/B35)*100</f>
        <v>-2.2024419659974197</v>
      </c>
      <c r="E36">
        <v>5.7960000000000003</v>
      </c>
      <c r="F36">
        <f>LN(FIO_Z[[#This Row],[Instrument wolny od ryzyka]]/E35)*100</f>
        <v>-0.60204877815830249</v>
      </c>
      <c r="G36" s="2">
        <v>11661</v>
      </c>
      <c r="H36">
        <f>LN(FIO_Z[[#This Row],[MSCI Wolrd Index]]/G35)*100</f>
        <v>-1.1849590933423284</v>
      </c>
      <c r="I36">
        <f>FIO_Z[[#This Row],[Stopa MSCI]]*100%</f>
        <v>-1.1849590933423284</v>
      </c>
      <c r="J36">
        <f>MIN(0,(FIO_Z[[#This Row],[Logarytmiczna stopa zwrotu]]-0))</f>
        <v>-2.2024419659974197</v>
      </c>
      <c r="K36">
        <f>MIN(0,(FIO_Z[[#This Row],[Rynkowa stopa zwrotu]]-0))</f>
        <v>-1.1849590933423284</v>
      </c>
      <c r="L36">
        <f>MAX(0,(FIO_Z[[#This Row],[Logarytmiczna stopa zwrotu]]-0))</f>
        <v>0</v>
      </c>
    </row>
    <row r="37" spans="1:12" x14ac:dyDescent="0.25">
      <c r="A37" s="1">
        <v>45753</v>
      </c>
      <c r="B37">
        <v>48.31</v>
      </c>
      <c r="C37">
        <f>((FIO_Z[[#This Row],[Cena]]-B36)/FIO_PL[[#This Row],[Cena]])*100</f>
        <v>-8.0083301779628879</v>
      </c>
      <c r="D37">
        <f>LN(FIO_Z[[#This Row],[Cena]]/B36)*100</f>
        <v>-8.3936205691078438</v>
      </c>
      <c r="E37">
        <v>5.2939999999999996</v>
      </c>
      <c r="F37">
        <f>LN(FIO_Z[[#This Row],[Instrument wolny od ryzyka]]/E36)*100</f>
        <v>-9.0593920653526503</v>
      </c>
      <c r="G37" s="2">
        <v>10783</v>
      </c>
      <c r="H37">
        <f>LN(FIO_Z[[#This Row],[MSCI Wolrd Index]]/G36)*100</f>
        <v>-7.8279120638260551</v>
      </c>
      <c r="I37">
        <f>FIO_Z[[#This Row],[Stopa MSCI]]*100%</f>
        <v>-7.8279120638260551</v>
      </c>
      <c r="J37">
        <f>MIN(0,(FIO_Z[[#This Row],[Logarytmiczna stopa zwrotu]]-0))</f>
        <v>-8.3936205691078438</v>
      </c>
      <c r="K37">
        <f>MIN(0,(FIO_Z[[#This Row],[Rynkowa stopa zwrotu]]-0))</f>
        <v>-7.8279120638260551</v>
      </c>
      <c r="L37">
        <f>MAX(0,(FIO_Z[[#This Row],[Logarytmiczna stopa zwrotu]]-0))</f>
        <v>0</v>
      </c>
    </row>
    <row r="38" spans="1:12" x14ac:dyDescent="0.25">
      <c r="A38" s="1">
        <v>45760</v>
      </c>
      <c r="B38">
        <v>50.61</v>
      </c>
      <c r="C38">
        <f>((FIO_Z[[#This Row],[Cena]]-B37)/FIO_PL[[#This Row],[Cena]])*100</f>
        <v>4.2655786350148315</v>
      </c>
      <c r="D38">
        <f>LN(FIO_Z[[#This Row],[Cena]]/B37)*100</f>
        <v>4.6510606659671287</v>
      </c>
      <c r="E38">
        <v>5.2549999999999999</v>
      </c>
      <c r="F38">
        <f>LN(FIO_Z[[#This Row],[Instrument wolny od ryzyka]]/E37)*100</f>
        <v>-0.73940994759949707</v>
      </c>
      <c r="G38" s="2">
        <v>10926</v>
      </c>
      <c r="H38">
        <f>LN(FIO_Z[[#This Row],[MSCI Wolrd Index]]/G37)*100</f>
        <v>1.3174450073590591</v>
      </c>
      <c r="I38">
        <f>FIO_Z[[#This Row],[Stopa MSCI]]*100%</f>
        <v>1.3174450073590591</v>
      </c>
      <c r="J38">
        <f>MIN(0,(FIO_Z[[#This Row],[Logarytmiczna stopa zwrotu]]-0))</f>
        <v>0</v>
      </c>
      <c r="K38">
        <f>MIN(0,(FIO_Z[[#This Row],[Rynkowa stopa zwrotu]]-0))</f>
        <v>0</v>
      </c>
      <c r="L38">
        <f>MAX(0,(FIO_Z[[#This Row],[Logarytmiczna stopa zwrotu]]-0))</f>
        <v>4.6510606659671287</v>
      </c>
    </row>
    <row r="39" spans="1:12" x14ac:dyDescent="0.25">
      <c r="A39" s="1">
        <v>45767</v>
      </c>
      <c r="B39">
        <v>50.3</v>
      </c>
      <c r="C39">
        <f>((FIO_Z[[#This Row],[Cena]]-B38)/FIO_PL[[#This Row],[Cena]])*100</f>
        <v>-0.55406613047364117</v>
      </c>
      <c r="D39">
        <f>LN(FIO_Z[[#This Row],[Cena]]/B38)*100</f>
        <v>-0.61441081202931913</v>
      </c>
      <c r="E39">
        <v>5.1369999999999996</v>
      </c>
      <c r="F39">
        <f>LN(FIO_Z[[#This Row],[Instrument wolny od ryzyka]]/E38)*100</f>
        <v>-2.2710752843783695</v>
      </c>
      <c r="G39" s="2">
        <v>11130</v>
      </c>
      <c r="H39">
        <f>LN(FIO_Z[[#This Row],[MSCI Wolrd Index]]/G38)*100</f>
        <v>1.8498895313927539</v>
      </c>
      <c r="I39">
        <f>FIO_Z[[#This Row],[Stopa MSCI]]*100%</f>
        <v>1.8498895313927539</v>
      </c>
      <c r="J39">
        <f>MIN(0,(FIO_Z[[#This Row],[Logarytmiczna stopa zwrotu]]-0))</f>
        <v>-0.61441081202931913</v>
      </c>
      <c r="K39">
        <f>MIN(0,(FIO_Z[[#This Row],[Rynkowa stopa zwrotu]]-0))</f>
        <v>0</v>
      </c>
      <c r="L39">
        <f>MAX(0,(FIO_Z[[#This Row],[Logarytmiczna stopa zwrotu]]-0))</f>
        <v>0</v>
      </c>
    </row>
    <row r="40" spans="1:12" x14ac:dyDescent="0.25">
      <c r="A40" s="1">
        <v>45774</v>
      </c>
      <c r="B40">
        <v>52.91</v>
      </c>
      <c r="C40">
        <f>((FIO_Z[[#This Row],[Cena]]-B39)/FIO_PL[[#This Row],[Cena]])*100</f>
        <v>4.4417971409121844</v>
      </c>
      <c r="D40">
        <f>LN(FIO_Z[[#This Row],[Cena]]/B39)*100</f>
        <v>5.0587279810346732</v>
      </c>
      <c r="E40">
        <v>5.2649999999999997</v>
      </c>
      <c r="F40">
        <f>LN(FIO_Z[[#This Row],[Instrument wolny od ryzyka]]/E39)*100</f>
        <v>2.4611894100808067</v>
      </c>
      <c r="G40" s="2">
        <v>11521</v>
      </c>
      <c r="H40">
        <f>LN(FIO_Z[[#This Row],[MSCI Wolrd Index]]/G39)*100</f>
        <v>3.4527291768462969</v>
      </c>
      <c r="I40">
        <f>FIO_Z[[#This Row],[Stopa MSCI]]*100%</f>
        <v>3.4527291768462969</v>
      </c>
      <c r="J40">
        <f>MIN(0,(FIO_Z[[#This Row],[Logarytmiczna stopa zwrotu]]-0))</f>
        <v>0</v>
      </c>
      <c r="K40">
        <f>MIN(0,(FIO_Z[[#This Row],[Rynkowa stopa zwrotu]]-0))</f>
        <v>0</v>
      </c>
      <c r="L40">
        <f>MAX(0,(FIO_Z[[#This Row],[Logarytmiczna stopa zwrotu]]-0))</f>
        <v>5.0587279810346732</v>
      </c>
    </row>
    <row r="41" spans="1:12" x14ac:dyDescent="0.25">
      <c r="A41" s="1">
        <v>45781</v>
      </c>
      <c r="B41">
        <v>54.21</v>
      </c>
      <c r="C41">
        <f>((FIO_Z[[#This Row],[Cena]]-B40)/FIO_PL[[#This Row],[Cena]])*100</f>
        <v>2.189658076469605</v>
      </c>
      <c r="D41">
        <f>LN(FIO_Z[[#This Row],[Cena]]/B40)*100</f>
        <v>2.427303635620655</v>
      </c>
      <c r="E41">
        <v>5.2370000000000001</v>
      </c>
      <c r="F41">
        <f>LN(FIO_Z[[#This Row],[Instrument wolny od ryzyka]]/E40)*100</f>
        <v>-0.5332330288588113</v>
      </c>
      <c r="G41" s="2">
        <v>11870</v>
      </c>
      <c r="H41">
        <f>LN(FIO_Z[[#This Row],[MSCI Wolrd Index]]/G40)*100</f>
        <v>2.9842751565660204</v>
      </c>
      <c r="I41">
        <f>FIO_Z[[#This Row],[Stopa MSCI]]*100%</f>
        <v>2.9842751565660204</v>
      </c>
      <c r="J41">
        <f>MIN(0,(FIO_Z[[#This Row],[Logarytmiczna stopa zwrotu]]-0))</f>
        <v>0</v>
      </c>
      <c r="K41">
        <f>MIN(0,(FIO_Z[[#This Row],[Rynkowa stopa zwrotu]]-0))</f>
        <v>0</v>
      </c>
      <c r="L41">
        <f>MAX(0,(FIO_Z[[#This Row],[Logarytmiczna stopa zwrotu]]-0))</f>
        <v>2.427303635620655</v>
      </c>
    </row>
    <row r="42" spans="1:12" x14ac:dyDescent="0.25">
      <c r="A42" s="1">
        <v>45788</v>
      </c>
      <c r="B42">
        <v>54.73</v>
      </c>
      <c r="C42">
        <f>((FIO_Z[[#This Row],[Cena]]-B41)/FIO_PL[[#This Row],[Cena]])*100</f>
        <v>0.85596707818929396</v>
      </c>
      <c r="D42">
        <f>LN(FIO_Z[[#This Row],[Cena]]/B41)*100</f>
        <v>0.95466118835799108</v>
      </c>
      <c r="E42">
        <v>5.3570000000000002</v>
      </c>
      <c r="F42">
        <f>LN(FIO_Z[[#This Row],[Instrument wolny od ryzyka]]/E41)*100</f>
        <v>2.2655301601472666</v>
      </c>
      <c r="G42" s="2">
        <v>11865</v>
      </c>
      <c r="H42">
        <f>LN(FIO_Z[[#This Row],[MSCI Wolrd Index]]/G41)*100</f>
        <v>-4.2131873384972603E-2</v>
      </c>
      <c r="I42">
        <f>FIO_Z[[#This Row],[Stopa MSCI]]*100%</f>
        <v>-4.2131873384972603E-2</v>
      </c>
      <c r="J42">
        <f>MIN(0,(FIO_Z[[#This Row],[Logarytmiczna stopa zwrotu]]-0))</f>
        <v>0</v>
      </c>
      <c r="K42">
        <f>MIN(0,(FIO_Z[[#This Row],[Rynkowa stopa zwrotu]]-0))</f>
        <v>-4.2131873384972603E-2</v>
      </c>
      <c r="L42">
        <f>MAX(0,(FIO_Z[[#This Row],[Logarytmiczna stopa zwrotu]]-0))</f>
        <v>0.95466118835799108</v>
      </c>
    </row>
    <row r="43" spans="1:12" x14ac:dyDescent="0.25">
      <c r="A43" s="1">
        <v>45795</v>
      </c>
      <c r="B43">
        <v>56.77</v>
      </c>
      <c r="C43">
        <f>((FIO_Z[[#This Row],[Cena]]-B42)/FIO_PL[[#This Row],[Cena]])*100</f>
        <v>3.3836457123901251</v>
      </c>
      <c r="D43">
        <f>LN(FIO_Z[[#This Row],[Cena]]/B42)*100</f>
        <v>3.6596012026808262</v>
      </c>
      <c r="E43">
        <v>5.44</v>
      </c>
      <c r="F43">
        <f>LN(FIO_Z[[#This Row],[Instrument wolny od ryzyka]]/E42)*100</f>
        <v>1.5374943969028068</v>
      </c>
      <c r="G43" s="2">
        <v>12298</v>
      </c>
      <c r="H43">
        <f>LN(FIO_Z[[#This Row],[MSCI Wolrd Index]]/G42)*100</f>
        <v>3.5843757643551131</v>
      </c>
      <c r="I43">
        <f>FIO_Z[[#This Row],[Stopa MSCI]]*100%</f>
        <v>3.5843757643551131</v>
      </c>
      <c r="J43">
        <f>MIN(0,(FIO_Z[[#This Row],[Logarytmiczna stopa zwrotu]]-0))</f>
        <v>0</v>
      </c>
      <c r="K43">
        <f>MIN(0,(FIO_Z[[#This Row],[Rynkowa stopa zwrotu]]-0))</f>
        <v>0</v>
      </c>
      <c r="L43">
        <f>MAX(0,(FIO_Z[[#This Row],[Logarytmiczna stopa zwrotu]]-0))</f>
        <v>3.6596012026808262</v>
      </c>
    </row>
    <row r="44" spans="1:12" x14ac:dyDescent="0.25">
      <c r="A44" s="1">
        <v>45802</v>
      </c>
      <c r="B44">
        <v>55.63</v>
      </c>
      <c r="C44">
        <f>((FIO_Z[[#This Row],[Cena]]-B43)/FIO_PL[[#This Row],[Cena]])*100</f>
        <v>-1.9483848914715445</v>
      </c>
      <c r="D44">
        <f>LN(FIO_Z[[#This Row],[Cena]]/B43)*100</f>
        <v>-2.0285393095433011</v>
      </c>
      <c r="E44">
        <v>5.5650000000000004</v>
      </c>
      <c r="F44">
        <f>LN(FIO_Z[[#This Row],[Instrument wolny od ryzyka]]/E43)*100</f>
        <v>2.2717923859656866</v>
      </c>
      <c r="G44" s="2">
        <v>12128</v>
      </c>
      <c r="H44">
        <f>LN(FIO_Z[[#This Row],[MSCI Wolrd Index]]/G43)*100</f>
        <v>-1.3919818631262137</v>
      </c>
      <c r="I44">
        <f>FIO_Z[[#This Row],[Stopa MSCI]]*100%</f>
        <v>-1.3919818631262137</v>
      </c>
      <c r="J44">
        <f>MIN(0,(FIO_Z[[#This Row],[Logarytmiczna stopa zwrotu]]-0))</f>
        <v>-2.0285393095433011</v>
      </c>
      <c r="K44">
        <f>MIN(0,(FIO_Z[[#This Row],[Rynkowa stopa zwrotu]]-0))</f>
        <v>-1.3919818631262137</v>
      </c>
      <c r="L44">
        <f>MAX(0,(FIO_Z[[#This Row],[Logarytmiczna stopa zwrotu]]-0))</f>
        <v>0</v>
      </c>
    </row>
    <row r="45" spans="1:12" x14ac:dyDescent="0.25">
      <c r="A45" s="1">
        <v>45809</v>
      </c>
      <c r="B45">
        <v>56.45</v>
      </c>
      <c r="C45">
        <f>((FIO_Z[[#This Row],[Cena]]-B44)/FIO_PL[[#This Row],[Cena]])*100</f>
        <v>1.3830325518637212</v>
      </c>
      <c r="D45">
        <f>LN(FIO_Z[[#This Row],[Cena]]/B44)*100</f>
        <v>1.4632666508469085</v>
      </c>
      <c r="E45">
        <v>5.3869999999999996</v>
      </c>
      <c r="F45">
        <f>LN(FIO_Z[[#This Row],[Instrument wolny od ryzyka]]/E44)*100</f>
        <v>-3.2508341029111589</v>
      </c>
      <c r="G45" s="2">
        <v>12323</v>
      </c>
      <c r="H45">
        <f>LN(FIO_Z[[#This Row],[MSCI Wolrd Index]]/G44)*100</f>
        <v>1.5950606055970331</v>
      </c>
      <c r="I45">
        <f>FIO_Z[[#This Row],[Stopa MSCI]]*100%</f>
        <v>1.5950606055970331</v>
      </c>
      <c r="J45">
        <f>MIN(0,(FIO_Z[[#This Row],[Logarytmiczna stopa zwrotu]]-0))</f>
        <v>0</v>
      </c>
      <c r="K45">
        <f>MIN(0,(FIO_Z[[#This Row],[Rynkowa stopa zwrotu]]-0))</f>
        <v>0</v>
      </c>
      <c r="L45">
        <f>MAX(0,(FIO_Z[[#This Row],[Logarytmiczna stopa zwrotu]]-0))</f>
        <v>1.4632666508469085</v>
      </c>
    </row>
    <row r="46" spans="1:12" x14ac:dyDescent="0.25">
      <c r="A46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A16F-7DDF-47FD-B03E-28BEC51F4204}">
  <dimension ref="A1:L46"/>
  <sheetViews>
    <sheetView zoomScale="90" zoomScaleNormal="90" workbookViewId="0">
      <selection activeCell="D1" activeCellId="1" sqref="A1:A1048576 D1:D1048576"/>
    </sheetView>
  </sheetViews>
  <sheetFormatPr defaultRowHeight="15" x14ac:dyDescent="0.25"/>
  <cols>
    <col min="1" max="1" width="10.42578125" bestFit="1" customWidth="1"/>
    <col min="2" max="2" width="13.5703125" bestFit="1" customWidth="1"/>
    <col min="3" max="3" width="21" customWidth="1"/>
    <col min="4" max="4" width="28.7109375" customWidth="1"/>
    <col min="5" max="5" width="27.5703125" customWidth="1"/>
    <col min="6" max="6" width="23.5703125" customWidth="1"/>
    <col min="7" max="7" width="19.42578125" customWidth="1"/>
    <col min="8" max="8" width="13.85546875" customWidth="1"/>
    <col min="9" max="9" width="23.28515625" customWidth="1"/>
    <col min="10" max="10" width="25.140625" customWidth="1"/>
    <col min="11" max="11" width="32.28515625" customWidth="1"/>
    <col min="12" max="12" width="25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13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1">
        <v>45508</v>
      </c>
      <c r="B2">
        <v>1318.71</v>
      </c>
      <c r="C2">
        <v>0</v>
      </c>
      <c r="D2">
        <v>0</v>
      </c>
      <c r="E2">
        <v>5.165</v>
      </c>
      <c r="F2">
        <v>0</v>
      </c>
      <c r="G2" s="2">
        <v>10842</v>
      </c>
      <c r="H2">
        <v>0</v>
      </c>
      <c r="I2">
        <f>SFIO_Z[[#This Row],[Stopa MSCI]]*100%</f>
        <v>0</v>
      </c>
      <c r="J2">
        <f>MIN(0,(SFIO_Z[[#This Row],[Logarytmiczna stopa zwrotu]]-0))</f>
        <v>0</v>
      </c>
      <c r="K2">
        <f>MIN(0,(SFIO_Z[[#This Row],[Rynkowa stopa zwrotu]]-0))</f>
        <v>0</v>
      </c>
      <c r="L2">
        <f>MAX(0,(SFIO_Z[[#This Row],[Logarytmiczna stopa zwrotu]]-0))</f>
        <v>0</v>
      </c>
    </row>
    <row r="3" spans="1:12" x14ac:dyDescent="0.25">
      <c r="A3" s="1">
        <v>45515</v>
      </c>
      <c r="B3">
        <v>1288.69</v>
      </c>
      <c r="C3">
        <f>((SFIO_Z[[#This Row],[Cena]]-B2)/SFIO_Z[[#This Row],[Cena]])*100</f>
        <v>-2.3294973965810226</v>
      </c>
      <c r="D3">
        <f>LN(SFIO_Z[[#This Row],[Cena]]/B2)*100</f>
        <v>-2.3027787504462349</v>
      </c>
      <c r="E3">
        <v>5.2169999999999996</v>
      </c>
      <c r="F3">
        <f>LN(SFIO_Z[[#This Row],[Instrument wolny od ryzyka]]/E2)*100</f>
        <v>1.0017421468653662</v>
      </c>
      <c r="G3" s="2">
        <v>10887</v>
      </c>
      <c r="H3">
        <f>LN(SFIO_Z[[#This Row],[MSCI Wolrd Index]]/G2)*100</f>
        <v>0.41419360608964534</v>
      </c>
      <c r="I3">
        <f>SFIO_Z[[#This Row],[Stopa MSCI]]*100%</f>
        <v>0.41419360608964534</v>
      </c>
      <c r="J3">
        <f>MIN(0,(SFIO_Z[[#This Row],[Logarytmiczna stopa zwrotu]]-0))</f>
        <v>-2.3027787504462349</v>
      </c>
      <c r="K3">
        <f>MIN(0,(SFIO_Z[[#This Row],[Rynkowa stopa zwrotu]]-0))</f>
        <v>0</v>
      </c>
      <c r="L3">
        <f>MAX(0,(SFIO_Z[[#This Row],[Logarytmiczna stopa zwrotu]]-0))</f>
        <v>0</v>
      </c>
    </row>
    <row r="4" spans="1:12" x14ac:dyDescent="0.25">
      <c r="A4" s="1">
        <v>45522</v>
      </c>
      <c r="B4">
        <v>1329.25</v>
      </c>
      <c r="C4">
        <f>((SFIO_Z[[#This Row],[Cena]]-B3)/SFIO_Z[[#This Row],[Cena]])*100</f>
        <v>3.0513447432762795</v>
      </c>
      <c r="D4">
        <f>LN(SFIO_Z[[#This Row],[Cena]]/B3)*100</f>
        <v>3.0988674878105038</v>
      </c>
      <c r="E4">
        <v>5.3150000000000004</v>
      </c>
      <c r="F4">
        <f>LN(SFIO_Z[[#This Row],[Instrument wolny od ryzyka]]/E3)*100</f>
        <v>1.8610487753655796</v>
      </c>
      <c r="G4" s="2">
        <v>11321</v>
      </c>
      <c r="H4">
        <f>LN(SFIO_Z[[#This Row],[MSCI Wolrd Index]]/G3)*100</f>
        <v>3.9089991196929454</v>
      </c>
      <c r="I4">
        <f>SFIO_Z[[#This Row],[Stopa MSCI]]*100%</f>
        <v>3.9089991196929454</v>
      </c>
      <c r="J4">
        <f>MIN(0,(SFIO_Z[[#This Row],[Logarytmiczna stopa zwrotu]]-0))</f>
        <v>0</v>
      </c>
      <c r="K4">
        <f>MIN(0,(SFIO_Z[[#This Row],[Rynkowa stopa zwrotu]]-0))</f>
        <v>0</v>
      </c>
      <c r="L4">
        <f>MAX(0,(SFIO_Z[[#This Row],[Logarytmiczna stopa zwrotu]]-0))</f>
        <v>3.0988674878105038</v>
      </c>
    </row>
    <row r="5" spans="1:12" x14ac:dyDescent="0.25">
      <c r="A5" s="1">
        <v>45529</v>
      </c>
      <c r="B5">
        <v>1355.98</v>
      </c>
      <c r="C5">
        <f>((SFIO_Z[[#This Row],[Cena]]-B4)/SFIO_Z[[#This Row],[Cena]])*100</f>
        <v>1.9712680128025499</v>
      </c>
      <c r="D5">
        <f>LN(SFIO_Z[[#This Row],[Cena]]/B4)*100</f>
        <v>1.9909566744584692</v>
      </c>
      <c r="E5">
        <v>5.2990000000000004</v>
      </c>
      <c r="F5">
        <f>LN(SFIO_Z[[#This Row],[Instrument wolny od ryzyka]]/E4)*100</f>
        <v>-0.301488828328626</v>
      </c>
      <c r="G5" s="2">
        <v>11546</v>
      </c>
      <c r="H5">
        <f>LN(SFIO_Z[[#This Row],[MSCI Wolrd Index]]/G4)*100</f>
        <v>1.9679648542769534</v>
      </c>
      <c r="I5">
        <f>SFIO_Z[[#This Row],[Stopa MSCI]]*100%</f>
        <v>1.9679648542769534</v>
      </c>
      <c r="J5">
        <f>MIN(0,(SFIO_Z[[#This Row],[Logarytmiczna stopa zwrotu]]-0))</f>
        <v>0</v>
      </c>
      <c r="K5">
        <f>MIN(0,(SFIO_Z[[#This Row],[Rynkowa stopa zwrotu]]-0))</f>
        <v>0</v>
      </c>
      <c r="L5">
        <f>MAX(0,(SFIO_Z[[#This Row],[Logarytmiczna stopa zwrotu]]-0))</f>
        <v>1.9909566744584692</v>
      </c>
    </row>
    <row r="6" spans="1:12" x14ac:dyDescent="0.25">
      <c r="A6" s="1">
        <v>45536</v>
      </c>
      <c r="B6">
        <v>1362.79</v>
      </c>
      <c r="C6">
        <f>((SFIO_Z[[#This Row],[Cena]]-B5)/SFIO_Z[[#This Row],[Cena]])*100</f>
        <v>0.49971015343522818</v>
      </c>
      <c r="D6">
        <f>LN(SFIO_Z[[#This Row],[Cena]]/B5)*100</f>
        <v>0.50096287969853848</v>
      </c>
      <c r="E6">
        <v>5.4219999999999997</v>
      </c>
      <c r="F6">
        <f>LN(SFIO_Z[[#This Row],[Instrument wolny od ryzyka]]/E5)*100</f>
        <v>2.2946627565848541</v>
      </c>
      <c r="G6" s="2">
        <v>11499</v>
      </c>
      <c r="H6">
        <f>LN(SFIO_Z[[#This Row],[MSCI Wolrd Index]]/G5)*100</f>
        <v>-0.40789815722141559</v>
      </c>
      <c r="I6">
        <f>SFIO_Z[[#This Row],[Stopa MSCI]]*100%</f>
        <v>-0.40789815722141559</v>
      </c>
      <c r="J6">
        <f>MIN(0,(SFIO_Z[[#This Row],[Logarytmiczna stopa zwrotu]]-0))</f>
        <v>0</v>
      </c>
      <c r="K6">
        <f>MIN(0,(SFIO_Z[[#This Row],[Rynkowa stopa zwrotu]]-0))</f>
        <v>-0.40789815722141559</v>
      </c>
      <c r="L6">
        <f>MAX(0,(SFIO_Z[[#This Row],[Logarytmiczna stopa zwrotu]]-0))</f>
        <v>0.50096287969853848</v>
      </c>
    </row>
    <row r="7" spans="1:12" x14ac:dyDescent="0.25">
      <c r="A7" s="1">
        <v>45543</v>
      </c>
      <c r="B7">
        <v>1337.48</v>
      </c>
      <c r="C7">
        <f>((SFIO_Z[[#This Row],[Cena]]-B6)/SFIO_Z[[#This Row],[Cena]])*100</f>
        <v>-1.8923647456410522</v>
      </c>
      <c r="D7">
        <f>LN(SFIO_Z[[#This Row],[Cena]]/B6)*100</f>
        <v>-1.8746822538685715</v>
      </c>
      <c r="E7">
        <v>5.258</v>
      </c>
      <c r="F7">
        <f>LN(SFIO_Z[[#This Row],[Instrument wolny od ryzyka]]/E6)*100</f>
        <v>-3.0714024768784305</v>
      </c>
      <c r="G7" s="2">
        <v>11106</v>
      </c>
      <c r="H7">
        <f>LN(SFIO_Z[[#This Row],[MSCI Wolrd Index]]/G6)*100</f>
        <v>-3.4774572247112236</v>
      </c>
      <c r="I7">
        <f>SFIO_Z[[#This Row],[Stopa MSCI]]*100%</f>
        <v>-3.4774572247112236</v>
      </c>
      <c r="J7">
        <f>MIN(0,(SFIO_Z[[#This Row],[Logarytmiczna stopa zwrotu]]-0))</f>
        <v>-1.8746822538685715</v>
      </c>
      <c r="K7">
        <f>MIN(0,(SFIO_Z[[#This Row],[Rynkowa stopa zwrotu]]-0))</f>
        <v>-3.4774572247112236</v>
      </c>
      <c r="L7">
        <f>MAX(0,(SFIO_Z[[#This Row],[Logarytmiczna stopa zwrotu]]-0))</f>
        <v>0</v>
      </c>
    </row>
    <row r="8" spans="1:12" x14ac:dyDescent="0.25">
      <c r="A8" s="1">
        <v>45550</v>
      </c>
      <c r="B8">
        <v>1355.13</v>
      </c>
      <c r="C8">
        <f>((SFIO_Z[[#This Row],[Cena]]-B7)/SFIO_Z[[#This Row],[Cena]])*100</f>
        <v>1.3024580667537498</v>
      </c>
      <c r="D8">
        <f>LN(SFIO_Z[[#This Row],[Cena]]/B7)*100</f>
        <v>1.31101442838392</v>
      </c>
      <c r="E8">
        <v>5.2510000000000003</v>
      </c>
      <c r="F8">
        <f>LN(SFIO_Z[[#This Row],[Instrument wolny od ryzyka]]/E7)*100</f>
        <v>-0.13321916519672172</v>
      </c>
      <c r="G8" s="2">
        <v>11474</v>
      </c>
      <c r="H8">
        <f>LN(SFIO_Z[[#This Row],[MSCI Wolrd Index]]/G7)*100</f>
        <v>3.2598103360263893</v>
      </c>
      <c r="I8">
        <f>SFIO_Z[[#This Row],[Stopa MSCI]]*100%</f>
        <v>3.2598103360263893</v>
      </c>
      <c r="J8">
        <f>MIN(0,(SFIO_Z[[#This Row],[Logarytmiczna stopa zwrotu]]-0))</f>
        <v>0</v>
      </c>
      <c r="K8">
        <f>MIN(0,(SFIO_Z[[#This Row],[Rynkowa stopa zwrotu]]-0))</f>
        <v>0</v>
      </c>
      <c r="L8">
        <f>MAX(0,(SFIO_Z[[#This Row],[Logarytmiczna stopa zwrotu]]-0))</f>
        <v>1.31101442838392</v>
      </c>
    </row>
    <row r="9" spans="1:12" x14ac:dyDescent="0.25">
      <c r="A9" s="1">
        <v>45557</v>
      </c>
      <c r="B9">
        <v>1377.36</v>
      </c>
      <c r="C9">
        <f>((SFIO_Z[[#This Row],[Cena]]-B8)/SFIO_Z[[#This Row],[Cena]])*100</f>
        <v>1.6139571353894255</v>
      </c>
      <c r="D9">
        <f>LN(SFIO_Z[[#This Row],[Cena]]/B8)*100</f>
        <v>1.6271232797045354</v>
      </c>
      <c r="E9">
        <v>5.3550000000000004</v>
      </c>
      <c r="F9">
        <f>LN(SFIO_Z[[#This Row],[Instrument wolny od ryzyka]]/E8)*100</f>
        <v>1.9612169243989883</v>
      </c>
      <c r="G9" s="2">
        <v>11714</v>
      </c>
      <c r="H9">
        <f>LN(SFIO_Z[[#This Row],[MSCI Wolrd Index]]/G8)*100</f>
        <v>2.0701101487911222</v>
      </c>
      <c r="I9">
        <f>SFIO_Z[[#This Row],[Stopa MSCI]]*100%</f>
        <v>2.0701101487911222</v>
      </c>
      <c r="J9">
        <f>MIN(0,(SFIO_Z[[#This Row],[Logarytmiczna stopa zwrotu]]-0))</f>
        <v>0</v>
      </c>
      <c r="K9">
        <f>MIN(0,(SFIO_Z[[#This Row],[Rynkowa stopa zwrotu]]-0))</f>
        <v>0</v>
      </c>
      <c r="L9">
        <f>MAX(0,(SFIO_Z[[#This Row],[Logarytmiczna stopa zwrotu]]-0))</f>
        <v>1.6271232797045354</v>
      </c>
    </row>
    <row r="10" spans="1:12" x14ac:dyDescent="0.25">
      <c r="A10" s="1">
        <v>45564</v>
      </c>
      <c r="B10">
        <v>1391.87</v>
      </c>
      <c r="C10">
        <f>((SFIO_Z[[#This Row],[Cena]]-B9)/SFIO_Z[[#This Row],[Cena]])*100</f>
        <v>1.0424824157428489</v>
      </c>
      <c r="D10">
        <f>LN(SFIO_Z[[#This Row],[Cena]]/B9)*100</f>
        <v>1.0479543260357762</v>
      </c>
      <c r="E10">
        <v>5.2389999999999999</v>
      </c>
      <c r="F10">
        <f>LN(SFIO_Z[[#This Row],[Instrument wolny od ryzyka]]/E9)*100</f>
        <v>-2.1900063473629574</v>
      </c>
      <c r="G10" s="2">
        <v>11906</v>
      </c>
      <c r="H10">
        <f>LN(SFIO_Z[[#This Row],[MSCI Wolrd Index]]/G9)*100</f>
        <v>1.6257767063607911</v>
      </c>
      <c r="I10">
        <f>SFIO_Z[[#This Row],[Stopa MSCI]]*100%</f>
        <v>1.6257767063607911</v>
      </c>
      <c r="J10">
        <f>MIN(0,(SFIO_Z[[#This Row],[Logarytmiczna stopa zwrotu]]-0))</f>
        <v>0</v>
      </c>
      <c r="K10">
        <f>MIN(0,(SFIO_Z[[#This Row],[Rynkowa stopa zwrotu]]-0))</f>
        <v>0</v>
      </c>
      <c r="L10">
        <f>MAX(0,(SFIO_Z[[#This Row],[Logarytmiczna stopa zwrotu]]-0))</f>
        <v>1.0479543260357762</v>
      </c>
    </row>
    <row r="11" spans="1:12" x14ac:dyDescent="0.25">
      <c r="A11" s="1">
        <v>45571</v>
      </c>
      <c r="B11">
        <v>1371.73</v>
      </c>
      <c r="C11">
        <f>((SFIO_Z[[#This Row],[Cena]]-B10)/SFIO_Z[[#This Row],[Cena]])*100</f>
        <v>-1.4682189643734462</v>
      </c>
      <c r="D11">
        <f>LN(SFIO_Z[[#This Row],[Cena]]/B10)*100</f>
        <v>-1.4575449811943197</v>
      </c>
      <c r="E11">
        <v>5.4080000000000004</v>
      </c>
      <c r="F11">
        <f>LN(SFIO_Z[[#This Row],[Instrument wolny od ryzyka]]/E10)*100</f>
        <v>3.1748698314580484</v>
      </c>
      <c r="G11" s="2">
        <v>11743</v>
      </c>
      <c r="H11">
        <f>LN(SFIO_Z[[#This Row],[MSCI Wolrd Index]]/G10)*100</f>
        <v>-1.3785156348254293</v>
      </c>
      <c r="I11">
        <f>SFIO_Z[[#This Row],[Stopa MSCI]]*100%</f>
        <v>-1.3785156348254293</v>
      </c>
      <c r="J11">
        <f>MIN(0,(SFIO_Z[[#This Row],[Logarytmiczna stopa zwrotu]]-0))</f>
        <v>-1.4575449811943197</v>
      </c>
      <c r="K11">
        <f>MIN(0,(SFIO_Z[[#This Row],[Rynkowa stopa zwrotu]]-0))</f>
        <v>-1.3785156348254293</v>
      </c>
      <c r="L11">
        <f>MAX(0,(SFIO_Z[[#This Row],[Logarytmiczna stopa zwrotu]]-0))</f>
        <v>0</v>
      </c>
    </row>
    <row r="12" spans="1:12" x14ac:dyDescent="0.25">
      <c r="A12" s="1">
        <v>45578</v>
      </c>
      <c r="B12">
        <v>1390.99</v>
      </c>
      <c r="C12">
        <f>((SFIO_Z[[#This Row],[Cena]]-B11)/SFIO_Z[[#This Row],[Cena]])*100</f>
        <v>1.3846253387874816</v>
      </c>
      <c r="D12">
        <f>LN(SFIO_Z[[#This Row],[Cena]]/B11)*100</f>
        <v>1.3943006908360454</v>
      </c>
      <c r="E12">
        <v>5.548</v>
      </c>
      <c r="F12">
        <f>LN(SFIO_Z[[#This Row],[Instrument wolny od ryzyka]]/E11)*100</f>
        <v>2.5558163711922184</v>
      </c>
      <c r="G12" s="2">
        <v>11902</v>
      </c>
      <c r="H12">
        <f>LN(SFIO_Z[[#This Row],[MSCI Wolrd Index]]/G11)*100</f>
        <v>1.3449134839716155</v>
      </c>
      <c r="I12">
        <f>SFIO_Z[[#This Row],[Stopa MSCI]]*100%</f>
        <v>1.3449134839716155</v>
      </c>
      <c r="J12">
        <f>MIN(0,(SFIO_Z[[#This Row],[Logarytmiczna stopa zwrotu]]-0))</f>
        <v>0</v>
      </c>
      <c r="K12">
        <f>MIN(0,(SFIO_Z[[#This Row],[Rynkowa stopa zwrotu]]-0))</f>
        <v>0</v>
      </c>
      <c r="L12">
        <f>MAX(0,(SFIO_Z[[#This Row],[Logarytmiczna stopa zwrotu]]-0))</f>
        <v>1.3943006908360454</v>
      </c>
    </row>
    <row r="13" spans="1:12" x14ac:dyDescent="0.25">
      <c r="A13" s="1">
        <v>45585</v>
      </c>
      <c r="B13">
        <v>1400.49</v>
      </c>
      <c r="C13">
        <f>((SFIO_Z[[#This Row],[Cena]]-B12)/SFIO_Z[[#This Row],[Cena]])*100</f>
        <v>0.67833401166734497</v>
      </c>
      <c r="D13">
        <f>LN(SFIO_Z[[#This Row],[Cena]]/B12)*100</f>
        <v>0.68064515426461836</v>
      </c>
      <c r="E13">
        <v>5.5810000000000004</v>
      </c>
      <c r="F13">
        <f>LN(SFIO_Z[[#This Row],[Instrument wolny od ryzyka]]/E12)*100</f>
        <v>0.5930469353711405</v>
      </c>
      <c r="G13" s="2">
        <v>11954</v>
      </c>
      <c r="H13">
        <f>LN(SFIO_Z[[#This Row],[MSCI Wolrd Index]]/G12)*100</f>
        <v>0.43594971794021498</v>
      </c>
      <c r="I13">
        <f>SFIO_Z[[#This Row],[Stopa MSCI]]*100%</f>
        <v>0.43594971794021498</v>
      </c>
      <c r="J13">
        <f>MIN(0,(SFIO_Z[[#This Row],[Logarytmiczna stopa zwrotu]]-0))</f>
        <v>0</v>
      </c>
      <c r="K13">
        <f>MIN(0,(SFIO_Z[[#This Row],[Rynkowa stopa zwrotu]]-0))</f>
        <v>0</v>
      </c>
      <c r="L13">
        <f>MAX(0,(SFIO_Z[[#This Row],[Logarytmiczna stopa zwrotu]]-0))</f>
        <v>0.68064515426461836</v>
      </c>
    </row>
    <row r="14" spans="1:12" x14ac:dyDescent="0.25">
      <c r="A14" s="1">
        <v>45592</v>
      </c>
      <c r="B14">
        <v>1380.54</v>
      </c>
      <c r="C14">
        <f>((SFIO_Z[[#This Row],[Cena]]-B13)/SFIO_Z[[#This Row],[Cena]])*100</f>
        <v>-1.4450867052023153</v>
      </c>
      <c r="D14">
        <f>LN(SFIO_Z[[#This Row],[Cena]]/B13)*100</f>
        <v>-1.4347448408141541</v>
      </c>
      <c r="E14">
        <v>5.7779999999999996</v>
      </c>
      <c r="F14">
        <f>LN(SFIO_Z[[#This Row],[Instrument wolny od ryzyka]]/E13)*100</f>
        <v>3.4689630237746836</v>
      </c>
      <c r="G14" s="2">
        <v>11849</v>
      </c>
      <c r="H14">
        <f>LN(SFIO_Z[[#This Row],[MSCI Wolrd Index]]/G13)*100</f>
        <v>-0.88224745674595584</v>
      </c>
      <c r="I14">
        <f>SFIO_Z[[#This Row],[Stopa MSCI]]*100%</f>
        <v>-0.88224745674595584</v>
      </c>
      <c r="J14">
        <f>MIN(0,(SFIO_Z[[#This Row],[Logarytmiczna stopa zwrotu]]-0))</f>
        <v>-1.4347448408141541</v>
      </c>
      <c r="K14">
        <f>MIN(0,(SFIO_Z[[#This Row],[Rynkowa stopa zwrotu]]-0))</f>
        <v>-0.88224745674595584</v>
      </c>
      <c r="L14">
        <f>MAX(0,(SFIO_Z[[#This Row],[Logarytmiczna stopa zwrotu]]-0))</f>
        <v>0</v>
      </c>
    </row>
    <row r="15" spans="1:12" x14ac:dyDescent="0.25">
      <c r="A15" s="1">
        <v>45599</v>
      </c>
      <c r="B15">
        <v>1378.84</v>
      </c>
      <c r="C15">
        <f>((SFIO_Z[[#This Row],[Cena]]-B14)/SFIO_Z[[#This Row],[Cena]])*100</f>
        <v>-0.12329204258652532</v>
      </c>
      <c r="D15">
        <f>LN(SFIO_Z[[#This Row],[Cena]]/B14)*100</f>
        <v>-0.12321610036177108</v>
      </c>
      <c r="E15">
        <v>5.9630000000000001</v>
      </c>
      <c r="F15">
        <f>LN(SFIO_Z[[#This Row],[Instrument wolny od ryzyka]]/E14)*100</f>
        <v>3.1516108096925386</v>
      </c>
      <c r="G15" s="2">
        <v>11686</v>
      </c>
      <c r="H15">
        <f>LN(SFIO_Z[[#This Row],[MSCI Wolrd Index]]/G14)*100</f>
        <v>-1.3851931702357678</v>
      </c>
      <c r="I15">
        <f>SFIO_Z[[#This Row],[Stopa MSCI]]*100%</f>
        <v>-1.3851931702357678</v>
      </c>
      <c r="J15">
        <f>MIN(0,(SFIO_Z[[#This Row],[Logarytmiczna stopa zwrotu]]-0))</f>
        <v>-0.12321610036177108</v>
      </c>
      <c r="K15">
        <f>MIN(0,(SFIO_Z[[#This Row],[Rynkowa stopa zwrotu]]-0))</f>
        <v>-1.3851931702357678</v>
      </c>
      <c r="L15">
        <f>MAX(0,(SFIO_Z[[#This Row],[Logarytmiczna stopa zwrotu]]-0))</f>
        <v>0</v>
      </c>
    </row>
    <row r="16" spans="1:12" x14ac:dyDescent="0.25">
      <c r="A16" s="1">
        <v>45606</v>
      </c>
      <c r="B16">
        <v>1412.39</v>
      </c>
      <c r="C16">
        <f>((SFIO_Z[[#This Row],[Cena]]-B15)/SFIO_Z[[#This Row],[Cena]])*100</f>
        <v>2.3754062263256026</v>
      </c>
      <c r="D16">
        <f>LN(SFIO_Z[[#This Row],[Cena]]/B15)*100</f>
        <v>2.4040738926021459</v>
      </c>
      <c r="E16">
        <v>5.6589999999999998</v>
      </c>
      <c r="F16">
        <f>LN(SFIO_Z[[#This Row],[Instrument wolny od ryzyka]]/E15)*100</f>
        <v>-5.232651198058214</v>
      </c>
      <c r="G16" s="2">
        <v>12033</v>
      </c>
      <c r="H16">
        <f>LN(SFIO_Z[[#This Row],[MSCI Wolrd Index]]/G15)*100</f>
        <v>2.9261331323780118</v>
      </c>
      <c r="I16">
        <f>SFIO_Z[[#This Row],[Stopa MSCI]]*100%</f>
        <v>2.9261331323780118</v>
      </c>
      <c r="J16">
        <f>MIN(0,(SFIO_Z[[#This Row],[Logarytmiczna stopa zwrotu]]-0))</f>
        <v>0</v>
      </c>
      <c r="K16">
        <f>MIN(0,(SFIO_Z[[#This Row],[Rynkowa stopa zwrotu]]-0))</f>
        <v>0</v>
      </c>
      <c r="L16">
        <f>MAX(0,(SFIO_Z[[#This Row],[Logarytmiczna stopa zwrotu]]-0))</f>
        <v>2.4040738926021459</v>
      </c>
    </row>
    <row r="17" spans="1:12" x14ac:dyDescent="0.25">
      <c r="A17" s="1">
        <v>45613</v>
      </c>
      <c r="B17">
        <v>1396.53</v>
      </c>
      <c r="C17">
        <f>((SFIO_Z[[#This Row],[Cena]]-B16)/SFIO_Z[[#This Row],[Cena]])*100</f>
        <v>-1.1356719869963501</v>
      </c>
      <c r="D17">
        <f>LN(SFIO_Z[[#This Row],[Cena]]/B16)*100</f>
        <v>-1.1292716450288003</v>
      </c>
      <c r="E17">
        <v>5.6950000000000003</v>
      </c>
      <c r="F17">
        <f>LN(SFIO_Z[[#This Row],[Instrument wolny od ryzyka]]/E16)*100</f>
        <v>0.63413987387586768</v>
      </c>
      <c r="G17" s="2">
        <v>11808</v>
      </c>
      <c r="H17">
        <f>LN(SFIO_Z[[#This Row],[MSCI Wolrd Index]]/G16)*100</f>
        <v>-1.8875607597908808</v>
      </c>
      <c r="I17">
        <f>SFIO_Z[[#This Row],[Stopa MSCI]]*100%</f>
        <v>-1.8875607597908808</v>
      </c>
      <c r="J17">
        <f>MIN(0,(SFIO_Z[[#This Row],[Logarytmiczna stopa zwrotu]]-0))</f>
        <v>-1.1292716450288003</v>
      </c>
      <c r="K17">
        <f>MIN(0,(SFIO_Z[[#This Row],[Rynkowa stopa zwrotu]]-0))</f>
        <v>-1.8875607597908808</v>
      </c>
      <c r="L17">
        <f>MAX(0,(SFIO_Z[[#This Row],[Logarytmiczna stopa zwrotu]]-0))</f>
        <v>0</v>
      </c>
    </row>
    <row r="18" spans="1:12" x14ac:dyDescent="0.25">
      <c r="A18" s="1">
        <v>45620</v>
      </c>
      <c r="B18">
        <v>1389.65</v>
      </c>
      <c r="C18">
        <f>((SFIO_Z[[#This Row],[Cena]]-B17)/SFIO_Z[[#This Row],[Cena]])*100</f>
        <v>-0.49508869139710582</v>
      </c>
      <c r="D18">
        <f>LN(SFIO_Z[[#This Row],[Cena]]/B17)*100</f>
        <v>-0.49386715746057974</v>
      </c>
      <c r="E18">
        <v>5.5750000000000002</v>
      </c>
      <c r="F18">
        <f>LN(SFIO_Z[[#This Row],[Instrument wolny od ryzyka]]/E17)*100</f>
        <v>-2.1296279552963053</v>
      </c>
      <c r="G18" s="2">
        <v>11936</v>
      </c>
      <c r="H18">
        <f>LN(SFIO_Z[[#This Row],[MSCI Wolrd Index]]/G17)*100</f>
        <v>1.0781775603288413</v>
      </c>
      <c r="I18">
        <f>SFIO_Z[[#This Row],[Stopa MSCI]]*100%</f>
        <v>1.0781775603288413</v>
      </c>
      <c r="J18">
        <f>MIN(0,(SFIO_Z[[#This Row],[Logarytmiczna stopa zwrotu]]-0))</f>
        <v>-0.49386715746057974</v>
      </c>
      <c r="K18">
        <f>MIN(0,(SFIO_Z[[#This Row],[Rynkowa stopa zwrotu]]-0))</f>
        <v>0</v>
      </c>
      <c r="L18">
        <f>MAX(0,(SFIO_Z[[#This Row],[Logarytmiczna stopa zwrotu]]-0))</f>
        <v>0</v>
      </c>
    </row>
    <row r="19" spans="1:12" x14ac:dyDescent="0.25">
      <c r="A19" s="1">
        <v>45627</v>
      </c>
      <c r="B19">
        <v>1405.47</v>
      </c>
      <c r="C19">
        <f>((SFIO_Z[[#This Row],[Cena]]-B18)/SFIO_Z[[#This Row],[Cena]])*100</f>
        <v>1.12560211174909</v>
      </c>
      <c r="D19">
        <f>LN(SFIO_Z[[#This Row],[Cena]]/B18)*100</f>
        <v>1.1319849544596181</v>
      </c>
      <c r="E19">
        <v>5.516</v>
      </c>
      <c r="F19">
        <f>LN(SFIO_Z[[#This Row],[Instrument wolny od ryzyka]]/E18)*100</f>
        <v>-1.0639357415127135</v>
      </c>
      <c r="G19" s="2">
        <v>12090</v>
      </c>
      <c r="H19">
        <f>LN(SFIO_Z[[#This Row],[MSCI Wolrd Index]]/G18)*100</f>
        <v>1.2819621165296347</v>
      </c>
      <c r="I19">
        <f>SFIO_Z[[#This Row],[Stopa MSCI]]*100%</f>
        <v>1.2819621165296347</v>
      </c>
      <c r="J19">
        <f>MIN(0,(SFIO_Z[[#This Row],[Logarytmiczna stopa zwrotu]]-0))</f>
        <v>0</v>
      </c>
      <c r="K19">
        <f>MIN(0,(SFIO_Z[[#This Row],[Rynkowa stopa zwrotu]]-0))</f>
        <v>0</v>
      </c>
      <c r="L19">
        <f>MAX(0,(SFIO_Z[[#This Row],[Logarytmiczna stopa zwrotu]]-0))</f>
        <v>1.1319849544596181</v>
      </c>
    </row>
    <row r="20" spans="1:12" x14ac:dyDescent="0.25">
      <c r="A20" s="1">
        <v>45634</v>
      </c>
      <c r="B20">
        <v>1429.27</v>
      </c>
      <c r="C20">
        <f>((SFIO_Z[[#This Row],[Cena]]-B19)/SFIO_Z[[#This Row],[Cena]])*100</f>
        <v>1.6651857241808725</v>
      </c>
      <c r="D20">
        <f>LN(SFIO_Z[[#This Row],[Cena]]/B19)*100</f>
        <v>1.6792057997729557</v>
      </c>
      <c r="E20">
        <v>5.633</v>
      </c>
      <c r="F20">
        <f>LN(SFIO_Z[[#This Row],[Instrument wolny od ryzyka]]/E19)*100</f>
        <v>2.0989199981521436</v>
      </c>
      <c r="G20" s="2">
        <v>12221</v>
      </c>
      <c r="H20">
        <f>LN(SFIO_Z[[#This Row],[MSCI Wolrd Index]]/G19)*100</f>
        <v>1.0777118829162249</v>
      </c>
      <c r="I20">
        <f>SFIO_Z[[#This Row],[Stopa MSCI]]*100%</f>
        <v>1.0777118829162249</v>
      </c>
      <c r="J20">
        <f>MIN(0,(SFIO_Z[[#This Row],[Logarytmiczna stopa zwrotu]]-0))</f>
        <v>0</v>
      </c>
      <c r="K20">
        <f>MIN(0,(SFIO_Z[[#This Row],[Rynkowa stopa zwrotu]]-0))</f>
        <v>0</v>
      </c>
      <c r="L20">
        <f>MAX(0,(SFIO_Z[[#This Row],[Logarytmiczna stopa zwrotu]]-0))</f>
        <v>1.6792057997729557</v>
      </c>
    </row>
    <row r="21" spans="1:12" x14ac:dyDescent="0.25">
      <c r="A21" s="1">
        <v>45641</v>
      </c>
      <c r="B21">
        <v>1424.74</v>
      </c>
      <c r="C21">
        <f>((SFIO_Z[[#This Row],[Cena]]-B20)/SFIO_Z[[#This Row],[Cena]])*100</f>
        <v>-0.31795274927354977</v>
      </c>
      <c r="D21">
        <f>LN(SFIO_Z[[#This Row],[Cena]]/B20)*100</f>
        <v>-0.3174483484078312</v>
      </c>
      <c r="E21">
        <v>5.8</v>
      </c>
      <c r="F21">
        <f>LN(SFIO_Z[[#This Row],[Instrument wolny od ryzyka]]/E20)*100</f>
        <v>2.9215757639796616</v>
      </c>
      <c r="G21" s="2">
        <v>12073</v>
      </c>
      <c r="H21">
        <f>LN(SFIO_Z[[#This Row],[MSCI Wolrd Index]]/G20)*100</f>
        <v>-1.2184229105613169</v>
      </c>
      <c r="I21">
        <f>SFIO_Z[[#This Row],[Stopa MSCI]]*100%</f>
        <v>-1.2184229105613169</v>
      </c>
      <c r="J21">
        <f>MIN(0,(SFIO_Z[[#This Row],[Logarytmiczna stopa zwrotu]]-0))</f>
        <v>-0.3174483484078312</v>
      </c>
      <c r="K21">
        <f>MIN(0,(SFIO_Z[[#This Row],[Rynkowa stopa zwrotu]]-0))</f>
        <v>-1.2184229105613169</v>
      </c>
      <c r="L21">
        <f>MAX(0,(SFIO_Z[[#This Row],[Logarytmiczna stopa zwrotu]]-0))</f>
        <v>0</v>
      </c>
    </row>
    <row r="22" spans="1:12" x14ac:dyDescent="0.25">
      <c r="A22" s="1">
        <v>45648</v>
      </c>
      <c r="B22">
        <v>1381.28</v>
      </c>
      <c r="C22">
        <f>((SFIO_Z[[#This Row],[Cena]]-B21)/SFIO_Z[[#This Row],[Cena]])*100</f>
        <v>-3.14635700220086</v>
      </c>
      <c r="D22">
        <f>LN(SFIO_Z[[#This Row],[Cena]]/B21)*100</f>
        <v>-3.0978735428041033</v>
      </c>
      <c r="E22">
        <v>5.8239999999999998</v>
      </c>
      <c r="F22">
        <f>LN(SFIO_Z[[#This Row],[Instrument wolny od ryzyka]]/E21)*100</f>
        <v>0.41293933420111123</v>
      </c>
      <c r="G22" s="2">
        <v>11971</v>
      </c>
      <c r="H22">
        <f>LN(SFIO_Z[[#This Row],[MSCI Wolrd Index]]/G21)*100</f>
        <v>-0.84844960810175618</v>
      </c>
      <c r="I22">
        <f>SFIO_Z[[#This Row],[Stopa MSCI]]*100%</f>
        <v>-0.84844960810175618</v>
      </c>
      <c r="J22">
        <f>MIN(0,(SFIO_Z[[#This Row],[Logarytmiczna stopa zwrotu]]-0))</f>
        <v>-3.0978735428041033</v>
      </c>
      <c r="K22">
        <f>MIN(0,(SFIO_Z[[#This Row],[Rynkowa stopa zwrotu]]-0))</f>
        <v>-0.84844960810175618</v>
      </c>
      <c r="L22">
        <f>MAX(0,(SFIO_Z[[#This Row],[Logarytmiczna stopa zwrotu]]-0))</f>
        <v>0</v>
      </c>
    </row>
    <row r="23" spans="1:12" x14ac:dyDescent="0.25">
      <c r="A23" s="1">
        <v>45655</v>
      </c>
      <c r="B23">
        <v>1399.97</v>
      </c>
      <c r="C23">
        <f>((SFIO_Z[[#This Row],[Cena]]-B22)/SFIO_Z[[#This Row],[Cena]])*100</f>
        <v>1.3350286077558844</v>
      </c>
      <c r="D23">
        <f>LN(SFIO_Z[[#This Row],[Cena]]/B22)*100</f>
        <v>1.3440202315113716</v>
      </c>
      <c r="E23">
        <v>5.891</v>
      </c>
      <c r="F23">
        <f>LN(SFIO_Z[[#This Row],[Instrument wolny od ryzyka]]/E22)*100</f>
        <v>1.1438451645165457</v>
      </c>
      <c r="G23" s="2">
        <v>12003</v>
      </c>
      <c r="H23">
        <f>LN(SFIO_Z[[#This Row],[MSCI Wolrd Index]]/G22)*100</f>
        <v>0.26695602739747881</v>
      </c>
      <c r="I23">
        <f>SFIO_Z[[#This Row],[Stopa MSCI]]*100%</f>
        <v>0.26695602739747881</v>
      </c>
      <c r="J23">
        <f>MIN(0,(SFIO_Z[[#This Row],[Logarytmiczna stopa zwrotu]]-0))</f>
        <v>0</v>
      </c>
      <c r="K23">
        <f>MIN(0,(SFIO_Z[[#This Row],[Rynkowa stopa zwrotu]]-0))</f>
        <v>0</v>
      </c>
      <c r="L23">
        <f>MAX(0,(SFIO_Z[[#This Row],[Logarytmiczna stopa zwrotu]]-0))</f>
        <v>1.3440202315113716</v>
      </c>
    </row>
    <row r="24" spans="1:12" x14ac:dyDescent="0.25">
      <c r="A24" s="1">
        <v>45662</v>
      </c>
      <c r="B24">
        <v>1398.61</v>
      </c>
      <c r="C24">
        <f>((SFIO_Z[[#This Row],[Cena]]-B23)/SFIO_Z[[#This Row],[Cena]])*100</f>
        <v>-9.7239401977686948E-2</v>
      </c>
      <c r="D24">
        <f>LN(SFIO_Z[[#This Row],[Cena]]/B23)*100</f>
        <v>-9.7192155097110391E-2</v>
      </c>
      <c r="E24">
        <v>5.9160000000000004</v>
      </c>
      <c r="F24">
        <f>LN(SFIO_Z[[#This Row],[Instrument wolny od ryzyka]]/E23)*100</f>
        <v>0.42347823090030562</v>
      </c>
      <c r="G24" s="2">
        <v>11903</v>
      </c>
      <c r="H24">
        <f>LN(SFIO_Z[[#This Row],[MSCI Wolrd Index]]/G23)*100</f>
        <v>-0.83661493574649493</v>
      </c>
      <c r="I24">
        <f>SFIO_Z[[#This Row],[Stopa MSCI]]*100%</f>
        <v>-0.83661493574649493</v>
      </c>
      <c r="J24">
        <f>MIN(0,(SFIO_Z[[#This Row],[Logarytmiczna stopa zwrotu]]-0))</f>
        <v>-9.7192155097110391E-2</v>
      </c>
      <c r="K24">
        <f>MIN(0,(SFIO_Z[[#This Row],[Rynkowa stopa zwrotu]]-0))</f>
        <v>-0.83661493574649493</v>
      </c>
      <c r="L24">
        <f>MAX(0,(SFIO_Z[[#This Row],[Logarytmiczna stopa zwrotu]]-0))</f>
        <v>0</v>
      </c>
    </row>
    <row r="25" spans="1:12" x14ac:dyDescent="0.25">
      <c r="A25" s="1">
        <v>45669</v>
      </c>
      <c r="B25">
        <v>1400.86</v>
      </c>
      <c r="C25">
        <f>((SFIO_Z[[#This Row],[Cena]]-B24)/SFIO_Z[[#This Row],[Cena]])*100</f>
        <v>0.16061562183230302</v>
      </c>
      <c r="D25">
        <f>LN(SFIO_Z[[#This Row],[Cena]]/B24)*100</f>
        <v>0.16074474700417243</v>
      </c>
      <c r="E25">
        <v>6.0309999999999997</v>
      </c>
      <c r="F25">
        <f>LN(SFIO_Z[[#This Row],[Instrument wolny od ryzyka]]/E24)*100</f>
        <v>1.9252289620296323</v>
      </c>
      <c r="G25" s="2">
        <v>11717</v>
      </c>
      <c r="H25">
        <f>LN(SFIO_Z[[#This Row],[MSCI Wolrd Index]]/G24)*100</f>
        <v>-1.5749690499724165</v>
      </c>
      <c r="I25">
        <f>SFIO_Z[[#This Row],[Stopa MSCI]]*100%</f>
        <v>-1.5749690499724165</v>
      </c>
      <c r="J25">
        <f>MIN(0,(SFIO_Z[[#This Row],[Logarytmiczna stopa zwrotu]]-0))</f>
        <v>0</v>
      </c>
      <c r="K25">
        <f>MIN(0,(SFIO_Z[[#This Row],[Rynkowa stopa zwrotu]]-0))</f>
        <v>-1.5749690499724165</v>
      </c>
      <c r="L25">
        <f>MAX(0,(SFIO_Z[[#This Row],[Logarytmiczna stopa zwrotu]]-0))</f>
        <v>0.16074474700417243</v>
      </c>
    </row>
    <row r="26" spans="1:12" x14ac:dyDescent="0.25">
      <c r="A26" s="1">
        <v>45676</v>
      </c>
      <c r="B26">
        <v>1404.18</v>
      </c>
      <c r="C26">
        <f>((SFIO_Z[[#This Row],[Cena]]-B25)/SFIO_Z[[#This Row],[Cena]])*100</f>
        <v>0.23643692404108899</v>
      </c>
      <c r="D26">
        <f>LN(SFIO_Z[[#This Row],[Cena]]/B25)*100</f>
        <v>0.23671687749894751</v>
      </c>
      <c r="E26">
        <v>5.8869999999999996</v>
      </c>
      <c r="F26">
        <f>LN(SFIO_Z[[#This Row],[Instrument wolny od ryzyka]]/E25)*100</f>
        <v>-2.4166304422725462</v>
      </c>
      <c r="G26" s="2">
        <v>12076</v>
      </c>
      <c r="H26">
        <f>LN(SFIO_Z[[#This Row],[MSCI Wolrd Index]]/G25)*100</f>
        <v>3.0179233158573804</v>
      </c>
      <c r="I26">
        <f>SFIO_Z[[#This Row],[Stopa MSCI]]*100%</f>
        <v>3.0179233158573804</v>
      </c>
      <c r="J26">
        <f>MIN(0,(SFIO_Z[[#This Row],[Logarytmiczna stopa zwrotu]]-0))</f>
        <v>0</v>
      </c>
      <c r="K26">
        <f>MIN(0,(SFIO_Z[[#This Row],[Rynkowa stopa zwrotu]]-0))</f>
        <v>0</v>
      </c>
      <c r="L26">
        <f>MAX(0,(SFIO_Z[[#This Row],[Logarytmiczna stopa zwrotu]]-0))</f>
        <v>0.23671687749894751</v>
      </c>
    </row>
    <row r="27" spans="1:12" x14ac:dyDescent="0.25">
      <c r="A27" s="1">
        <v>45683</v>
      </c>
      <c r="B27">
        <v>1440.33</v>
      </c>
      <c r="C27">
        <f>((SFIO_Z[[#This Row],[Cena]]-B26)/SFIO_Z[[#This Row],[Cena]])*100</f>
        <v>2.509841494657465</v>
      </c>
      <c r="D27">
        <f>LN(SFIO_Z[[#This Row],[Cena]]/B26)*100</f>
        <v>2.5418751485656808</v>
      </c>
      <c r="E27">
        <v>5.9160000000000004</v>
      </c>
      <c r="F27">
        <f>LN(SFIO_Z[[#This Row],[Instrument wolny od ryzyka]]/E26)*100</f>
        <v>0.49140148024291624</v>
      </c>
      <c r="G27" s="2">
        <v>12333</v>
      </c>
      <c r="H27">
        <f>LN(SFIO_Z[[#This Row],[MSCI Wolrd Index]]/G26)*100</f>
        <v>2.1058584739258759</v>
      </c>
      <c r="I27">
        <f>SFIO_Z[[#This Row],[Stopa MSCI]]*100%</f>
        <v>2.1058584739258759</v>
      </c>
      <c r="J27">
        <f>MIN(0,(SFIO_Z[[#This Row],[Logarytmiczna stopa zwrotu]]-0))</f>
        <v>0</v>
      </c>
      <c r="K27">
        <f>MIN(0,(SFIO_Z[[#This Row],[Rynkowa stopa zwrotu]]-0))</f>
        <v>0</v>
      </c>
      <c r="L27">
        <f>MAX(0,(SFIO_Z[[#This Row],[Logarytmiczna stopa zwrotu]]-0))</f>
        <v>2.5418751485656808</v>
      </c>
    </row>
    <row r="28" spans="1:12" x14ac:dyDescent="0.25">
      <c r="A28" s="1">
        <v>45690</v>
      </c>
      <c r="B28">
        <v>1433.03</v>
      </c>
      <c r="C28">
        <f>((SFIO_Z[[#This Row],[Cena]]-B27)/SFIO_Z[[#This Row],[Cena]])*100</f>
        <v>-0.50941013098120447</v>
      </c>
      <c r="D28">
        <f>LN(SFIO_Z[[#This Row],[Cena]]/B27)*100</f>
        <v>-0.50811702718214091</v>
      </c>
      <c r="E28">
        <v>5.8330000000000002</v>
      </c>
      <c r="F28">
        <f>LN(SFIO_Z[[#This Row],[Instrument wolny od ryzyka]]/E27)*100</f>
        <v>-1.4129097077052879</v>
      </c>
      <c r="G28" s="2">
        <v>12336</v>
      </c>
      <c r="H28">
        <f>LN(SFIO_Z[[#This Row],[MSCI Wolrd Index]]/G27)*100</f>
        <v>2.4322023712261807E-2</v>
      </c>
      <c r="I28">
        <f>SFIO_Z[[#This Row],[Stopa MSCI]]*100%</f>
        <v>2.4322023712261807E-2</v>
      </c>
      <c r="J28">
        <f>MIN(0,(SFIO_Z[[#This Row],[Logarytmiczna stopa zwrotu]]-0))</f>
        <v>-0.50811702718214091</v>
      </c>
      <c r="K28">
        <f>MIN(0,(SFIO_Z[[#This Row],[Rynkowa stopa zwrotu]]-0))</f>
        <v>0</v>
      </c>
      <c r="L28">
        <f>MAX(0,(SFIO_Z[[#This Row],[Logarytmiczna stopa zwrotu]]-0))</f>
        <v>0</v>
      </c>
    </row>
    <row r="29" spans="1:12" x14ac:dyDescent="0.25">
      <c r="A29" s="1">
        <v>45697</v>
      </c>
      <c r="B29">
        <v>1438.43</v>
      </c>
      <c r="C29">
        <f>((SFIO_Z[[#This Row],[Cena]]-B28)/SFIO_Z[[#This Row],[Cena]])*100</f>
        <v>0.37540930041782294</v>
      </c>
      <c r="D29">
        <f>LN(SFIO_Z[[#This Row],[Cena]]/B28)*100</f>
        <v>0.37611572968701174</v>
      </c>
      <c r="E29">
        <v>5.8010000000000002</v>
      </c>
      <c r="F29">
        <f>LN(SFIO_Z[[#This Row],[Instrument wolny od ryzyka]]/E28)*100</f>
        <v>-0.55011312875733431</v>
      </c>
      <c r="G29" s="2">
        <v>12208</v>
      </c>
      <c r="H29">
        <f>LN(SFIO_Z[[#This Row],[MSCI Wolrd Index]]/G28)*100</f>
        <v>-1.0430342278872446</v>
      </c>
      <c r="I29">
        <f>SFIO_Z[[#This Row],[Stopa MSCI]]*100%</f>
        <v>-1.0430342278872446</v>
      </c>
      <c r="J29">
        <f>MIN(0,(SFIO_Z[[#This Row],[Logarytmiczna stopa zwrotu]]-0))</f>
        <v>0</v>
      </c>
      <c r="K29">
        <f>MIN(0,(SFIO_Z[[#This Row],[Rynkowa stopa zwrotu]]-0))</f>
        <v>-1.0430342278872446</v>
      </c>
      <c r="L29">
        <f>MAX(0,(SFIO_Z[[#This Row],[Logarytmiczna stopa zwrotu]]-0))</f>
        <v>0.37611572968701174</v>
      </c>
    </row>
    <row r="30" spans="1:12" x14ac:dyDescent="0.25">
      <c r="A30" s="1">
        <v>45704</v>
      </c>
      <c r="B30">
        <v>1441.05</v>
      </c>
      <c r="C30">
        <f>((SFIO_Z[[#This Row],[Cena]]-B29)/SFIO_Z[[#This Row],[Cena]])*100</f>
        <v>0.18181187328683188</v>
      </c>
      <c r="D30">
        <f>LN(SFIO_Z[[#This Row],[Cena]]/B29)*100</f>
        <v>0.18197735167650583</v>
      </c>
      <c r="E30">
        <v>5.7460000000000004</v>
      </c>
      <c r="F30">
        <f>LN(SFIO_Z[[#This Row],[Instrument wolny od ryzyka]]/E29)*100</f>
        <v>-0.95263559268293652</v>
      </c>
      <c r="G30" s="2">
        <v>12399</v>
      </c>
      <c r="H30">
        <f>LN(SFIO_Z[[#This Row],[MSCI Wolrd Index]]/G29)*100</f>
        <v>1.5524349655603733</v>
      </c>
      <c r="I30">
        <f>SFIO_Z[[#This Row],[Stopa MSCI]]*100%</f>
        <v>1.5524349655603733</v>
      </c>
      <c r="J30">
        <f>MIN(0,(SFIO_Z[[#This Row],[Logarytmiczna stopa zwrotu]]-0))</f>
        <v>0</v>
      </c>
      <c r="K30">
        <f>MIN(0,(SFIO_Z[[#This Row],[Rynkowa stopa zwrotu]]-0))</f>
        <v>0</v>
      </c>
      <c r="L30">
        <f>MAX(0,(SFIO_Z[[#This Row],[Logarytmiczna stopa zwrotu]]-0))</f>
        <v>0.18197735167650583</v>
      </c>
    </row>
    <row r="31" spans="1:12" x14ac:dyDescent="0.25">
      <c r="A31" s="1">
        <v>45711</v>
      </c>
      <c r="B31">
        <v>1441.56</v>
      </c>
      <c r="C31">
        <f>((SFIO_Z[[#This Row],[Cena]]-B30)/SFIO_Z[[#This Row],[Cena]])*100</f>
        <v>3.537834013152355E-2</v>
      </c>
      <c r="D31">
        <f>LN(SFIO_Z[[#This Row],[Cena]]/B30)*100</f>
        <v>3.5384599742681967E-2</v>
      </c>
      <c r="E31">
        <v>5.8849999999999998</v>
      </c>
      <c r="F31">
        <f>LN(SFIO_Z[[#This Row],[Instrument wolny od ryzyka]]/E30)*100</f>
        <v>2.3902780155142014</v>
      </c>
      <c r="G31" s="2">
        <v>12327</v>
      </c>
      <c r="H31">
        <f>LN(SFIO_Z[[#This Row],[MSCI Wolrd Index]]/G30)*100</f>
        <v>-0.58238456283225737</v>
      </c>
      <c r="I31">
        <f>SFIO_Z[[#This Row],[Stopa MSCI]]*100%</f>
        <v>-0.58238456283225737</v>
      </c>
      <c r="J31">
        <f>MIN(0,(SFIO_Z[[#This Row],[Logarytmiczna stopa zwrotu]]-0))</f>
        <v>0</v>
      </c>
      <c r="K31">
        <f>MIN(0,(SFIO_Z[[#This Row],[Rynkowa stopa zwrotu]]-0))</f>
        <v>-0.58238456283225737</v>
      </c>
      <c r="L31">
        <f>MAX(0,(SFIO_Z[[#This Row],[Logarytmiczna stopa zwrotu]]-0))</f>
        <v>3.5384599742681967E-2</v>
      </c>
    </row>
    <row r="32" spans="1:12" x14ac:dyDescent="0.25">
      <c r="A32" s="1">
        <v>45718</v>
      </c>
      <c r="B32">
        <v>1389.93</v>
      </c>
      <c r="C32">
        <f>((SFIO_Z[[#This Row],[Cena]]-B31)/SFIO_Z[[#This Row],[Cena]])*100</f>
        <v>-3.7145755541645897</v>
      </c>
      <c r="D32">
        <f>LN(SFIO_Z[[#This Row],[Cena]]/B31)*100</f>
        <v>-3.6472474376869615</v>
      </c>
      <c r="E32">
        <v>5.7569999999999997</v>
      </c>
      <c r="F32">
        <f>LN(SFIO_Z[[#This Row],[Instrument wolny od ryzyka]]/E31)*100</f>
        <v>-2.1990235018567468</v>
      </c>
      <c r="G32" s="2">
        <v>11966</v>
      </c>
      <c r="H32">
        <f>LN(SFIO_Z[[#This Row],[MSCI Wolrd Index]]/G31)*100</f>
        <v>-2.9722683601542297</v>
      </c>
      <c r="I32">
        <f>SFIO_Z[[#This Row],[Stopa MSCI]]*100%</f>
        <v>-2.9722683601542297</v>
      </c>
      <c r="J32">
        <f>MIN(0,(SFIO_Z[[#This Row],[Logarytmiczna stopa zwrotu]]-0))</f>
        <v>-3.6472474376869615</v>
      </c>
      <c r="K32">
        <f>MIN(0,(SFIO_Z[[#This Row],[Rynkowa stopa zwrotu]]-0))</f>
        <v>-2.9722683601542297</v>
      </c>
      <c r="L32">
        <f>MAX(0,(SFIO_Z[[#This Row],[Logarytmiczna stopa zwrotu]]-0))</f>
        <v>0</v>
      </c>
    </row>
    <row r="33" spans="1:12" x14ac:dyDescent="0.25">
      <c r="A33" s="1">
        <v>45725</v>
      </c>
      <c r="B33">
        <v>1371.68</v>
      </c>
      <c r="C33">
        <f>((SFIO_Z[[#This Row],[Cena]]-B32)/SFIO_Z[[#This Row],[Cena]])*100</f>
        <v>-1.3304852443718651</v>
      </c>
      <c r="D33">
        <f>LN(SFIO_Z[[#This Row],[Cena]]/B32)*100</f>
        <v>-1.3217120213968483</v>
      </c>
      <c r="E33">
        <v>5.9640000000000004</v>
      </c>
      <c r="F33">
        <f>LN(SFIO_Z[[#This Row],[Instrument wolny od ryzyka]]/E32)*100</f>
        <v>3.532489120881948</v>
      </c>
      <c r="G33" s="2">
        <v>11736</v>
      </c>
      <c r="H33">
        <f>LN(SFIO_Z[[#This Row],[MSCI Wolrd Index]]/G32)*100</f>
        <v>-1.9408254127159477</v>
      </c>
      <c r="I33">
        <f>SFIO_Z[[#This Row],[Stopa MSCI]]*100%</f>
        <v>-1.9408254127159477</v>
      </c>
      <c r="J33">
        <f>MIN(0,(SFIO_Z[[#This Row],[Logarytmiczna stopa zwrotu]]-0))</f>
        <v>-1.3217120213968483</v>
      </c>
      <c r="K33">
        <f>MIN(0,(SFIO_Z[[#This Row],[Rynkowa stopa zwrotu]]-0))</f>
        <v>-1.9408254127159477</v>
      </c>
      <c r="L33">
        <f>MAX(0,(SFIO_Z[[#This Row],[Logarytmiczna stopa zwrotu]]-0))</f>
        <v>0</v>
      </c>
    </row>
    <row r="34" spans="1:12" x14ac:dyDescent="0.25">
      <c r="A34" s="1">
        <v>45732</v>
      </c>
      <c r="B34">
        <v>1324.78</v>
      </c>
      <c r="C34">
        <f>((SFIO_Z[[#This Row],[Cena]]-B33)/SFIO_Z[[#This Row],[Cena]])*100</f>
        <v>-3.5402104500369944</v>
      </c>
      <c r="D34">
        <f>LN(SFIO_Z[[#This Row],[Cena]]/B33)*100</f>
        <v>-3.4789858031763239</v>
      </c>
      <c r="E34">
        <v>5.8959999999999999</v>
      </c>
      <c r="F34">
        <f>LN(SFIO_Z[[#This Row],[Instrument wolny od ryzyka]]/E33)*100</f>
        <v>-1.1467242015456542</v>
      </c>
      <c r="G34" s="2">
        <v>11597</v>
      </c>
      <c r="H34">
        <f>LN(SFIO_Z[[#This Row],[MSCI Wolrd Index]]/G33)*100</f>
        <v>-1.19145968661144</v>
      </c>
      <c r="I34">
        <f>SFIO_Z[[#This Row],[Stopa MSCI]]*100%</f>
        <v>-1.19145968661144</v>
      </c>
      <c r="J34">
        <f>MIN(0,(SFIO_Z[[#This Row],[Logarytmiczna stopa zwrotu]]-0))</f>
        <v>-3.4789858031763239</v>
      </c>
      <c r="K34">
        <f>MIN(0,(SFIO_Z[[#This Row],[Rynkowa stopa zwrotu]]-0))</f>
        <v>-1.19145968661144</v>
      </c>
      <c r="L34">
        <f>MAX(0,(SFIO_Z[[#This Row],[Logarytmiczna stopa zwrotu]]-0))</f>
        <v>0</v>
      </c>
    </row>
    <row r="35" spans="1:12" x14ac:dyDescent="0.25">
      <c r="A35" s="1">
        <v>45739</v>
      </c>
      <c r="B35">
        <v>1355.91</v>
      </c>
      <c r="C35">
        <f>((SFIO_Z[[#This Row],[Cena]]-B34)/SFIO_Z[[#This Row],[Cena]])*100</f>
        <v>2.2958750949546878</v>
      </c>
      <c r="D35">
        <f>LN(SFIO_Z[[#This Row],[Cena]]/B34)*100</f>
        <v>2.3226407717544926</v>
      </c>
      <c r="E35">
        <v>5.8310000000000004</v>
      </c>
      <c r="F35">
        <f>LN(SFIO_Z[[#This Row],[Instrument wolny od ryzyka]]/E34)*100</f>
        <v>-1.1085642647016498</v>
      </c>
      <c r="G35" s="2">
        <v>11800</v>
      </c>
      <c r="H35">
        <f>LN(SFIO_Z[[#This Row],[MSCI Wolrd Index]]/G34)*100</f>
        <v>1.7353087497052881</v>
      </c>
      <c r="I35">
        <f>SFIO_Z[[#This Row],[Stopa MSCI]]*100%</f>
        <v>1.7353087497052881</v>
      </c>
      <c r="J35">
        <f>MIN(0,(SFIO_Z[[#This Row],[Logarytmiczna stopa zwrotu]]-0))</f>
        <v>0</v>
      </c>
      <c r="K35">
        <f>MIN(0,(SFIO_Z[[#This Row],[Rynkowa stopa zwrotu]]-0))</f>
        <v>0</v>
      </c>
      <c r="L35">
        <f>MAX(0,(SFIO_Z[[#This Row],[Logarytmiczna stopa zwrotu]]-0))</f>
        <v>2.3226407717544926</v>
      </c>
    </row>
    <row r="36" spans="1:12" x14ac:dyDescent="0.25">
      <c r="A36" s="1">
        <v>45746</v>
      </c>
      <c r="B36">
        <v>1356.87</v>
      </c>
      <c r="C36">
        <f>((SFIO_Z[[#This Row],[Cena]]-B35)/SFIO_Z[[#This Row],[Cena]])*100</f>
        <v>7.0751066793414918E-2</v>
      </c>
      <c r="D36">
        <f>LN(SFIO_Z[[#This Row],[Cena]]/B35)*100</f>
        <v>7.0776107172264804E-2</v>
      </c>
      <c r="E36">
        <v>5.7960000000000003</v>
      </c>
      <c r="F36">
        <f>LN(SFIO_Z[[#This Row],[Instrument wolny od ryzyka]]/E35)*100</f>
        <v>-0.60204877815830249</v>
      </c>
      <c r="G36" s="2">
        <v>11661</v>
      </c>
      <c r="H36">
        <f>LN(SFIO_Z[[#This Row],[MSCI Wolrd Index]]/G35)*100</f>
        <v>-1.1849590933423284</v>
      </c>
      <c r="I36">
        <f>SFIO_Z[[#This Row],[Stopa MSCI]]*100%</f>
        <v>-1.1849590933423284</v>
      </c>
      <c r="J36">
        <f>MIN(0,(SFIO_Z[[#This Row],[Logarytmiczna stopa zwrotu]]-0))</f>
        <v>0</v>
      </c>
      <c r="K36">
        <f>MIN(0,(SFIO_Z[[#This Row],[Rynkowa stopa zwrotu]]-0))</f>
        <v>-1.1849590933423284</v>
      </c>
      <c r="L36">
        <f>MAX(0,(SFIO_Z[[#This Row],[Logarytmiczna stopa zwrotu]]-0))</f>
        <v>7.0776107172264804E-2</v>
      </c>
    </row>
    <row r="37" spans="1:12" x14ac:dyDescent="0.25">
      <c r="A37" s="1">
        <v>45753</v>
      </c>
      <c r="B37">
        <v>1301.47</v>
      </c>
      <c r="C37">
        <f>((SFIO_Z[[#This Row],[Cena]]-B36)/SFIO_Z[[#This Row],[Cena]])*100</f>
        <v>-4.2567250877853393</v>
      </c>
      <c r="D37">
        <f>LN(SFIO_Z[[#This Row],[Cena]]/B36)*100</f>
        <v>-4.1686181845539227</v>
      </c>
      <c r="E37">
        <v>5.2939999999999996</v>
      </c>
      <c r="F37">
        <f>LN(SFIO_Z[[#This Row],[Instrument wolny od ryzyka]]/E36)*100</f>
        <v>-9.0593920653526503</v>
      </c>
      <c r="G37" s="2">
        <v>10783</v>
      </c>
      <c r="H37">
        <f>LN(SFIO_Z[[#This Row],[MSCI Wolrd Index]]/G36)*100</f>
        <v>-7.8279120638260551</v>
      </c>
      <c r="I37">
        <f>SFIO_Z[[#This Row],[Stopa MSCI]]*100%</f>
        <v>-7.8279120638260551</v>
      </c>
      <c r="J37">
        <f>MIN(0,(SFIO_Z[[#This Row],[Logarytmiczna stopa zwrotu]]-0))</f>
        <v>-4.1686181845539227</v>
      </c>
      <c r="K37">
        <f>MIN(0,(SFIO_Z[[#This Row],[Rynkowa stopa zwrotu]]-0))</f>
        <v>-7.8279120638260551</v>
      </c>
      <c r="L37">
        <f>MAX(0,(SFIO_Z[[#This Row],[Logarytmiczna stopa zwrotu]]-0))</f>
        <v>0</v>
      </c>
    </row>
    <row r="38" spans="1:12" x14ac:dyDescent="0.25">
      <c r="A38" s="1">
        <v>45760</v>
      </c>
      <c r="B38">
        <v>1256.77</v>
      </c>
      <c r="C38">
        <f>((SFIO_Z[[#This Row],[Cena]]-B37)/SFIO_Z[[#This Row],[Cena]])*100</f>
        <v>-3.5567367139572115</v>
      </c>
      <c r="D38">
        <f>LN(SFIO_Z[[#This Row],[Cena]]/B37)*100</f>
        <v>-3.4949457332299545</v>
      </c>
      <c r="E38">
        <v>5.2549999999999999</v>
      </c>
      <c r="F38">
        <f>LN(SFIO_Z[[#This Row],[Instrument wolny od ryzyka]]/E37)*100</f>
        <v>-0.73940994759949707</v>
      </c>
      <c r="G38" s="2">
        <v>10926</v>
      </c>
      <c r="H38">
        <f>LN(SFIO_Z[[#This Row],[MSCI Wolrd Index]]/G37)*100</f>
        <v>1.3174450073590591</v>
      </c>
      <c r="I38">
        <f>SFIO_Z[[#This Row],[Stopa MSCI]]*100%</f>
        <v>1.3174450073590591</v>
      </c>
      <c r="J38">
        <f>MIN(0,(SFIO_Z[[#This Row],[Logarytmiczna stopa zwrotu]]-0))</f>
        <v>-3.4949457332299545</v>
      </c>
      <c r="K38">
        <f>MIN(0,(SFIO_Z[[#This Row],[Rynkowa stopa zwrotu]]-0))</f>
        <v>0</v>
      </c>
      <c r="L38">
        <f>MAX(0,(SFIO_Z[[#This Row],[Logarytmiczna stopa zwrotu]]-0))</f>
        <v>0</v>
      </c>
    </row>
    <row r="39" spans="1:12" x14ac:dyDescent="0.25">
      <c r="A39" s="1">
        <v>45767</v>
      </c>
      <c r="B39">
        <v>1268.99</v>
      </c>
      <c r="C39">
        <f>((SFIO_Z[[#This Row],[Cena]]-B38)/SFIO_Z[[#This Row],[Cena]])*100</f>
        <v>0.96297055138338583</v>
      </c>
      <c r="D39">
        <f>LN(SFIO_Z[[#This Row],[Cena]]/B38)*100</f>
        <v>0.96763709525811481</v>
      </c>
      <c r="E39">
        <v>5.1369999999999996</v>
      </c>
      <c r="F39">
        <f>LN(SFIO_Z[[#This Row],[Instrument wolny od ryzyka]]/E38)*100</f>
        <v>-2.2710752843783695</v>
      </c>
      <c r="G39" s="2">
        <v>11130</v>
      </c>
      <c r="H39">
        <f>LN(SFIO_Z[[#This Row],[MSCI Wolrd Index]]/G38)*100</f>
        <v>1.8498895313927539</v>
      </c>
      <c r="I39">
        <f>SFIO_Z[[#This Row],[Stopa MSCI]]*100%</f>
        <v>1.8498895313927539</v>
      </c>
      <c r="J39">
        <f>MIN(0,(SFIO_Z[[#This Row],[Logarytmiczna stopa zwrotu]]-0))</f>
        <v>0</v>
      </c>
      <c r="K39">
        <f>MIN(0,(SFIO_Z[[#This Row],[Rynkowa stopa zwrotu]]-0))</f>
        <v>0</v>
      </c>
      <c r="L39">
        <f>MAX(0,(SFIO_Z[[#This Row],[Logarytmiczna stopa zwrotu]]-0))</f>
        <v>0.96763709525811481</v>
      </c>
    </row>
    <row r="40" spans="1:12" x14ac:dyDescent="0.25">
      <c r="A40" s="1">
        <v>45774</v>
      </c>
      <c r="B40">
        <v>1305.03</v>
      </c>
      <c r="C40">
        <f>((SFIO_Z[[#This Row],[Cena]]-B39)/SFIO_Z[[#This Row],[Cena]])*100</f>
        <v>2.7616223381837939</v>
      </c>
      <c r="D40">
        <f>LN(SFIO_Z[[#This Row],[Cena]]/B39)*100</f>
        <v>2.800472053561692</v>
      </c>
      <c r="E40">
        <v>5.2649999999999997</v>
      </c>
      <c r="F40">
        <f>LN(SFIO_Z[[#This Row],[Instrument wolny od ryzyka]]/E39)*100</f>
        <v>2.4611894100808067</v>
      </c>
      <c r="G40" s="2">
        <v>11521</v>
      </c>
      <c r="H40">
        <f>LN(SFIO_Z[[#This Row],[MSCI Wolrd Index]]/G39)*100</f>
        <v>3.4527291768462969</v>
      </c>
      <c r="I40">
        <f>SFIO_Z[[#This Row],[Stopa MSCI]]*100%</f>
        <v>3.4527291768462969</v>
      </c>
      <c r="J40">
        <f>MIN(0,(SFIO_Z[[#This Row],[Logarytmiczna stopa zwrotu]]-0))</f>
        <v>0</v>
      </c>
      <c r="K40">
        <f>MIN(0,(SFIO_Z[[#This Row],[Rynkowa stopa zwrotu]]-0))</f>
        <v>0</v>
      </c>
      <c r="L40">
        <f>MAX(0,(SFIO_Z[[#This Row],[Logarytmiczna stopa zwrotu]]-0))</f>
        <v>2.800472053561692</v>
      </c>
    </row>
    <row r="41" spans="1:12" x14ac:dyDescent="0.25">
      <c r="A41" s="1">
        <v>45781</v>
      </c>
      <c r="B41">
        <v>1327.49</v>
      </c>
      <c r="C41">
        <f>((SFIO_Z[[#This Row],[Cena]]-B40)/SFIO_Z[[#This Row],[Cena]])*100</f>
        <v>1.6919148166841209</v>
      </c>
      <c r="D41">
        <f>LN(SFIO_Z[[#This Row],[Cena]]/B40)*100</f>
        <v>1.7063912132726244</v>
      </c>
      <c r="E41">
        <v>5.2370000000000001</v>
      </c>
      <c r="F41">
        <f>LN(SFIO_Z[[#This Row],[Instrument wolny od ryzyka]]/E40)*100</f>
        <v>-0.5332330288588113</v>
      </c>
      <c r="G41" s="2">
        <v>11870</v>
      </c>
      <c r="H41">
        <f>LN(SFIO_Z[[#This Row],[MSCI Wolrd Index]]/G40)*100</f>
        <v>2.9842751565660204</v>
      </c>
      <c r="I41">
        <f>SFIO_Z[[#This Row],[Stopa MSCI]]*100%</f>
        <v>2.9842751565660204</v>
      </c>
      <c r="J41">
        <f>MIN(0,(SFIO_Z[[#This Row],[Logarytmiczna stopa zwrotu]]-0))</f>
        <v>0</v>
      </c>
      <c r="K41">
        <f>MIN(0,(SFIO_Z[[#This Row],[Rynkowa stopa zwrotu]]-0))</f>
        <v>0</v>
      </c>
      <c r="L41">
        <f>MAX(0,(SFIO_Z[[#This Row],[Logarytmiczna stopa zwrotu]]-0))</f>
        <v>1.7063912132726244</v>
      </c>
    </row>
    <row r="42" spans="1:12" x14ac:dyDescent="0.25">
      <c r="A42" s="1">
        <v>45788</v>
      </c>
      <c r="B42">
        <v>1337.52</v>
      </c>
      <c r="C42">
        <f>((SFIO_Z[[#This Row],[Cena]]-B41)/SFIO_Z[[#This Row],[Cena]])*100</f>
        <v>0.74989532866798048</v>
      </c>
      <c r="D42">
        <f>LN(SFIO_Z[[#This Row],[Cena]]/B41)*100</f>
        <v>0.7527211798354958</v>
      </c>
      <c r="E42">
        <v>5.3570000000000002</v>
      </c>
      <c r="F42">
        <f>LN(SFIO_Z[[#This Row],[Instrument wolny od ryzyka]]/E41)*100</f>
        <v>2.2655301601472666</v>
      </c>
      <c r="G42" s="2">
        <v>11865</v>
      </c>
      <c r="H42">
        <f>LN(SFIO_Z[[#This Row],[MSCI Wolrd Index]]/G41)*100</f>
        <v>-4.2131873384972603E-2</v>
      </c>
      <c r="I42">
        <f>SFIO_Z[[#This Row],[Stopa MSCI]]*100%</f>
        <v>-4.2131873384972603E-2</v>
      </c>
      <c r="J42">
        <f>MIN(0,(SFIO_Z[[#This Row],[Logarytmiczna stopa zwrotu]]-0))</f>
        <v>0</v>
      </c>
      <c r="K42">
        <f>MIN(0,(SFIO_Z[[#This Row],[Rynkowa stopa zwrotu]]-0))</f>
        <v>-4.2131873384972603E-2</v>
      </c>
      <c r="L42">
        <f>MAX(0,(SFIO_Z[[#This Row],[Logarytmiczna stopa zwrotu]]-0))</f>
        <v>0.7527211798354958</v>
      </c>
    </row>
    <row r="43" spans="1:12" x14ac:dyDescent="0.25">
      <c r="A43" s="1">
        <v>45795</v>
      </c>
      <c r="B43">
        <v>1382.11</v>
      </c>
      <c r="C43">
        <f>((SFIO_Z[[#This Row],[Cena]]-B42)/SFIO_Z[[#This Row],[Cena]])*100</f>
        <v>3.2262265666263841</v>
      </c>
      <c r="D43">
        <f>LN(SFIO_Z[[#This Row],[Cena]]/B42)*100</f>
        <v>3.2794164020886529</v>
      </c>
      <c r="E43">
        <v>5.44</v>
      </c>
      <c r="F43">
        <f>LN(SFIO_Z[[#This Row],[Instrument wolny od ryzyka]]/E42)*100</f>
        <v>1.5374943969028068</v>
      </c>
      <c r="G43" s="2">
        <v>12298</v>
      </c>
      <c r="H43">
        <f>LN(SFIO_Z[[#This Row],[MSCI Wolrd Index]]/G42)*100</f>
        <v>3.5843757643551131</v>
      </c>
      <c r="I43">
        <f>SFIO_Z[[#This Row],[Stopa MSCI]]*100%</f>
        <v>3.5843757643551131</v>
      </c>
      <c r="J43">
        <f>MIN(0,(SFIO_Z[[#This Row],[Logarytmiczna stopa zwrotu]]-0))</f>
        <v>0</v>
      </c>
      <c r="K43">
        <f>MIN(0,(SFIO_Z[[#This Row],[Rynkowa stopa zwrotu]]-0))</f>
        <v>0</v>
      </c>
      <c r="L43">
        <f>MAX(0,(SFIO_Z[[#This Row],[Logarytmiczna stopa zwrotu]]-0))</f>
        <v>3.2794164020886529</v>
      </c>
    </row>
    <row r="44" spans="1:12" x14ac:dyDescent="0.25">
      <c r="A44" s="1">
        <v>45802</v>
      </c>
      <c r="B44">
        <v>1379.5</v>
      </c>
      <c r="C44">
        <f>((SFIO_Z[[#This Row],[Cena]]-B43)/SFIO_Z[[#This Row],[Cena]])*100</f>
        <v>-0.18919898513953606</v>
      </c>
      <c r="D44">
        <f>LN(SFIO_Z[[#This Row],[Cena]]/B43)*100</f>
        <v>-0.18902022929363205</v>
      </c>
      <c r="E44">
        <v>5.5650000000000004</v>
      </c>
      <c r="F44">
        <f>LN(SFIO_Z[[#This Row],[Instrument wolny od ryzyka]]/E43)*100</f>
        <v>2.2717923859656866</v>
      </c>
      <c r="G44" s="2">
        <v>12128</v>
      </c>
      <c r="H44">
        <f>LN(SFIO_Z[[#This Row],[MSCI Wolrd Index]]/G43)*100</f>
        <v>-1.3919818631262137</v>
      </c>
      <c r="I44">
        <f>SFIO_Z[[#This Row],[Stopa MSCI]]*100%</f>
        <v>-1.3919818631262137</v>
      </c>
      <c r="J44">
        <f>MIN(0,(SFIO_Z[[#This Row],[Logarytmiczna stopa zwrotu]]-0))</f>
        <v>-0.18902022929363205</v>
      </c>
      <c r="K44">
        <f>MIN(0,(SFIO_Z[[#This Row],[Rynkowa stopa zwrotu]]-0))</f>
        <v>-1.3919818631262137</v>
      </c>
      <c r="L44">
        <f>MAX(0,(SFIO_Z[[#This Row],[Logarytmiczna stopa zwrotu]]-0))</f>
        <v>0</v>
      </c>
    </row>
    <row r="45" spans="1:12" x14ac:dyDescent="0.25">
      <c r="A45" s="1">
        <v>45809</v>
      </c>
      <c r="B45">
        <v>1387.03</v>
      </c>
      <c r="C45">
        <f>((SFIO_Z[[#This Row],[Cena]]-B44)/SFIO_Z[[#This Row],[Cena]])*100</f>
        <v>0.54288659942466799</v>
      </c>
      <c r="D45">
        <f>LN(SFIO_Z[[#This Row],[Cena]]/B44)*100</f>
        <v>0.54436558395840873</v>
      </c>
      <c r="E45">
        <v>5.3869999999999996</v>
      </c>
      <c r="F45">
        <f>LN(SFIO_Z[[#This Row],[Instrument wolny od ryzyka]]/E44)*100</f>
        <v>-3.2508341029111589</v>
      </c>
      <c r="G45" s="2">
        <v>12323</v>
      </c>
      <c r="H45">
        <f>LN(SFIO_Z[[#This Row],[MSCI Wolrd Index]]/G44)*100</f>
        <v>1.5950606055970331</v>
      </c>
      <c r="I45">
        <f>SFIO_Z[[#This Row],[Stopa MSCI]]*100%</f>
        <v>1.5950606055970331</v>
      </c>
      <c r="J45">
        <f>MIN(0,(SFIO_Z[[#This Row],[Logarytmiczna stopa zwrotu]]-0))</f>
        <v>0</v>
      </c>
      <c r="K45">
        <f>MIN(0,(SFIO_Z[[#This Row],[Rynkowa stopa zwrotu]]-0))</f>
        <v>0</v>
      </c>
      <c r="L45">
        <f>MAX(0,(SFIO_Z[[#This Row],[Logarytmiczna stopa zwrotu]]-0))</f>
        <v>0.54436558395840873</v>
      </c>
    </row>
    <row r="46" spans="1:12" x14ac:dyDescent="0.25">
      <c r="A46" s="1"/>
      <c r="G46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BC0D-8AF4-4E11-AF4B-992D13E46C15}">
  <dimension ref="A1:Z80"/>
  <sheetViews>
    <sheetView topLeftCell="A32" zoomScale="60" zoomScaleNormal="60" workbookViewId="0">
      <selection activeCell="O73" sqref="O73"/>
    </sheetView>
  </sheetViews>
  <sheetFormatPr defaultRowHeight="15" x14ac:dyDescent="0.25"/>
  <cols>
    <col min="1" max="1" width="13.85546875" customWidth="1"/>
    <col min="2" max="2" width="12.42578125" customWidth="1"/>
    <col min="3" max="3" width="13.5703125" customWidth="1"/>
    <col min="4" max="4" width="11.28515625" customWidth="1"/>
    <col min="5" max="5" width="12.42578125" customWidth="1"/>
    <col min="6" max="6" width="11.85546875" customWidth="1"/>
    <col min="7" max="7" width="13" customWidth="1"/>
    <col min="8" max="8" width="10.7109375" customWidth="1"/>
    <col min="9" max="9" width="11.85546875" customWidth="1"/>
    <col min="11" max="11" width="13" customWidth="1"/>
    <col min="12" max="12" width="14.140625" customWidth="1"/>
    <col min="13" max="13" width="11.85546875" customWidth="1"/>
    <col min="14" max="14" width="13" customWidth="1"/>
    <col min="15" max="15" width="12.7109375" customWidth="1"/>
    <col min="16" max="16" width="13.85546875" customWidth="1"/>
    <col min="17" max="17" width="11.5703125" customWidth="1"/>
    <col min="18" max="18" width="12.7109375" customWidth="1"/>
    <col min="19" max="19" width="10.5703125" customWidth="1"/>
    <col min="20" max="20" width="11.42578125" customWidth="1"/>
    <col min="21" max="21" width="9.7109375" customWidth="1"/>
    <col min="22" max="22" width="10.5703125" customWidth="1"/>
    <col min="23" max="23" width="13" customWidth="1"/>
    <col min="24" max="24" width="14.140625" customWidth="1"/>
    <col min="25" max="25" width="11.85546875" customWidth="1"/>
    <col min="26" max="26" width="13" customWidth="1"/>
  </cols>
  <sheetData>
    <row r="1" spans="1:26" x14ac:dyDescent="0.25">
      <c r="A1" s="3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37</v>
      </c>
      <c r="U1" t="s">
        <v>32</v>
      </c>
      <c r="V1" t="s">
        <v>38</v>
      </c>
      <c r="W1" t="s">
        <v>33</v>
      </c>
      <c r="X1" t="s">
        <v>34</v>
      </c>
      <c r="Y1" t="s">
        <v>35</v>
      </c>
      <c r="Z1" t="s">
        <v>36</v>
      </c>
    </row>
    <row r="2" spans="1:26" x14ac:dyDescent="0.25">
      <c r="A2" s="4">
        <v>45508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s="5">
        <v>45515</v>
      </c>
      <c r="B3">
        <v>-2.3060796645702184</v>
      </c>
      <c r="C3">
        <v>-2.2028194205831695</v>
      </c>
      <c r="D3">
        <v>-6.2893081760993771E-2</v>
      </c>
      <c r="E3">
        <v>-2.3294973965810226</v>
      </c>
      <c r="F3">
        <v>-2.2798914964805785</v>
      </c>
      <c r="G3">
        <v>-2.1789078686540146</v>
      </c>
      <c r="H3">
        <v>-5.9577005038922937E-2</v>
      </c>
      <c r="I3">
        <v>-2.3027787504462349</v>
      </c>
      <c r="J3">
        <v>1.0017421468653662</v>
      </c>
      <c r="K3">
        <v>-2.5373448057704686</v>
      </c>
      <c r="L3">
        <v>-2.5373448057704686</v>
      </c>
      <c r="M3">
        <v>0.41419360608964534</v>
      </c>
      <c r="N3">
        <v>0.41419360608964534</v>
      </c>
      <c r="O3">
        <v>-2.2798914964805785</v>
      </c>
      <c r="P3">
        <v>-2.1789078686540146</v>
      </c>
      <c r="Q3">
        <v>-5.9577005038922937E-2</v>
      </c>
      <c r="R3">
        <v>-2.3027787504462349</v>
      </c>
      <c r="S3">
        <v>-2.5373448057704686</v>
      </c>
      <c r="T3">
        <v>0</v>
      </c>
      <c r="U3">
        <v>-2.5373448057704686</v>
      </c>
      <c r="V3">
        <v>0.41419360608964534</v>
      </c>
      <c r="W3">
        <v>0</v>
      </c>
      <c r="X3">
        <v>0</v>
      </c>
      <c r="Y3">
        <v>0</v>
      </c>
      <c r="Z3">
        <v>0</v>
      </c>
    </row>
    <row r="4" spans="1:26" x14ac:dyDescent="0.25">
      <c r="A4" s="4">
        <v>45522</v>
      </c>
      <c r="B4">
        <v>5.842874062376616</v>
      </c>
      <c r="C4">
        <v>5.502897783629181</v>
      </c>
      <c r="D4">
        <v>4.2637189103829387</v>
      </c>
      <c r="E4">
        <v>3.0513447432762795</v>
      </c>
      <c r="F4">
        <v>6.0205246679233477</v>
      </c>
      <c r="G4">
        <v>5.6601016335584342</v>
      </c>
      <c r="H4">
        <v>4.2013179890408221</v>
      </c>
      <c r="I4">
        <v>3.0988674878105038</v>
      </c>
      <c r="J4">
        <v>1.8610487753655796</v>
      </c>
      <c r="K4">
        <v>6.1952226843661986</v>
      </c>
      <c r="L4">
        <v>6.1952226843661986</v>
      </c>
      <c r="M4">
        <v>3.9089991196929454</v>
      </c>
      <c r="N4">
        <v>3.9089991196929454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6.1952226843661986</v>
      </c>
      <c r="V4">
        <v>3.9089991196929454</v>
      </c>
      <c r="W4">
        <v>6.0205246679233477</v>
      </c>
      <c r="X4">
        <v>5.6601016335584342</v>
      </c>
      <c r="Y4">
        <v>4.2013179890408221</v>
      </c>
      <c r="Z4">
        <v>3.0988674878105038</v>
      </c>
    </row>
    <row r="5" spans="1:26" x14ac:dyDescent="0.25">
      <c r="A5" s="5">
        <v>45529</v>
      </c>
      <c r="B5">
        <v>-0.89623580959967275</v>
      </c>
      <c r="C5">
        <v>-1.1476722633122678</v>
      </c>
      <c r="D5">
        <v>0.29874526986655764</v>
      </c>
      <c r="E5">
        <v>1.9712680128025499</v>
      </c>
      <c r="F5">
        <v>-0.89224345269148986</v>
      </c>
      <c r="G5">
        <v>-1.1411364640275905</v>
      </c>
      <c r="H5">
        <v>0.28530689824064809</v>
      </c>
      <c r="I5">
        <v>1.9909566744584692</v>
      </c>
      <c r="J5">
        <v>-0.301488828328626</v>
      </c>
      <c r="K5">
        <v>-0.63063630081447597</v>
      </c>
      <c r="L5">
        <v>-0.63063630081447597</v>
      </c>
      <c r="M5">
        <v>1.9679648542769534</v>
      </c>
      <c r="N5">
        <v>1.9679648542769534</v>
      </c>
      <c r="O5">
        <v>-0.89224345269148986</v>
      </c>
      <c r="P5">
        <v>-1.1411364640275905</v>
      </c>
      <c r="Q5">
        <v>0</v>
      </c>
      <c r="R5">
        <v>0</v>
      </c>
      <c r="S5">
        <v>-0.63063630081447597</v>
      </c>
      <c r="T5">
        <v>0</v>
      </c>
      <c r="U5">
        <v>-0.63063630081447597</v>
      </c>
      <c r="V5">
        <v>1.9679648542769534</v>
      </c>
      <c r="W5">
        <v>0</v>
      </c>
      <c r="X5">
        <v>0</v>
      </c>
      <c r="Y5">
        <v>0.28530689824064809</v>
      </c>
      <c r="Z5">
        <v>1.9909566744584692</v>
      </c>
    </row>
    <row r="6" spans="1:26" x14ac:dyDescent="0.25">
      <c r="A6" s="4">
        <v>45536</v>
      </c>
      <c r="B6">
        <v>0.77075098814229359</v>
      </c>
      <c r="C6">
        <v>0.76654181157445178</v>
      </c>
      <c r="D6">
        <v>-3.9525691699596875E-2</v>
      </c>
      <c r="E6">
        <v>0.49971015343522818</v>
      </c>
      <c r="F6">
        <v>0.77373662468056781</v>
      </c>
      <c r="G6">
        <v>0.76949484381618782</v>
      </c>
      <c r="H6">
        <v>-3.799392142967916E-2</v>
      </c>
      <c r="I6">
        <v>0.50096287969853848</v>
      </c>
      <c r="J6">
        <v>2.2946627565848541</v>
      </c>
      <c r="K6">
        <v>0.84001483609518857</v>
      </c>
      <c r="L6">
        <v>0.84001483609518857</v>
      </c>
      <c r="M6">
        <v>-0.40789815722141559</v>
      </c>
      <c r="N6">
        <v>-0.40789815722141559</v>
      </c>
      <c r="O6">
        <v>0</v>
      </c>
      <c r="P6">
        <v>0</v>
      </c>
      <c r="Q6">
        <v>-3.799392142967916E-2</v>
      </c>
      <c r="R6">
        <v>0</v>
      </c>
      <c r="S6">
        <v>0</v>
      </c>
      <c r="T6">
        <v>-0.40789815722141559</v>
      </c>
      <c r="U6">
        <v>0.84001483609518857</v>
      </c>
      <c r="V6">
        <v>-0.40789815722141559</v>
      </c>
      <c r="W6">
        <v>0.77373662468056781</v>
      </c>
      <c r="X6">
        <v>0.76949484381618782</v>
      </c>
      <c r="Y6">
        <v>0</v>
      </c>
      <c r="Z6">
        <v>0.50096287969853848</v>
      </c>
    </row>
    <row r="7" spans="1:26" x14ac:dyDescent="0.25">
      <c r="A7" s="5">
        <v>45543</v>
      </c>
      <c r="B7">
        <v>-4.0082219938335104</v>
      </c>
      <c r="C7">
        <v>-3.766758391935586</v>
      </c>
      <c r="D7">
        <v>-4.9331963001027868</v>
      </c>
      <c r="E7">
        <v>-1.8923647456410522</v>
      </c>
      <c r="F7">
        <v>-3.9299767661405909</v>
      </c>
      <c r="G7">
        <v>-3.6975486747947151</v>
      </c>
      <c r="H7">
        <v>-4.6673841603734338</v>
      </c>
      <c r="I7">
        <v>-1.8746822538685715</v>
      </c>
      <c r="J7">
        <v>-3.0714024768784305</v>
      </c>
      <c r="K7">
        <v>-3.7501891768199869</v>
      </c>
      <c r="L7">
        <v>-3.7501891768199869</v>
      </c>
      <c r="M7">
        <v>-3.4774572247112236</v>
      </c>
      <c r="N7">
        <v>-3.4774572247112236</v>
      </c>
      <c r="O7">
        <v>-3.9299767661405909</v>
      </c>
      <c r="P7">
        <v>-3.6975486747947151</v>
      </c>
      <c r="Q7">
        <v>-4.6673841603734338</v>
      </c>
      <c r="R7">
        <v>-1.8746822538685715</v>
      </c>
      <c r="S7">
        <v>-3.7501891768199869</v>
      </c>
      <c r="T7">
        <v>-3.4774572247112236</v>
      </c>
      <c r="U7">
        <v>-3.7501891768199869</v>
      </c>
      <c r="V7">
        <v>-3.4774572247112236</v>
      </c>
      <c r="W7">
        <v>0</v>
      </c>
      <c r="X7">
        <v>0</v>
      </c>
      <c r="Y7">
        <v>0</v>
      </c>
      <c r="Z7">
        <v>0</v>
      </c>
    </row>
    <row r="8" spans="1:26" x14ac:dyDescent="0.25">
      <c r="A8" s="4">
        <v>45550</v>
      </c>
      <c r="B8">
        <v>0.85592011412268543</v>
      </c>
      <c r="C8">
        <v>0.83835966318613431</v>
      </c>
      <c r="D8">
        <v>3.0364785001018992</v>
      </c>
      <c r="E8">
        <v>1.3024580667537498</v>
      </c>
      <c r="F8">
        <v>0.85960414697980381</v>
      </c>
      <c r="G8">
        <v>0.84189366342668859</v>
      </c>
      <c r="H8">
        <v>2.9232096141703492</v>
      </c>
      <c r="I8">
        <v>1.31101442838392</v>
      </c>
      <c r="J8">
        <v>-0.13321916519672172</v>
      </c>
      <c r="K8">
        <v>0.68042936864627257</v>
      </c>
      <c r="L8">
        <v>0.68042936864627257</v>
      </c>
      <c r="M8">
        <v>3.2598103360263893</v>
      </c>
      <c r="N8">
        <v>3.2598103360263893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0.68042936864627257</v>
      </c>
      <c r="V8">
        <v>3.2598103360263893</v>
      </c>
      <c r="W8">
        <v>0.85960414697980381</v>
      </c>
      <c r="X8">
        <v>0.84189366342668859</v>
      </c>
      <c r="Y8">
        <v>2.9232096141703492</v>
      </c>
      <c r="Z8">
        <v>1.31101442838392</v>
      </c>
    </row>
    <row r="9" spans="1:26" x14ac:dyDescent="0.25">
      <c r="A9" s="5">
        <v>45557</v>
      </c>
      <c r="B9">
        <v>-0.4709254709254645</v>
      </c>
      <c r="C9">
        <v>-0.82676399477540319</v>
      </c>
      <c r="D9">
        <v>0.69615069615070313</v>
      </c>
      <c r="E9">
        <v>1.6139571353894255</v>
      </c>
      <c r="F9">
        <v>-0.46982008593079844</v>
      </c>
      <c r="G9">
        <v>-0.82336502272740331</v>
      </c>
      <c r="H9">
        <v>0.65523456627626531</v>
      </c>
      <c r="I9">
        <v>1.6271232797045354</v>
      </c>
      <c r="J9">
        <v>1.9612169243989883</v>
      </c>
      <c r="K9">
        <v>-0.66178764334710349</v>
      </c>
      <c r="L9">
        <v>-0.66178764334710349</v>
      </c>
      <c r="M9">
        <v>2.0701101487911222</v>
      </c>
      <c r="N9">
        <v>2.0701101487911222</v>
      </c>
      <c r="O9">
        <v>-0.46982008593079844</v>
      </c>
      <c r="P9">
        <v>-0.82336502272740331</v>
      </c>
      <c r="Q9">
        <v>0</v>
      </c>
      <c r="R9">
        <v>0</v>
      </c>
      <c r="S9">
        <v>-0.66178764334710349</v>
      </c>
      <c r="T9">
        <v>0</v>
      </c>
      <c r="U9">
        <v>-0.66178764334710349</v>
      </c>
      <c r="V9">
        <v>2.0701101487911222</v>
      </c>
      <c r="W9">
        <v>0</v>
      </c>
      <c r="X9">
        <v>0</v>
      </c>
      <c r="Y9">
        <v>0.65523456627626531</v>
      </c>
      <c r="Z9">
        <v>1.6271232797045354</v>
      </c>
    </row>
    <row r="10" spans="1:26" x14ac:dyDescent="0.25">
      <c r="A10" s="4">
        <v>45564</v>
      </c>
      <c r="B10">
        <v>4.0094339622641497</v>
      </c>
      <c r="C10">
        <v>3.8371259191954326</v>
      </c>
      <c r="D10">
        <v>2.4371069182389835</v>
      </c>
      <c r="E10">
        <v>1.0424824157428489</v>
      </c>
      <c r="F10">
        <v>4.0920269789362731</v>
      </c>
      <c r="G10">
        <v>3.9126827120345222</v>
      </c>
      <c r="H10">
        <v>2.3539431605379546</v>
      </c>
      <c r="I10">
        <v>1.0479543260357762</v>
      </c>
      <c r="J10">
        <v>-2.1900063473629574</v>
      </c>
      <c r="K10">
        <v>3.8245189807128668</v>
      </c>
      <c r="L10">
        <v>3.8245189807128668</v>
      </c>
      <c r="M10">
        <v>1.6257767063607911</v>
      </c>
      <c r="N10">
        <v>1.6257767063607911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3.8245189807128668</v>
      </c>
      <c r="V10">
        <v>1.6257767063607911</v>
      </c>
      <c r="W10">
        <v>4.0920269789362731</v>
      </c>
      <c r="X10">
        <v>3.9126827120345222</v>
      </c>
      <c r="Y10">
        <v>2.3539431605379546</v>
      </c>
      <c r="Z10">
        <v>1.0479543260357762</v>
      </c>
    </row>
    <row r="11" spans="1:26" x14ac:dyDescent="0.25">
      <c r="A11" s="5">
        <v>45571</v>
      </c>
      <c r="B11">
        <v>-3.100303951367783</v>
      </c>
      <c r="C11">
        <v>-3.1091128695228996</v>
      </c>
      <c r="D11">
        <v>-0.44579533941235833</v>
      </c>
      <c r="E11">
        <v>-1.4682189643734462</v>
      </c>
      <c r="F11">
        <v>-3.0532153152376158</v>
      </c>
      <c r="G11">
        <v>-3.0617589775943364</v>
      </c>
      <c r="H11">
        <v>-0.41361217077920565</v>
      </c>
      <c r="I11">
        <v>-1.4575449811943197</v>
      </c>
      <c r="J11">
        <v>3.1748698314580484</v>
      </c>
      <c r="K11">
        <v>-3.5178091770130608</v>
      </c>
      <c r="L11">
        <v>-3.5178091770130608</v>
      </c>
      <c r="M11">
        <v>-1.3785156348254293</v>
      </c>
      <c r="N11">
        <v>-1.3785156348254293</v>
      </c>
      <c r="O11">
        <v>-3.0532153152376158</v>
      </c>
      <c r="P11">
        <v>-3.0617589775943364</v>
      </c>
      <c r="Q11">
        <v>-0.41361217077920565</v>
      </c>
      <c r="R11">
        <v>-1.4575449811943197</v>
      </c>
      <c r="S11">
        <v>-3.5178091770130608</v>
      </c>
      <c r="T11">
        <v>-1.3785156348254293</v>
      </c>
      <c r="U11">
        <v>-3.5178091770130608</v>
      </c>
      <c r="V11">
        <v>-1.3785156348254293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s="4">
        <v>45578</v>
      </c>
      <c r="B12">
        <v>1.3197360527894353</v>
      </c>
      <c r="C12">
        <v>1.3818059946195262</v>
      </c>
      <c r="D12">
        <v>0.77984403119376244</v>
      </c>
      <c r="E12">
        <v>1.3846253387874816</v>
      </c>
      <c r="F12">
        <v>1.3285219551321661</v>
      </c>
      <c r="G12">
        <v>1.3914418020706092</v>
      </c>
      <c r="H12">
        <v>0.73205394966334247</v>
      </c>
      <c r="I12">
        <v>1.3943006908360454</v>
      </c>
      <c r="J12">
        <v>2.5558163711922184</v>
      </c>
      <c r="K12">
        <v>1.7457923934878101</v>
      </c>
      <c r="L12">
        <v>1.7457923934878101</v>
      </c>
      <c r="M12">
        <v>1.3449134839716155</v>
      </c>
      <c r="N12">
        <v>1.3449134839716155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1.7457923934878101</v>
      </c>
      <c r="V12">
        <v>1.3449134839716155</v>
      </c>
      <c r="W12">
        <v>1.3285219551321661</v>
      </c>
      <c r="X12">
        <v>1.3914418020706092</v>
      </c>
      <c r="Y12">
        <v>0.73205394966334247</v>
      </c>
      <c r="Z12">
        <v>1.3943006908360454</v>
      </c>
    </row>
    <row r="13" spans="1:26" x14ac:dyDescent="0.25">
      <c r="A13" s="5">
        <v>45585</v>
      </c>
      <c r="B13">
        <v>-0.86728519564340401</v>
      </c>
      <c r="C13">
        <v>-0.68996967416832478</v>
      </c>
      <c r="D13">
        <v>-0.40338846308994702</v>
      </c>
      <c r="E13">
        <v>0.67833401166734497</v>
      </c>
      <c r="F13">
        <v>-0.86354588237678409</v>
      </c>
      <c r="G13">
        <v>-0.68760027592132611</v>
      </c>
      <c r="H13">
        <v>-0.37474280317323561</v>
      </c>
      <c r="I13">
        <v>0.68064515426461836</v>
      </c>
      <c r="J13">
        <v>0.5930469353711405</v>
      </c>
      <c r="K13">
        <v>-0.96942932187900954</v>
      </c>
      <c r="L13">
        <v>-0.96942932187900954</v>
      </c>
      <c r="M13">
        <v>0.43594971794021498</v>
      </c>
      <c r="N13">
        <v>0.43594971794021498</v>
      </c>
      <c r="O13">
        <v>-0.86354588237678409</v>
      </c>
      <c r="P13">
        <v>-0.68760027592132611</v>
      </c>
      <c r="Q13">
        <v>-0.37474280317323561</v>
      </c>
      <c r="R13">
        <v>0</v>
      </c>
      <c r="S13">
        <v>-0.96942932187900954</v>
      </c>
      <c r="T13">
        <v>0</v>
      </c>
      <c r="U13">
        <v>-0.96942932187900954</v>
      </c>
      <c r="V13">
        <v>0.43594971794021498</v>
      </c>
      <c r="W13">
        <v>0</v>
      </c>
      <c r="X13">
        <v>0</v>
      </c>
      <c r="Y13">
        <v>0</v>
      </c>
      <c r="Z13">
        <v>0.68064515426461836</v>
      </c>
    </row>
    <row r="14" spans="1:26" x14ac:dyDescent="0.25">
      <c r="A14" s="4">
        <v>45592</v>
      </c>
      <c r="B14">
        <v>-2.0584602717167559</v>
      </c>
      <c r="C14">
        <v>-2.2426856276955314</v>
      </c>
      <c r="D14">
        <v>-0.78221490325237253</v>
      </c>
      <c r="E14">
        <v>-1.4450867052023153</v>
      </c>
      <c r="F14">
        <v>-2.0375603033017993</v>
      </c>
      <c r="G14">
        <v>-2.2179072172659868</v>
      </c>
      <c r="H14">
        <v>-0.71590358510192342</v>
      </c>
      <c r="I14">
        <v>-1.4347448408141541</v>
      </c>
      <c r="J14">
        <v>3.4689630237746836</v>
      </c>
      <c r="K14">
        <v>-2.3188865505407614</v>
      </c>
      <c r="L14">
        <v>-2.3188865505407614</v>
      </c>
      <c r="M14">
        <v>-0.88224745674595584</v>
      </c>
      <c r="N14">
        <v>-0.88224745674595584</v>
      </c>
      <c r="O14">
        <v>-2.0375603033017993</v>
      </c>
      <c r="P14">
        <v>-2.2179072172659868</v>
      </c>
      <c r="Q14">
        <v>-0.71590358510192342</v>
      </c>
      <c r="R14">
        <v>-1.4347448408141541</v>
      </c>
      <c r="S14">
        <v>-2.3188865505407614</v>
      </c>
      <c r="T14">
        <v>-0.88224745674595584</v>
      </c>
      <c r="U14">
        <v>-2.3188865505407614</v>
      </c>
      <c r="V14">
        <v>-0.88224745674595584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s="5">
        <v>45599</v>
      </c>
      <c r="B15">
        <v>-1.5043877977434161</v>
      </c>
      <c r="C15">
        <v>-1.3529478479481367</v>
      </c>
      <c r="D15">
        <v>-1.567070622649394</v>
      </c>
      <c r="E15">
        <v>-0.12329204258652532</v>
      </c>
      <c r="F15">
        <v>-1.4931841093799181</v>
      </c>
      <c r="G15">
        <v>-1.343877230783264</v>
      </c>
      <c r="H15">
        <v>-1.4281876572532854</v>
      </c>
      <c r="I15">
        <v>-0.12321610036177108</v>
      </c>
      <c r="J15">
        <v>3.1516108096925386</v>
      </c>
      <c r="K15">
        <v>-1.5036665327066834</v>
      </c>
      <c r="L15">
        <v>-1.5036665327066834</v>
      </c>
      <c r="M15">
        <v>-1.3851931702357678</v>
      </c>
      <c r="N15">
        <v>-1.3851931702357678</v>
      </c>
      <c r="O15">
        <v>-1.4931841093799181</v>
      </c>
      <c r="P15">
        <v>-1.343877230783264</v>
      </c>
      <c r="Q15">
        <v>-1.4281876572532854</v>
      </c>
      <c r="R15">
        <v>-0.12321610036177108</v>
      </c>
      <c r="S15">
        <v>-1.5036665327066834</v>
      </c>
      <c r="T15">
        <v>-1.3851931702357678</v>
      </c>
      <c r="U15">
        <v>-1.5036665327066834</v>
      </c>
      <c r="V15">
        <v>-1.3851931702357678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s="4">
        <v>45606</v>
      </c>
      <c r="B16">
        <v>3.3131313131313145</v>
      </c>
      <c r="C16">
        <v>3.5373703116167929</v>
      </c>
      <c r="D16">
        <v>4.1414141414141357</v>
      </c>
      <c r="E16">
        <v>2.3754062263256026</v>
      </c>
      <c r="F16">
        <v>3.3692587094417332</v>
      </c>
      <c r="G16">
        <v>3.6014509761752014</v>
      </c>
      <c r="H16">
        <v>3.8563981072667128</v>
      </c>
      <c r="I16">
        <v>2.4040738926021459</v>
      </c>
      <c r="J16">
        <v>-5.232651198058214</v>
      </c>
      <c r="K16">
        <v>3.3376043850483463</v>
      </c>
      <c r="L16">
        <v>3.3376043850483463</v>
      </c>
      <c r="M16">
        <v>2.9261331323780118</v>
      </c>
      <c r="N16">
        <v>2.9261331323780118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3.3376043850483463</v>
      </c>
      <c r="V16">
        <v>2.9261331323780118</v>
      </c>
      <c r="W16">
        <v>3.3692587094417332</v>
      </c>
      <c r="X16">
        <v>3.6014509761752014</v>
      </c>
      <c r="Y16">
        <v>3.8563981072667128</v>
      </c>
      <c r="Z16">
        <v>2.4040738926021459</v>
      </c>
    </row>
    <row r="17" spans="1:26" x14ac:dyDescent="0.25">
      <c r="A17" s="5">
        <v>45613</v>
      </c>
      <c r="B17">
        <v>-3.2756102649697478</v>
      </c>
      <c r="C17">
        <v>-3.0534781464917891</v>
      </c>
      <c r="D17">
        <v>-1.8360108491550082</v>
      </c>
      <c r="E17">
        <v>-1.1356719869963501</v>
      </c>
      <c r="F17">
        <v>-3.2231056403104681</v>
      </c>
      <c r="G17">
        <v>-3.0077872806851831</v>
      </c>
      <c r="H17">
        <v>-1.6372458743353153</v>
      </c>
      <c r="I17">
        <v>-1.1292716450288003</v>
      </c>
      <c r="J17">
        <v>0.63413987387586768</v>
      </c>
      <c r="K17">
        <v>-3.6140882187562555</v>
      </c>
      <c r="L17">
        <v>-3.6140882187562555</v>
      </c>
      <c r="M17">
        <v>-1.8875607597908808</v>
      </c>
      <c r="N17">
        <v>-1.8875607597908808</v>
      </c>
      <c r="O17">
        <v>-3.2231056403104681</v>
      </c>
      <c r="P17">
        <v>-3.0077872806851831</v>
      </c>
      <c r="Q17">
        <v>-1.6372458743353153</v>
      </c>
      <c r="R17">
        <v>-1.1292716450288003</v>
      </c>
      <c r="S17">
        <v>-3.6140882187562555</v>
      </c>
      <c r="T17">
        <v>-1.8875607597908808</v>
      </c>
      <c r="U17">
        <v>-3.6140882187562555</v>
      </c>
      <c r="V17">
        <v>-1.8875607597908808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s="4">
        <v>45620</v>
      </c>
      <c r="B18">
        <v>0.43622766929788298</v>
      </c>
      <c r="C18">
        <v>0.40470297608743883</v>
      </c>
      <c r="D18">
        <v>0.91400083090984152</v>
      </c>
      <c r="E18">
        <v>-0.49508869139710582</v>
      </c>
      <c r="F18">
        <v>0.43718191833859876</v>
      </c>
      <c r="G18">
        <v>0.40552411477898298</v>
      </c>
      <c r="H18">
        <v>0.82197361731024021</v>
      </c>
      <c r="I18">
        <v>-0.49386715746057974</v>
      </c>
      <c r="J18">
        <v>-2.1296279552963053</v>
      </c>
      <c r="K18">
        <v>0.20332097820980446</v>
      </c>
      <c r="L18">
        <v>0.20332097820980446</v>
      </c>
      <c r="M18">
        <v>1.0781775603288413</v>
      </c>
      <c r="N18">
        <v>1.0781775603288413</v>
      </c>
      <c r="O18">
        <v>0</v>
      </c>
      <c r="P18">
        <v>0</v>
      </c>
      <c r="Q18">
        <v>0</v>
      </c>
      <c r="R18">
        <v>-0.49386715746057974</v>
      </c>
      <c r="S18">
        <v>0</v>
      </c>
      <c r="T18">
        <v>0</v>
      </c>
      <c r="U18">
        <v>0.20332097820980446</v>
      </c>
      <c r="V18">
        <v>1.0781775603288413</v>
      </c>
      <c r="W18">
        <v>0.43718191833859876</v>
      </c>
      <c r="X18">
        <v>0.40552411477898298</v>
      </c>
      <c r="Y18">
        <v>0.82197361731024021</v>
      </c>
      <c r="Z18">
        <v>0</v>
      </c>
    </row>
    <row r="19" spans="1:26" x14ac:dyDescent="0.25">
      <c r="A19" s="5">
        <v>45627</v>
      </c>
      <c r="B19">
        <v>-0.18730489073882084</v>
      </c>
      <c r="C19">
        <v>-0.2829206039392938</v>
      </c>
      <c r="D19">
        <v>0.43704474505723384</v>
      </c>
      <c r="E19">
        <v>1.12560211174909</v>
      </c>
      <c r="F19">
        <v>-0.18712969386245165</v>
      </c>
      <c r="G19">
        <v>-0.28252113687101504</v>
      </c>
      <c r="H19">
        <v>0.38993643317830695</v>
      </c>
      <c r="I19">
        <v>1.1319849544596181</v>
      </c>
      <c r="J19">
        <v>-1.0639357415127135</v>
      </c>
      <c r="K19">
        <v>-0.15399536071825495</v>
      </c>
      <c r="L19">
        <v>-0.15399536071825495</v>
      </c>
      <c r="M19">
        <v>1.2819621165296347</v>
      </c>
      <c r="N19">
        <v>1.2819621165296347</v>
      </c>
      <c r="O19">
        <v>-0.18712969386245165</v>
      </c>
      <c r="P19">
        <v>-0.28252113687101504</v>
      </c>
      <c r="Q19">
        <v>0</v>
      </c>
      <c r="R19">
        <v>0</v>
      </c>
      <c r="S19">
        <v>-0.15399536071825495</v>
      </c>
      <c r="T19">
        <v>0</v>
      </c>
      <c r="U19">
        <v>-0.15399536071825495</v>
      </c>
      <c r="V19">
        <v>1.2819621165296347</v>
      </c>
      <c r="W19">
        <v>0</v>
      </c>
      <c r="X19">
        <v>0</v>
      </c>
      <c r="Y19">
        <v>0.38993643317830695</v>
      </c>
      <c r="Z19">
        <v>1.1319849544596181</v>
      </c>
    </row>
    <row r="20" spans="1:26" x14ac:dyDescent="0.25">
      <c r="A20" s="4">
        <v>45634</v>
      </c>
      <c r="B20">
        <v>3.7652713799319102</v>
      </c>
      <c r="C20">
        <v>3.8789546079779815</v>
      </c>
      <c r="D20">
        <v>2.623673142399364</v>
      </c>
      <c r="E20">
        <v>1.6651857241808725</v>
      </c>
      <c r="F20">
        <v>3.8379889096216444</v>
      </c>
      <c r="G20">
        <v>3.9561899273617751</v>
      </c>
      <c r="H20">
        <v>2.398723450561655</v>
      </c>
      <c r="I20">
        <v>1.6792057997729557</v>
      </c>
      <c r="J20">
        <v>2.0989199981521436</v>
      </c>
      <c r="K20">
        <v>4.3036534430185291</v>
      </c>
      <c r="L20">
        <v>4.3036534430185291</v>
      </c>
      <c r="M20">
        <v>1.0777118829162249</v>
      </c>
      <c r="N20">
        <v>1.0777118829162249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4.3036534430185291</v>
      </c>
      <c r="V20">
        <v>1.0777118829162249</v>
      </c>
      <c r="W20">
        <v>3.8379889096216444</v>
      </c>
      <c r="X20">
        <v>3.9561899273617751</v>
      </c>
      <c r="Y20">
        <v>2.398723450561655</v>
      </c>
      <c r="Z20">
        <v>1.6792057997729557</v>
      </c>
    </row>
    <row r="21" spans="1:26" x14ac:dyDescent="0.25">
      <c r="A21" s="5">
        <v>45641</v>
      </c>
      <c r="B21">
        <v>-1.1547811993517023</v>
      </c>
      <c r="C21">
        <v>-0.74375959799725078</v>
      </c>
      <c r="D21">
        <v>-0.76985413290113969</v>
      </c>
      <c r="E21">
        <v>-0.31795274927354977</v>
      </c>
      <c r="F21">
        <v>-1.1481644915385569</v>
      </c>
      <c r="G21">
        <v>-0.74100734463998763</v>
      </c>
      <c r="H21">
        <v>-0.68990832833738125</v>
      </c>
      <c r="I21">
        <v>-0.3174483484078312</v>
      </c>
      <c r="J21">
        <v>2.9215757639796616</v>
      </c>
      <c r="K21">
        <v>-1.4924445180048402</v>
      </c>
      <c r="L21">
        <v>-1.4924445180048402</v>
      </c>
      <c r="M21">
        <v>-1.2184229105613169</v>
      </c>
      <c r="N21">
        <v>-1.2184229105613169</v>
      </c>
      <c r="O21">
        <v>-1.1481644915385569</v>
      </c>
      <c r="P21">
        <v>-0.74100734463998763</v>
      </c>
      <c r="Q21">
        <v>-0.68990832833738125</v>
      </c>
      <c r="R21">
        <v>-0.3174483484078312</v>
      </c>
      <c r="S21">
        <v>-1.4924445180048402</v>
      </c>
      <c r="T21">
        <v>-1.2184229105613169</v>
      </c>
      <c r="U21">
        <v>-1.4924445180048402</v>
      </c>
      <c r="V21">
        <v>-1.2184229105613169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s="4">
        <v>45648</v>
      </c>
      <c r="B22">
        <v>-2.8547614086267918</v>
      </c>
      <c r="C22">
        <v>-2.6686631494983155</v>
      </c>
      <c r="D22">
        <v>-2.6463846634715629</v>
      </c>
      <c r="E22">
        <v>-3.14635700220086</v>
      </c>
      <c r="F22">
        <v>-2.8147723726978118</v>
      </c>
      <c r="G22">
        <v>-2.6336754389644592</v>
      </c>
      <c r="H22">
        <v>-2.3409049753984652</v>
      </c>
      <c r="I22">
        <v>-3.0978735428041033</v>
      </c>
      <c r="J22">
        <v>0.41293933420111123</v>
      </c>
      <c r="K22">
        <v>-2.6798347111380969</v>
      </c>
      <c r="L22">
        <v>-2.6798347111380969</v>
      </c>
      <c r="M22">
        <v>-0.84844960810175618</v>
      </c>
      <c r="N22">
        <v>-0.84844960810175618</v>
      </c>
      <c r="O22">
        <v>-2.8147723726978118</v>
      </c>
      <c r="P22">
        <v>-2.6336754389644592</v>
      </c>
      <c r="Q22">
        <v>-2.3409049753984652</v>
      </c>
      <c r="R22">
        <v>-3.0978735428041033</v>
      </c>
      <c r="S22">
        <v>-2.6798347111380969</v>
      </c>
      <c r="T22">
        <v>-0.84844960810175618</v>
      </c>
      <c r="U22">
        <v>-2.6798347111380969</v>
      </c>
      <c r="V22">
        <v>-0.84844960810175618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s="5">
        <v>45655</v>
      </c>
      <c r="B23">
        <v>0.31159119235562649</v>
      </c>
      <c r="C23">
        <v>0.14207059744180608</v>
      </c>
      <c r="D23">
        <v>0.56086414624013947</v>
      </c>
      <c r="E23">
        <v>1.3350286077558844</v>
      </c>
      <c r="F23">
        <v>0.31207764847716757</v>
      </c>
      <c r="G23">
        <v>0.14217161340242521</v>
      </c>
      <c r="H23">
        <v>0.50227991375921699</v>
      </c>
      <c r="I23">
        <v>1.3440202315113716</v>
      </c>
      <c r="J23">
        <v>1.1438451645165457</v>
      </c>
      <c r="K23">
        <v>0.4624257251780271</v>
      </c>
      <c r="L23">
        <v>0.4624257251780271</v>
      </c>
      <c r="M23">
        <v>0.26695602739747881</v>
      </c>
      <c r="N23">
        <v>0.26695602739747881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0.4624257251780271</v>
      </c>
      <c r="V23">
        <v>0.26695602739747881</v>
      </c>
      <c r="W23">
        <v>0.31207764847716757</v>
      </c>
      <c r="X23">
        <v>0.14217161340242521</v>
      </c>
      <c r="Y23">
        <v>0.50227991375921699</v>
      </c>
      <c r="Z23">
        <v>1.3440202315113716</v>
      </c>
    </row>
    <row r="24" spans="1:26" x14ac:dyDescent="0.25">
      <c r="A24" s="6" t="s">
        <v>39</v>
      </c>
      <c r="B24">
        <f>SUM(B2:B23)/22</f>
        <v>-9.3610053848880603E-2</v>
      </c>
      <c r="C24">
        <f t="shared" ref="C24:Z24" si="0">SUM(C2:C23)/22</f>
        <v>-8.1714632842691926E-2</v>
      </c>
      <c r="D24">
        <f t="shared" si="0"/>
        <v>0.30466851293001818</v>
      </c>
      <c r="E24">
        <f t="shared" si="0"/>
        <v>0.258721466527915</v>
      </c>
      <c r="F24">
        <f t="shared" si="0"/>
        <v>-6.1894911382616401E-2</v>
      </c>
      <c r="G24">
        <f t="shared" si="0"/>
        <v>-5.1642802104747948E-2</v>
      </c>
      <c r="H24">
        <f t="shared" si="0"/>
        <v>0.30704169176293938</v>
      </c>
      <c r="I24">
        <f t="shared" si="0"/>
        <v>0.27180373541600605</v>
      </c>
      <c r="J24">
        <f t="shared" si="0"/>
        <v>0.59782118167248988</v>
      </c>
      <c r="K24">
        <f t="shared" si="0"/>
        <v>-0.10168770557936155</v>
      </c>
      <c r="L24">
        <f t="shared" si="0"/>
        <v>-0.10168770557936155</v>
      </c>
      <c r="M24">
        <f t="shared" si="0"/>
        <v>0.46240517138664178</v>
      </c>
      <c r="N24">
        <f t="shared" si="0"/>
        <v>0.46240517138664178</v>
      </c>
      <c r="O24">
        <f>SQRT((SUMSQ(O3,O5,O7,O9,O11,O13,O14,O15,O17,O19,O21,O22))/12)</f>
        <v>2.1941815223652812</v>
      </c>
      <c r="P24">
        <f>SQRT((SUMSQ(P3,P5,P7,P9,P11,P13,P14,P15,P17,P19,P21,P22))/12)</f>
        <v>2.1131305651831118</v>
      </c>
      <c r="Q24">
        <f>SQRT((SUMSQ(Q3,Q6,Q7,Q11,Q13,Q14,Q15,Q17,Q21,Q22))/10)</f>
        <v>1.8245436865233358</v>
      </c>
      <c r="R24">
        <f>SQRT((SUMSQ(R3,R7,R11,R14,R15,R17,R18,R21,R22))/9)</f>
        <v>1.6408699935944944</v>
      </c>
      <c r="S24">
        <f>SQRT((SUMSQ(S3,S5,S7,S9,S11,S13,S14,S15,S17,S19,S21,S22,))/12)</f>
        <v>2.3235206402565036</v>
      </c>
      <c r="T24">
        <f>SQRT((SUMSQ(T6,T7,T11,T14,T15,T17,T21,T22))/8)</f>
        <v>1.6816592421620624</v>
      </c>
      <c r="U24">
        <f t="shared" si="0"/>
        <v>-0.10168770557936155</v>
      </c>
      <c r="V24">
        <f t="shared" si="0"/>
        <v>0.46240517138664178</v>
      </c>
      <c r="W24">
        <f t="shared" si="0"/>
        <v>0.95595097997869549</v>
      </c>
      <c r="X24">
        <f t="shared" si="0"/>
        <v>0.9400432403011284</v>
      </c>
      <c r="Y24">
        <f t="shared" si="0"/>
        <v>0.86910807727297801</v>
      </c>
      <c r="Z24">
        <f t="shared" si="0"/>
        <v>0.827777718160841</v>
      </c>
    </row>
    <row r="25" spans="1:26" x14ac:dyDescent="0.25">
      <c r="A25" s="5"/>
      <c r="N25" t="s">
        <v>40</v>
      </c>
      <c r="O25">
        <f>SUMIF(O2:O23,"&lt;0")/12</f>
        <v>-1.8660508008290719</v>
      </c>
      <c r="P25">
        <f t="shared" ref="P25" si="1">SUMIF(P2:P23,"&lt;0")/12</f>
        <v>-1.8180910777441071</v>
      </c>
      <c r="Q25">
        <f>SUMIF(Q2:Q23,"&lt;0")/10</f>
        <v>-1.2365460481220847</v>
      </c>
      <c r="R25">
        <f>SUMIF(R2:R23,"&lt;0")/9</f>
        <v>-1.359047513376263</v>
      </c>
      <c r="V25" t="s">
        <v>40</v>
      </c>
      <c r="W25">
        <f>SUMIF(W2:W23,"&gt;0")/9</f>
        <v>2.3367690621701445</v>
      </c>
      <c r="X25">
        <f>SUMIF(X2:X23,"&gt;0")/9</f>
        <v>2.2978834762916471</v>
      </c>
      <c r="Y25">
        <f>SUMIF(Y2:Y23,"&gt;0")/11</f>
        <v>1.738216154545956</v>
      </c>
      <c r="Z25">
        <f t="shared" ref="Z25" si="2">SUMIF(Z2:Z23,"&gt;0")/12</f>
        <v>1.5175924832948751</v>
      </c>
    </row>
    <row r="26" spans="1:26" x14ac:dyDescent="0.25">
      <c r="A26" s="5"/>
      <c r="N26" t="s">
        <v>41</v>
      </c>
      <c r="O26">
        <f>SUMIF(O2:O23,"&lt;0")</f>
        <v>-22.392609609948863</v>
      </c>
      <c r="P26">
        <f t="shared" ref="P26:R26" si="3">SUMIF(P2:P23,"&lt;0")</f>
        <v>-21.817092932929285</v>
      </c>
      <c r="Q26">
        <f t="shared" si="3"/>
        <v>-12.365460481220847</v>
      </c>
      <c r="R26">
        <f t="shared" si="3"/>
        <v>-12.231427620386366</v>
      </c>
      <c r="V26" t="s">
        <v>41</v>
      </c>
      <c r="W26">
        <f>SUMIF(W2:W23,"&gt;0")</f>
        <v>21.030921559531301</v>
      </c>
      <c r="X26">
        <f t="shared" ref="X26:Z26" si="4">SUMIF(X2:X23,"&gt;0")</f>
        <v>20.680951286624826</v>
      </c>
      <c r="Y26">
        <f>SUMIF(Y2:Y23,"&gt;0")</f>
        <v>19.120377700005516</v>
      </c>
      <c r="Z26">
        <f t="shared" si="4"/>
        <v>18.211109799538502</v>
      </c>
    </row>
    <row r="27" spans="1:26" x14ac:dyDescent="0.25">
      <c r="A27" s="5"/>
      <c r="N27" t="s">
        <v>42</v>
      </c>
      <c r="O27">
        <f>AVERAGEIF(O2:O23,"&lt;="&amp;SMALL(O2:O23,1.1))</f>
        <v>-3.9299767661405909</v>
      </c>
      <c r="P27">
        <f>AVERAGEIF(P2:P23,"&lt;="&amp;SMALL(P2:P23,1.1))</f>
        <v>-3.6975486747947151</v>
      </c>
      <c r="Q27">
        <f t="shared" ref="Q27:R27" si="5">AVERAGEIF(Q2:Q23,"&lt;="&amp;SMALL(Q2:Q23,1.1))</f>
        <v>-4.6673841603734338</v>
      </c>
      <c r="R27">
        <f t="shared" si="5"/>
        <v>-3.0978735428041033</v>
      </c>
      <c r="V27" t="s">
        <v>42</v>
      </c>
      <c r="W27">
        <f>AVERAGEIF(W2:W23,"&lt;="&amp;LARGE(W2:W23,1.1))</f>
        <v>0.71478080436228364</v>
      </c>
      <c r="X27">
        <f t="shared" ref="X27:Z27" si="6">AVERAGEIF(X2:X23,"&lt;="&amp;LARGE(X2:X23,1.1))</f>
        <v>0.71527855490792347</v>
      </c>
      <c r="Y27">
        <f t="shared" si="6"/>
        <v>0.71043141480784244</v>
      </c>
      <c r="Z27">
        <f t="shared" si="6"/>
        <v>0.71963058627276166</v>
      </c>
    </row>
    <row r="28" spans="1:26" x14ac:dyDescent="0.25">
      <c r="A28" s="6"/>
      <c r="N28" t="s">
        <v>43</v>
      </c>
      <c r="O28">
        <f>SUMIF(O2:O23,"&lt;="&amp;SMALL(O2:O23,1.1))</f>
        <v>-3.9299767661405909</v>
      </c>
      <c r="P28">
        <f>SUMIF(P2:P23,"&lt;="&amp;SMALL(P2:P23,1.1))</f>
        <v>-3.6975486747947151</v>
      </c>
      <c r="Q28">
        <f>SUMIF(Q2:Q23,"&lt;="&amp;SMALL(Q2:Q23,1.1))</f>
        <v>-4.6673841603734338</v>
      </c>
      <c r="R28">
        <f t="shared" ref="R28" si="7">SUMIF(R2:R23,"&lt;="&amp;SMALL(R2:R23,1.1))</f>
        <v>-3.0978735428041033</v>
      </c>
      <c r="V28" t="s">
        <v>43</v>
      </c>
      <c r="W28">
        <f>SUMIF(W2:W23,"&lt;="&amp;LARGE(W2:W23,1.1))</f>
        <v>15.010396891607956</v>
      </c>
      <c r="X28">
        <f t="shared" ref="X28:Z28" si="8">SUMIF(X2:X23,"&lt;="&amp;LARGE(X2:X23,1.1))</f>
        <v>15.020849653066392</v>
      </c>
      <c r="Y28">
        <f t="shared" si="8"/>
        <v>14.919059710964692</v>
      </c>
      <c r="Z28">
        <f t="shared" si="8"/>
        <v>15.112242311727995</v>
      </c>
    </row>
    <row r="29" spans="1:26" x14ac:dyDescent="0.25">
      <c r="A29" s="6"/>
    </row>
    <row r="46" spans="2:21" x14ac:dyDescent="0.25">
      <c r="B46" t="s">
        <v>165</v>
      </c>
      <c r="H46" t="s">
        <v>166</v>
      </c>
      <c r="O46" t="s">
        <v>169</v>
      </c>
      <c r="U46" t="s">
        <v>169</v>
      </c>
    </row>
    <row r="63" spans="2:21" x14ac:dyDescent="0.25">
      <c r="B63" t="s">
        <v>167</v>
      </c>
      <c r="H63" t="s">
        <v>168</v>
      </c>
      <c r="O63" t="s">
        <v>170</v>
      </c>
      <c r="U63" t="s">
        <v>170</v>
      </c>
    </row>
    <row r="80" spans="2:2" x14ac:dyDescent="0.25">
      <c r="B80" t="s">
        <v>171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2CBB-7B65-41F3-94AC-1760E95BC7A1}">
  <dimension ref="A1:Z79"/>
  <sheetViews>
    <sheetView topLeftCell="A15" zoomScale="60" zoomScaleNormal="60" workbookViewId="0">
      <selection activeCell="A2" sqref="A2:A23"/>
    </sheetView>
  </sheetViews>
  <sheetFormatPr defaultRowHeight="15" x14ac:dyDescent="0.25"/>
  <cols>
    <col min="1" max="26" width="15.7109375" customWidth="1"/>
  </cols>
  <sheetData>
    <row r="1" spans="1:26" x14ac:dyDescent="0.25">
      <c r="A1" s="3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37</v>
      </c>
      <c r="U1" t="s">
        <v>32</v>
      </c>
      <c r="V1" t="s">
        <v>38</v>
      </c>
      <c r="W1" t="s">
        <v>33</v>
      </c>
      <c r="X1" t="s">
        <v>34</v>
      </c>
      <c r="Y1" t="s">
        <v>35</v>
      </c>
      <c r="Z1" t="s">
        <v>36</v>
      </c>
    </row>
    <row r="2" spans="1:26" x14ac:dyDescent="0.25">
      <c r="A2" s="4">
        <v>45662</v>
      </c>
      <c r="B2">
        <v>1.8552497451579952</v>
      </c>
      <c r="C2">
        <v>1.8475423252241354</v>
      </c>
      <c r="D2">
        <v>1.32517838939857</v>
      </c>
      <c r="E2">
        <v>-9.7239401977686948E-2</v>
      </c>
      <c r="F2">
        <v>1.872675365644606</v>
      </c>
      <c r="G2">
        <v>1.8648225591588579</v>
      </c>
      <c r="H2">
        <v>1.1989445472037144</v>
      </c>
      <c r="I2">
        <v>-9.7192155097110391E-2</v>
      </c>
      <c r="J2">
        <v>0.42347823090030562</v>
      </c>
      <c r="K2">
        <v>1.9866594310596724</v>
      </c>
      <c r="L2">
        <v>1.9866594310596724</v>
      </c>
      <c r="M2">
        <v>-0.83661493574649493</v>
      </c>
      <c r="N2">
        <v>-0.83661493574649493</v>
      </c>
      <c r="O2">
        <v>0</v>
      </c>
      <c r="P2">
        <v>0</v>
      </c>
      <c r="Q2">
        <v>0</v>
      </c>
      <c r="R2">
        <v>-9.7192155097110391E-2</v>
      </c>
      <c r="S2">
        <v>0</v>
      </c>
      <c r="T2">
        <v>-0.83661493574649493</v>
      </c>
      <c r="U2">
        <v>1.9866594310596724</v>
      </c>
      <c r="V2">
        <v>-0.83661493574649493</v>
      </c>
      <c r="W2">
        <v>1.872675365644606</v>
      </c>
      <c r="X2">
        <v>1.8648225591588579</v>
      </c>
      <c r="Y2">
        <v>1.1989445472037144</v>
      </c>
      <c r="Z2">
        <v>0</v>
      </c>
    </row>
    <row r="3" spans="1:26" x14ac:dyDescent="0.25">
      <c r="A3" s="5">
        <v>45669</v>
      </c>
      <c r="B3">
        <v>1.0889292196007383</v>
      </c>
      <c r="C3">
        <v>0.91598903712427471</v>
      </c>
      <c r="D3">
        <v>-0.70578745714862146</v>
      </c>
      <c r="E3">
        <v>0.16061562183230302</v>
      </c>
      <c r="F3">
        <v>1.0949014489670523</v>
      </c>
      <c r="G3">
        <v>0.9202100122565412</v>
      </c>
      <c r="H3">
        <v>-0.64379878394196366</v>
      </c>
      <c r="I3">
        <v>0.16074474700417243</v>
      </c>
      <c r="J3">
        <v>1.9252289620296323</v>
      </c>
      <c r="K3">
        <v>0.93598772717972101</v>
      </c>
      <c r="L3">
        <v>0.93598772717972101</v>
      </c>
      <c r="M3">
        <v>-1.5749690499724165</v>
      </c>
      <c r="N3">
        <v>-1.5749690499724165</v>
      </c>
      <c r="O3">
        <v>0</v>
      </c>
      <c r="P3">
        <v>0</v>
      </c>
      <c r="Q3">
        <v>-0.64379878394196366</v>
      </c>
      <c r="R3">
        <v>0</v>
      </c>
      <c r="S3">
        <v>0</v>
      </c>
      <c r="T3">
        <v>-1.5749690499724165</v>
      </c>
      <c r="U3">
        <v>0.93598772717972101</v>
      </c>
      <c r="V3">
        <v>-1.5749690499724165</v>
      </c>
      <c r="W3">
        <v>1.0949014489670523</v>
      </c>
      <c r="X3">
        <v>0.9202100122565412</v>
      </c>
      <c r="Y3">
        <v>0</v>
      </c>
      <c r="Z3">
        <v>0.16074474700417243</v>
      </c>
    </row>
    <row r="4" spans="1:26" x14ac:dyDescent="0.25">
      <c r="A4" s="4">
        <v>45676</v>
      </c>
      <c r="B4">
        <v>1.4898688915375446</v>
      </c>
      <c r="C4">
        <v>1.4029461422331146</v>
      </c>
      <c r="D4">
        <v>1.5494636471990486</v>
      </c>
      <c r="E4">
        <v>0.23643692404108899</v>
      </c>
      <c r="F4">
        <v>1.5010789206127204</v>
      </c>
      <c r="G4">
        <v>1.4128804564582473</v>
      </c>
      <c r="H4">
        <v>1.4291192294546207</v>
      </c>
      <c r="I4">
        <v>0.23671687749894751</v>
      </c>
      <c r="J4">
        <v>-2.4166304422725462</v>
      </c>
      <c r="K4">
        <v>1.7674551160917102</v>
      </c>
      <c r="L4">
        <v>1.7674551160917102</v>
      </c>
      <c r="M4">
        <v>3.0179233158573804</v>
      </c>
      <c r="N4">
        <v>3.0179233158573804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1.7674551160917102</v>
      </c>
      <c r="V4">
        <v>3.0179233158573804</v>
      </c>
      <c r="W4">
        <v>1.5010789206127204</v>
      </c>
      <c r="X4">
        <v>1.4128804564582473</v>
      </c>
      <c r="Y4">
        <v>1.4291192294546207</v>
      </c>
      <c r="Z4">
        <v>0.23671687749894751</v>
      </c>
    </row>
    <row r="5" spans="1:26" x14ac:dyDescent="0.25">
      <c r="A5" s="5">
        <v>45683</v>
      </c>
      <c r="B5">
        <v>2.3093343683291243</v>
      </c>
      <c r="C5">
        <v>2.4988677141762037</v>
      </c>
      <c r="D5">
        <v>1.3584319813700811</v>
      </c>
      <c r="E5">
        <v>2.509841494657465</v>
      </c>
      <c r="F5">
        <v>2.3364172632963056</v>
      </c>
      <c r="G5">
        <v>2.5306194863785985</v>
      </c>
      <c r="H5">
        <v>1.2653820322847542</v>
      </c>
      <c r="I5">
        <v>2.5418751485656808</v>
      </c>
      <c r="J5">
        <v>0.49140148024291624</v>
      </c>
      <c r="K5">
        <v>2.5536967579372076</v>
      </c>
      <c r="L5">
        <v>2.5536967579372076</v>
      </c>
      <c r="M5">
        <v>2.1058584739258759</v>
      </c>
      <c r="N5">
        <v>2.1058584739258759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2.5536967579372076</v>
      </c>
      <c r="V5">
        <v>2.1058584739258759</v>
      </c>
      <c r="W5">
        <v>2.3364172632963056</v>
      </c>
      <c r="X5">
        <v>2.5306194863785985</v>
      </c>
      <c r="Y5">
        <v>1.2653820322847542</v>
      </c>
      <c r="Z5">
        <v>2.5418751485656808</v>
      </c>
    </row>
    <row r="6" spans="1:26" x14ac:dyDescent="0.25">
      <c r="A6" s="4">
        <v>45690</v>
      </c>
      <c r="B6">
        <v>1.6039717395455344</v>
      </c>
      <c r="C6">
        <v>1.4366594983925145</v>
      </c>
      <c r="D6">
        <v>-1.2984533129654376</v>
      </c>
      <c r="E6">
        <v>-0.50941013098120447</v>
      </c>
      <c r="F6">
        <v>1.6169745951263355</v>
      </c>
      <c r="G6">
        <v>1.4470793700864406</v>
      </c>
      <c r="H6">
        <v>-1.2290051675693086</v>
      </c>
      <c r="I6">
        <v>-0.50811702718214091</v>
      </c>
      <c r="J6">
        <v>-1.4129097077052879</v>
      </c>
      <c r="K6">
        <v>1.7629976218810302</v>
      </c>
      <c r="L6">
        <v>1.7629976218810302</v>
      </c>
      <c r="M6">
        <v>2.4322023712261807E-2</v>
      </c>
      <c r="N6">
        <v>2.4322023712261807E-2</v>
      </c>
      <c r="O6">
        <v>0</v>
      </c>
      <c r="P6">
        <v>0</v>
      </c>
      <c r="Q6">
        <v>-1.2290051675693086</v>
      </c>
      <c r="R6">
        <v>-0.50811702718214091</v>
      </c>
      <c r="S6">
        <v>0</v>
      </c>
      <c r="T6">
        <v>0</v>
      </c>
      <c r="U6">
        <v>1.7629976218810302</v>
      </c>
      <c r="V6">
        <v>2.4322023712261807E-2</v>
      </c>
      <c r="W6">
        <v>1.6169745951263355</v>
      </c>
      <c r="X6">
        <v>1.4470793700864406</v>
      </c>
      <c r="Y6">
        <v>0</v>
      </c>
      <c r="Z6">
        <v>0</v>
      </c>
    </row>
    <row r="7" spans="1:26" x14ac:dyDescent="0.25">
      <c r="A7" s="5">
        <v>45697</v>
      </c>
      <c r="B7">
        <v>2.0938493176294717</v>
      </c>
      <c r="C7">
        <v>2.2190230758253611</v>
      </c>
      <c r="D7">
        <v>0.57954757898671749</v>
      </c>
      <c r="E7">
        <v>0.37540930041782294</v>
      </c>
      <c r="F7">
        <v>2.1160812251762402</v>
      </c>
      <c r="G7">
        <v>2.2440137844603223</v>
      </c>
      <c r="H7">
        <v>0.56215580085656069</v>
      </c>
      <c r="I7">
        <v>0.37611572968701174</v>
      </c>
      <c r="J7">
        <v>-0.55011312875733431</v>
      </c>
      <c r="K7">
        <v>2.0197753522055062</v>
      </c>
      <c r="L7">
        <v>2.0197753522055062</v>
      </c>
      <c r="M7">
        <v>-1.0430342278872446</v>
      </c>
      <c r="N7">
        <v>-1.0430342278872446</v>
      </c>
      <c r="O7">
        <v>0</v>
      </c>
      <c r="P7">
        <v>0</v>
      </c>
      <c r="Q7">
        <v>0</v>
      </c>
      <c r="R7">
        <v>0</v>
      </c>
      <c r="S7">
        <v>0</v>
      </c>
      <c r="T7">
        <v>-1.0430342278872446</v>
      </c>
      <c r="U7">
        <v>2.0197753522055062</v>
      </c>
      <c r="V7">
        <v>-1.0430342278872446</v>
      </c>
      <c r="W7">
        <v>2.1160812251762402</v>
      </c>
      <c r="X7">
        <v>2.2440137844603223</v>
      </c>
      <c r="Y7">
        <v>0.56215580085656069</v>
      </c>
      <c r="Z7">
        <v>0.37611572968701174</v>
      </c>
    </row>
    <row r="8" spans="1:26" x14ac:dyDescent="0.25">
      <c r="A8" s="4">
        <v>45704</v>
      </c>
      <c r="B8">
        <v>2.6037873270211209</v>
      </c>
      <c r="C8">
        <v>2.4144696153641476</v>
      </c>
      <c r="D8">
        <v>1.9664967225054724</v>
      </c>
      <c r="E8">
        <v>0.18181187328683188</v>
      </c>
      <c r="F8">
        <v>2.6382860356611539</v>
      </c>
      <c r="G8">
        <v>2.4440957815573188</v>
      </c>
      <c r="H8">
        <v>1.9341577157677508</v>
      </c>
      <c r="I8">
        <v>0.18197735167650583</v>
      </c>
      <c r="J8">
        <v>-0.95263559268293652</v>
      </c>
      <c r="K8">
        <v>2.9160200166192762</v>
      </c>
      <c r="L8">
        <v>2.9160200166192762</v>
      </c>
      <c r="M8">
        <v>1.5524349655603733</v>
      </c>
      <c r="N8">
        <v>1.5524349655603733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2.9160200166192762</v>
      </c>
      <c r="V8">
        <v>1.5524349655603733</v>
      </c>
      <c r="W8">
        <v>2.6382860356611539</v>
      </c>
      <c r="X8">
        <v>2.4440957815573188</v>
      </c>
      <c r="Y8">
        <v>1.9341577157677508</v>
      </c>
      <c r="Z8">
        <v>0.18197735167650583</v>
      </c>
    </row>
    <row r="9" spans="1:26" x14ac:dyDescent="0.25">
      <c r="A9" s="5">
        <v>45711</v>
      </c>
      <c r="B9">
        <v>1.2585400934915421</v>
      </c>
      <c r="C9">
        <v>1.4323720937743496</v>
      </c>
      <c r="D9">
        <v>-0.73714491190220011</v>
      </c>
      <c r="E9">
        <v>3.537834013152355E-2</v>
      </c>
      <c r="F9">
        <v>1.2665267906048308</v>
      </c>
      <c r="G9">
        <v>1.4427295668531233</v>
      </c>
      <c r="H9">
        <v>-0.72986527826983905</v>
      </c>
      <c r="I9">
        <v>3.5384599742681967E-2</v>
      </c>
      <c r="J9">
        <v>2.3902780155142014</v>
      </c>
      <c r="K9">
        <v>1.4379806900181613</v>
      </c>
      <c r="L9">
        <v>1.4379806900181613</v>
      </c>
      <c r="M9">
        <v>-0.58238456283225737</v>
      </c>
      <c r="N9">
        <v>-0.58238456283225737</v>
      </c>
      <c r="O9">
        <v>0</v>
      </c>
      <c r="P9">
        <v>0</v>
      </c>
      <c r="Q9">
        <v>-0.72986527826983905</v>
      </c>
      <c r="R9">
        <v>0</v>
      </c>
      <c r="S9">
        <v>0</v>
      </c>
      <c r="T9">
        <v>-0.58238456283225737</v>
      </c>
      <c r="U9">
        <v>1.4379806900181613</v>
      </c>
      <c r="V9">
        <v>-0.58238456283225737</v>
      </c>
      <c r="W9">
        <v>1.2665267906048308</v>
      </c>
      <c r="X9">
        <v>1.4427295668531233</v>
      </c>
      <c r="Y9">
        <v>0</v>
      </c>
      <c r="Z9">
        <v>3.5384599742681967E-2</v>
      </c>
    </row>
    <row r="10" spans="1:26" x14ac:dyDescent="0.25">
      <c r="A10" s="4">
        <v>45718</v>
      </c>
      <c r="B10">
        <v>-1.1640596580574765</v>
      </c>
      <c r="C10">
        <v>-0.9590459266022221</v>
      </c>
      <c r="D10">
        <v>-1.6733357584576243</v>
      </c>
      <c r="E10">
        <v>-3.7145755541645897</v>
      </c>
      <c r="F10">
        <v>-1.1573366068719169</v>
      </c>
      <c r="G10">
        <v>-0.95447627463151274</v>
      </c>
      <c r="H10">
        <v>-1.6573969734579328</v>
      </c>
      <c r="I10">
        <v>-3.6472474376869615</v>
      </c>
      <c r="J10">
        <v>-2.1990235018567468</v>
      </c>
      <c r="K10">
        <v>-1.2112475912636742</v>
      </c>
      <c r="L10">
        <v>-1.2112475912636742</v>
      </c>
      <c r="M10">
        <v>-2.9722683601542297</v>
      </c>
      <c r="N10">
        <v>-2.9722683601542297</v>
      </c>
      <c r="O10">
        <v>-1.1573366068719169</v>
      </c>
      <c r="P10">
        <v>-0.95447627463151274</v>
      </c>
      <c r="Q10">
        <v>-1.6573969734579328</v>
      </c>
      <c r="R10">
        <v>-3.6472474376869615</v>
      </c>
      <c r="S10">
        <v>-1.2112475912636742</v>
      </c>
      <c r="T10">
        <v>-2.9722683601542297</v>
      </c>
      <c r="U10">
        <v>-1.2112475912636742</v>
      </c>
      <c r="V10">
        <v>-2.9722683601542297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s="5">
        <v>45725</v>
      </c>
      <c r="B11">
        <v>1.0973196618096899</v>
      </c>
      <c r="C11">
        <v>1.0613759174127011</v>
      </c>
      <c r="D11">
        <v>-2.4284943335132114</v>
      </c>
      <c r="E11">
        <v>-1.3304852443718651</v>
      </c>
      <c r="F11">
        <v>1.1033846228278632</v>
      </c>
      <c r="G11">
        <v>1.0670486869142841</v>
      </c>
      <c r="H11">
        <v>-2.4828861653869883</v>
      </c>
      <c r="I11">
        <v>-1.3217120213968483</v>
      </c>
      <c r="J11">
        <v>3.532489120881948</v>
      </c>
      <c r="K11">
        <v>1.7406998065022721</v>
      </c>
      <c r="L11">
        <v>1.7406998065022721</v>
      </c>
      <c r="M11">
        <v>-1.9408254127159477</v>
      </c>
      <c r="N11">
        <v>-1.9408254127159477</v>
      </c>
      <c r="O11">
        <v>0</v>
      </c>
      <c r="P11">
        <v>0</v>
      </c>
      <c r="Q11">
        <v>-2.4828861653869883</v>
      </c>
      <c r="R11">
        <v>-1.3217120213968483</v>
      </c>
      <c r="S11">
        <v>0</v>
      </c>
      <c r="T11">
        <v>-1.9408254127159477</v>
      </c>
      <c r="U11">
        <v>1.7406998065022721</v>
      </c>
      <c r="V11">
        <v>-1.9408254127159477</v>
      </c>
      <c r="W11">
        <v>1.1033846228278632</v>
      </c>
      <c r="X11">
        <v>1.0670486869142841</v>
      </c>
      <c r="Y11">
        <v>0</v>
      </c>
      <c r="Z11">
        <v>0</v>
      </c>
    </row>
    <row r="12" spans="1:26" x14ac:dyDescent="0.25">
      <c r="A12" s="4">
        <v>45732</v>
      </c>
      <c r="B12">
        <v>2.8656299143805586</v>
      </c>
      <c r="C12">
        <v>2.8238226234981521</v>
      </c>
      <c r="D12">
        <v>-0.41936047527520881</v>
      </c>
      <c r="E12">
        <v>-3.5402104500369944</v>
      </c>
      <c r="F12">
        <v>2.9074907455632673</v>
      </c>
      <c r="G12">
        <v>2.8644593279963231</v>
      </c>
      <c r="H12">
        <v>-0.44792908040460566</v>
      </c>
      <c r="I12">
        <v>-3.4789858031763239</v>
      </c>
      <c r="J12">
        <v>-1.1467242015456542</v>
      </c>
      <c r="K12">
        <v>3.6020817615466818</v>
      </c>
      <c r="L12">
        <v>3.6020817615466818</v>
      </c>
      <c r="M12">
        <v>-1.19145968661144</v>
      </c>
      <c r="N12">
        <v>-1.19145968661144</v>
      </c>
      <c r="O12">
        <v>0</v>
      </c>
      <c r="P12">
        <v>0</v>
      </c>
      <c r="Q12">
        <v>-0.44792908040460566</v>
      </c>
      <c r="R12">
        <v>-3.4789858031763239</v>
      </c>
      <c r="S12">
        <v>0</v>
      </c>
      <c r="T12">
        <v>-1.19145968661144</v>
      </c>
      <c r="U12">
        <v>3.6020817615466818</v>
      </c>
      <c r="V12">
        <v>-1.19145968661144</v>
      </c>
      <c r="W12">
        <v>2.9074907455632673</v>
      </c>
      <c r="X12">
        <v>2.8644593279963231</v>
      </c>
      <c r="Y12">
        <v>0</v>
      </c>
      <c r="Z12">
        <v>0</v>
      </c>
    </row>
    <row r="13" spans="1:26" x14ac:dyDescent="0.25">
      <c r="A13" s="5">
        <v>45739</v>
      </c>
      <c r="B13">
        <v>-5.2447552447542005E-2</v>
      </c>
      <c r="C13">
        <v>0.40044962765209136</v>
      </c>
      <c r="D13">
        <v>0.43706293706293703</v>
      </c>
      <c r="E13">
        <v>2.2958750949546878</v>
      </c>
      <c r="F13">
        <v>-5.2433803525854292E-2</v>
      </c>
      <c r="G13">
        <v>0.40125357415847168</v>
      </c>
      <c r="H13">
        <v>0.46654932065950716</v>
      </c>
      <c r="I13">
        <v>2.3226407717544926</v>
      </c>
      <c r="J13">
        <v>-1.1085642647016498</v>
      </c>
      <c r="K13">
        <v>-0.15882524042515353</v>
      </c>
      <c r="L13">
        <v>-0.15882524042515353</v>
      </c>
      <c r="M13">
        <v>1.7353087497052881</v>
      </c>
      <c r="N13">
        <v>1.7353087497052881</v>
      </c>
      <c r="O13">
        <v>-5.2433803525854292E-2</v>
      </c>
      <c r="P13">
        <v>0</v>
      </c>
      <c r="Q13">
        <v>0</v>
      </c>
      <c r="R13">
        <v>0</v>
      </c>
      <c r="S13">
        <v>-0.15882524042515353</v>
      </c>
      <c r="T13">
        <v>0</v>
      </c>
      <c r="U13">
        <v>-0.15882524042515353</v>
      </c>
      <c r="V13">
        <v>1.7353087497052881</v>
      </c>
      <c r="W13">
        <v>0</v>
      </c>
      <c r="X13">
        <v>0.40125357415847168</v>
      </c>
      <c r="Y13">
        <v>0.46654932065950716</v>
      </c>
      <c r="Z13">
        <v>2.3226407717544926</v>
      </c>
    </row>
    <row r="14" spans="1:26" x14ac:dyDescent="0.25">
      <c r="A14" s="4">
        <v>45746</v>
      </c>
      <c r="B14">
        <v>0.53903668927142268</v>
      </c>
      <c r="C14">
        <v>0.75803059236392301</v>
      </c>
      <c r="D14">
        <v>-2.0344287949921784</v>
      </c>
      <c r="E14">
        <v>7.0751066793414918E-2</v>
      </c>
      <c r="F14">
        <v>0.54049473399104242</v>
      </c>
      <c r="G14">
        <v>0.7609182463816051</v>
      </c>
      <c r="H14">
        <v>-2.2024419659974197</v>
      </c>
      <c r="I14">
        <v>7.0776107172264804E-2</v>
      </c>
      <c r="J14">
        <v>-0.60204877815830249</v>
      </c>
      <c r="K14">
        <v>0.95338100233176115</v>
      </c>
      <c r="L14">
        <v>0.95338100233176115</v>
      </c>
      <c r="M14">
        <v>-1.1849590933423284</v>
      </c>
      <c r="N14">
        <v>-1.1849590933423284</v>
      </c>
      <c r="O14">
        <v>0</v>
      </c>
      <c r="P14">
        <v>0</v>
      </c>
      <c r="Q14">
        <v>-2.2024419659974197</v>
      </c>
      <c r="R14">
        <v>0</v>
      </c>
      <c r="S14">
        <v>0</v>
      </c>
      <c r="T14">
        <v>-1.1849590933423284</v>
      </c>
      <c r="U14">
        <v>0.95338100233176115</v>
      </c>
      <c r="V14">
        <v>-1.1849590933423284</v>
      </c>
      <c r="W14">
        <v>0.54049473399104242</v>
      </c>
      <c r="X14">
        <v>0.7609182463816051</v>
      </c>
      <c r="Y14">
        <v>0</v>
      </c>
      <c r="Z14">
        <v>7.0776107172264804E-2</v>
      </c>
    </row>
    <row r="15" spans="1:26" x14ac:dyDescent="0.25">
      <c r="A15" s="5">
        <v>45753</v>
      </c>
      <c r="B15">
        <v>-8.8792124195380495</v>
      </c>
      <c r="C15">
        <v>-8.1784698157560545</v>
      </c>
      <c r="D15">
        <v>-8.0083301779628879</v>
      </c>
      <c r="E15">
        <v>-4.2567250877853393</v>
      </c>
      <c r="F15">
        <v>-8.5068938856676635</v>
      </c>
      <c r="G15">
        <v>-7.8612175557185138</v>
      </c>
      <c r="H15">
        <v>-8.3936205691078438</v>
      </c>
      <c r="I15">
        <v>-4.1686181845539227</v>
      </c>
      <c r="J15">
        <v>-9.0593920653526503</v>
      </c>
      <c r="K15">
        <v>-9.4037112180908338</v>
      </c>
      <c r="L15">
        <v>-9.4037112180908338</v>
      </c>
      <c r="M15">
        <v>-7.8279120638260551</v>
      </c>
      <c r="N15">
        <v>-7.8279120638260551</v>
      </c>
      <c r="O15">
        <v>-8.5068938856676635</v>
      </c>
      <c r="P15">
        <v>-7.8612175557185138</v>
      </c>
      <c r="Q15">
        <v>-8.3936205691078438</v>
      </c>
      <c r="R15">
        <v>-4.1686181845539227</v>
      </c>
      <c r="S15">
        <v>-9.4037112180908338</v>
      </c>
      <c r="T15">
        <v>-7.8279120638260551</v>
      </c>
      <c r="U15">
        <v>-9.4037112180908338</v>
      </c>
      <c r="V15">
        <v>-7.8279120638260551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s="4">
        <v>45760</v>
      </c>
      <c r="B16">
        <v>2.0400593471810113</v>
      </c>
      <c r="C16">
        <v>1.8345529408377206</v>
      </c>
      <c r="D16">
        <v>4.2655786350148315</v>
      </c>
      <c r="E16">
        <v>-3.5567367139572115</v>
      </c>
      <c r="F16">
        <v>2.0611559735065366</v>
      </c>
      <c r="G16">
        <v>1.8515895487281804</v>
      </c>
      <c r="H16">
        <v>4.6510606659671287</v>
      </c>
      <c r="I16">
        <v>-3.4949457332299545</v>
      </c>
      <c r="J16">
        <v>-0.73940994759949707</v>
      </c>
      <c r="K16">
        <v>2.3092051153103568</v>
      </c>
      <c r="L16">
        <v>2.3092051153103568</v>
      </c>
      <c r="M16">
        <v>1.3174450073590591</v>
      </c>
      <c r="N16">
        <v>1.3174450073590591</v>
      </c>
      <c r="O16">
        <v>0</v>
      </c>
      <c r="P16">
        <v>0</v>
      </c>
      <c r="Q16">
        <v>0</v>
      </c>
      <c r="R16">
        <v>-3.4949457332299545</v>
      </c>
      <c r="S16">
        <v>0</v>
      </c>
      <c r="T16">
        <v>0</v>
      </c>
      <c r="U16">
        <v>2.3092051153103568</v>
      </c>
      <c r="V16">
        <v>1.3174450073590591</v>
      </c>
      <c r="W16">
        <v>2.0611559735065366</v>
      </c>
      <c r="X16">
        <v>1.8515895487281804</v>
      </c>
      <c r="Y16">
        <v>4.6510606659671287</v>
      </c>
      <c r="Z16">
        <v>0</v>
      </c>
    </row>
    <row r="17" spans="1:26" x14ac:dyDescent="0.25">
      <c r="A17" s="5">
        <v>45767</v>
      </c>
      <c r="B17">
        <v>3.6282394995531742</v>
      </c>
      <c r="C17">
        <v>3.3490369133520104</v>
      </c>
      <c r="D17">
        <v>-0.55406613047364117</v>
      </c>
      <c r="E17">
        <v>0.96297055138338583</v>
      </c>
      <c r="F17">
        <v>3.6956968153882741</v>
      </c>
      <c r="G17">
        <v>3.4064015700025796</v>
      </c>
      <c r="H17">
        <v>-0.61441081202931913</v>
      </c>
      <c r="I17">
        <v>0.96763709525811481</v>
      </c>
      <c r="J17">
        <v>-2.2710752843783695</v>
      </c>
      <c r="K17">
        <v>4.3434574099998136</v>
      </c>
      <c r="L17">
        <v>4.3434574099998136</v>
      </c>
      <c r="M17">
        <v>1.8498895313927539</v>
      </c>
      <c r="N17">
        <v>1.8498895313927539</v>
      </c>
      <c r="O17">
        <v>0</v>
      </c>
      <c r="P17">
        <v>0</v>
      </c>
      <c r="Q17">
        <v>-0.61441081202931913</v>
      </c>
      <c r="R17">
        <v>0</v>
      </c>
      <c r="S17">
        <v>0</v>
      </c>
      <c r="T17">
        <v>0</v>
      </c>
      <c r="U17">
        <v>4.3434574099998136</v>
      </c>
      <c r="V17">
        <v>1.8498895313927539</v>
      </c>
      <c r="W17">
        <v>3.6956968153882741</v>
      </c>
      <c r="X17">
        <v>3.4064015700025796</v>
      </c>
      <c r="Y17">
        <v>0</v>
      </c>
      <c r="Z17">
        <v>0.96763709525811481</v>
      </c>
    </row>
    <row r="18" spans="1:26" x14ac:dyDescent="0.25">
      <c r="A18" s="4">
        <v>45774</v>
      </c>
      <c r="B18">
        <v>4.7821647379169416</v>
      </c>
      <c r="C18">
        <v>4.2107147209359068</v>
      </c>
      <c r="D18">
        <v>4.4417971409121844</v>
      </c>
      <c r="E18">
        <v>2.7616223381837939</v>
      </c>
      <c r="F18">
        <v>4.9002916547742235</v>
      </c>
      <c r="G18">
        <v>4.3019351952538303</v>
      </c>
      <c r="H18">
        <v>5.0587279810346732</v>
      </c>
      <c r="I18">
        <v>2.800472053561692</v>
      </c>
      <c r="J18">
        <v>2.4611894100808067</v>
      </c>
      <c r="K18">
        <v>5.1125424486476669</v>
      </c>
      <c r="L18">
        <v>5.1125424486476669</v>
      </c>
      <c r="M18">
        <v>3.4527291768462969</v>
      </c>
      <c r="N18">
        <v>3.4527291768462969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5.1125424486476669</v>
      </c>
      <c r="V18">
        <v>3.4527291768462969</v>
      </c>
      <c r="W18">
        <v>4.9002916547742235</v>
      </c>
      <c r="X18">
        <v>4.3019351952538303</v>
      </c>
      <c r="Y18">
        <v>5.0587279810346732</v>
      </c>
      <c r="Z18">
        <v>2.800472053561692</v>
      </c>
    </row>
    <row r="19" spans="1:26" x14ac:dyDescent="0.25">
      <c r="A19" s="5">
        <v>45781</v>
      </c>
      <c r="B19">
        <v>1.0274549435741949</v>
      </c>
      <c r="C19">
        <v>0.70747136650495668</v>
      </c>
      <c r="D19">
        <v>2.189658076469605</v>
      </c>
      <c r="E19">
        <v>1.6919148166841209</v>
      </c>
      <c r="F19">
        <v>1.0327696976907412</v>
      </c>
      <c r="G19">
        <v>0.70998581151434381</v>
      </c>
      <c r="H19">
        <v>2.427303635620655</v>
      </c>
      <c r="I19">
        <v>1.7063912132726244</v>
      </c>
      <c r="J19">
        <v>-0.5332330288588113</v>
      </c>
      <c r="K19">
        <v>1.0360407260946209</v>
      </c>
      <c r="L19">
        <v>1.0360407260946209</v>
      </c>
      <c r="M19">
        <v>2.9842751565660204</v>
      </c>
      <c r="N19">
        <v>2.9842751565660204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1.0360407260946209</v>
      </c>
      <c r="V19">
        <v>2.9842751565660204</v>
      </c>
      <c r="W19">
        <v>1.0327696976907412</v>
      </c>
      <c r="X19">
        <v>0.70998581151434381</v>
      </c>
      <c r="Y19">
        <v>2.427303635620655</v>
      </c>
      <c r="Z19">
        <v>1.7063912132726244</v>
      </c>
    </row>
    <row r="20" spans="1:26" x14ac:dyDescent="0.25">
      <c r="A20" s="4">
        <v>45788</v>
      </c>
      <c r="B20">
        <v>2.2716049382716088</v>
      </c>
      <c r="C20">
        <v>2.5944082473011765</v>
      </c>
      <c r="D20">
        <v>0.85596707818929396</v>
      </c>
      <c r="E20">
        <v>0.74989532866798048</v>
      </c>
      <c r="F20">
        <v>2.297803393807377</v>
      </c>
      <c r="G20">
        <v>2.6286566795524253</v>
      </c>
      <c r="H20">
        <v>0.95466118835799108</v>
      </c>
      <c r="I20">
        <v>0.7527211798354958</v>
      </c>
      <c r="J20">
        <v>2.2655301601472666</v>
      </c>
      <c r="K20">
        <v>2.0029789103459557</v>
      </c>
      <c r="L20">
        <v>2.0029789103459557</v>
      </c>
      <c r="M20">
        <v>-4.2131873384972603E-2</v>
      </c>
      <c r="N20">
        <v>-4.2131873384972603E-2</v>
      </c>
      <c r="O20">
        <v>0</v>
      </c>
      <c r="P20">
        <v>0</v>
      </c>
      <c r="Q20">
        <v>0</v>
      </c>
      <c r="R20">
        <v>0</v>
      </c>
      <c r="S20">
        <v>0</v>
      </c>
      <c r="T20">
        <v>-4.2131873384972603E-2</v>
      </c>
      <c r="U20">
        <v>2.0029789103459557</v>
      </c>
      <c r="V20">
        <v>-4.2131873384972603E-2</v>
      </c>
      <c r="W20">
        <v>2.297803393807377</v>
      </c>
      <c r="X20">
        <v>2.6286566795524253</v>
      </c>
      <c r="Y20">
        <v>0.95466118835799108</v>
      </c>
      <c r="Z20">
        <v>0.7527211798354958</v>
      </c>
    </row>
    <row r="21" spans="1:26" x14ac:dyDescent="0.25">
      <c r="A21" s="5">
        <v>45795</v>
      </c>
      <c r="B21">
        <v>-0.76297893514679194</v>
      </c>
      <c r="C21">
        <v>-0.46363791100224977</v>
      </c>
      <c r="D21">
        <v>3.3836457123901251</v>
      </c>
      <c r="E21">
        <v>3.2262265666263841</v>
      </c>
      <c r="F21">
        <v>-0.76008297193436192</v>
      </c>
      <c r="G21">
        <v>-0.46256642105229384</v>
      </c>
      <c r="H21">
        <v>3.6596012026808262</v>
      </c>
      <c r="I21">
        <v>3.2794164020886529</v>
      </c>
      <c r="J21">
        <v>1.5374943969028068</v>
      </c>
      <c r="K21">
        <v>-9.3925403899265236E-2</v>
      </c>
      <c r="L21">
        <v>-9.3925403899265236E-2</v>
      </c>
      <c r="M21">
        <v>3.5843757643551131</v>
      </c>
      <c r="N21">
        <v>3.5843757643551131</v>
      </c>
      <c r="O21">
        <v>-0.76008297193436192</v>
      </c>
      <c r="P21">
        <v>-0.46256642105229384</v>
      </c>
      <c r="Q21">
        <v>0</v>
      </c>
      <c r="R21">
        <v>0</v>
      </c>
      <c r="S21">
        <v>-9.3925403899265236E-2</v>
      </c>
      <c r="T21">
        <v>0</v>
      </c>
      <c r="U21">
        <v>-9.3925403899265236E-2</v>
      </c>
      <c r="V21">
        <v>3.5843757643551131</v>
      </c>
      <c r="W21">
        <v>0</v>
      </c>
      <c r="X21">
        <v>0</v>
      </c>
      <c r="Y21">
        <v>3.6596012026808262</v>
      </c>
      <c r="Z21">
        <v>3.2794164020886529</v>
      </c>
    </row>
    <row r="22" spans="1:26" x14ac:dyDescent="0.25">
      <c r="A22" s="4">
        <v>45802</v>
      </c>
      <c r="B22">
        <v>-3.0422150059818853</v>
      </c>
      <c r="C22">
        <v>-2.3693271565422669</v>
      </c>
      <c r="D22">
        <v>-1.9483848914715445</v>
      </c>
      <c r="E22">
        <v>-0.18919898513953606</v>
      </c>
      <c r="F22">
        <v>-2.9968572701169522</v>
      </c>
      <c r="G22">
        <v>-2.3416942259511369</v>
      </c>
      <c r="H22">
        <v>-2.0285393095433011</v>
      </c>
      <c r="I22">
        <v>-0.18902022929363205</v>
      </c>
      <c r="J22">
        <v>2.2717923859656866</v>
      </c>
      <c r="K22">
        <v>-3.1762689875092676</v>
      </c>
      <c r="L22">
        <v>-3.1762689875092676</v>
      </c>
      <c r="M22">
        <v>-1.3919818631262137</v>
      </c>
      <c r="N22">
        <v>-1.3919818631262137</v>
      </c>
      <c r="O22">
        <v>-2.9968572701169522</v>
      </c>
      <c r="P22">
        <v>-2.3416942259511369</v>
      </c>
      <c r="Q22">
        <v>-2.0285393095433011</v>
      </c>
      <c r="R22">
        <v>-0.18902022929363205</v>
      </c>
      <c r="S22">
        <v>-3.1762689875092676</v>
      </c>
      <c r="T22">
        <v>-1.3919818631262137</v>
      </c>
      <c r="U22">
        <v>-3.1762689875092676</v>
      </c>
      <c r="V22">
        <v>-1.3919818631262137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s="5">
        <v>45809</v>
      </c>
      <c r="B23">
        <v>1.3155675493337851</v>
      </c>
      <c r="C23">
        <v>1.1754180407952448</v>
      </c>
      <c r="D23">
        <v>1.3830325518637212</v>
      </c>
      <c r="E23">
        <v>0.54288659942466799</v>
      </c>
      <c r="F23">
        <v>1.3242977919131513</v>
      </c>
      <c r="G23">
        <v>1.1823806926054796</v>
      </c>
      <c r="H23">
        <v>1.4632666508469085</v>
      </c>
      <c r="I23">
        <v>0.54436558395840873</v>
      </c>
      <c r="J23">
        <v>-3.2508341029111589</v>
      </c>
      <c r="K23">
        <v>1.5396997981261948</v>
      </c>
      <c r="L23">
        <v>1.5396997981261948</v>
      </c>
      <c r="M23">
        <v>1.5950606055970331</v>
      </c>
      <c r="N23">
        <v>1.5950606055970331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1.5396997981261948</v>
      </c>
      <c r="V23">
        <v>1.5950606055970331</v>
      </c>
      <c r="W23">
        <v>1.3242977919131513</v>
      </c>
      <c r="X23">
        <v>1.1823806926054796</v>
      </c>
      <c r="Y23">
        <v>1.4632666508469085</v>
      </c>
      <c r="Z23">
        <v>0.54436558395840873</v>
      </c>
    </row>
    <row r="24" spans="1:26" x14ac:dyDescent="0.25">
      <c r="A24" s="6" t="s">
        <v>39</v>
      </c>
      <c r="B24">
        <f>SUM(B2:B23)/22</f>
        <v>0.90771338238335053</v>
      </c>
      <c r="C24">
        <f t="shared" ref="C24:Z24" si="0">SUM(C2:C23)/22</f>
        <v>0.95966680376659985</v>
      </c>
      <c r="D24">
        <f t="shared" si="0"/>
        <v>0.17854882760000146</v>
      </c>
      <c r="E24">
        <f t="shared" si="0"/>
        <v>-6.3315711424043519E-2</v>
      </c>
      <c r="F24">
        <f t="shared" si="0"/>
        <v>0.9469419334743171</v>
      </c>
      <c r="G24">
        <f t="shared" si="0"/>
        <v>0.99368753968015955</v>
      </c>
      <c r="H24">
        <f t="shared" si="0"/>
        <v>0.21095617568302585</v>
      </c>
      <c r="I24">
        <f t="shared" si="0"/>
        <v>-4.2209260479097614E-2</v>
      </c>
      <c r="J24">
        <f t="shared" si="0"/>
        <v>-0.40653235836888074</v>
      </c>
      <c r="K24">
        <f t="shared" si="0"/>
        <v>1.0898491477595189</v>
      </c>
      <c r="L24">
        <f t="shared" si="0"/>
        <v>1.0898491477595189</v>
      </c>
      <c r="M24">
        <f t="shared" si="0"/>
        <v>0.11959462005808431</v>
      </c>
      <c r="N24">
        <f t="shared" si="0"/>
        <v>0.11959462005808431</v>
      </c>
      <c r="O24">
        <f>SQRT((SUMSQ(O10,O13,O15,O21,O22))/5)</f>
        <v>4.0808896218605391</v>
      </c>
      <c r="P24">
        <f>SQRT((SUMSQ(P10,P15,P21,P22))/4)</f>
        <v>4.1354342564871418</v>
      </c>
      <c r="Q24">
        <f>SQRT((SUMSQ(Q3,Q6,Q9,Q10,Q11,Q12,Q14,Q15,Q17,Q22,))/10)</f>
        <v>3.0226817901914296</v>
      </c>
      <c r="R24">
        <f>SQRT((SUMSQ(R2,R6,R10,R11,R12,R15,R16,R22))/8)</f>
        <v>2.6703946309521469</v>
      </c>
      <c r="S24">
        <f>SQRT((SUMSQ(S10,S13,S15,S21,S22))/5)</f>
        <v>4.4725750417426502</v>
      </c>
      <c r="T24">
        <f>SQRT((SUMSQ(T2,T3,T7,T9,T10,T11,T12,T14,T15,T20,T22))/11)</f>
        <v>2.7510002618024458</v>
      </c>
      <c r="U24">
        <f t="shared" si="0"/>
        <v>1.0898491477595189</v>
      </c>
      <c r="V24">
        <f t="shared" si="0"/>
        <v>0.11959462005808431</v>
      </c>
      <c r="W24">
        <f t="shared" si="0"/>
        <v>1.5593785033887146</v>
      </c>
      <c r="X24">
        <f t="shared" si="0"/>
        <v>1.5218672886507714</v>
      </c>
      <c r="Y24">
        <f t="shared" si="0"/>
        <v>1.139587725942504</v>
      </c>
      <c r="Z24">
        <f t="shared" si="0"/>
        <v>0.72623794823076115</v>
      </c>
    </row>
    <row r="25" spans="1:26" x14ac:dyDescent="0.25">
      <c r="A25" s="5"/>
      <c r="N25" t="s">
        <v>40</v>
      </c>
      <c r="O25">
        <f>SUMIF(O2:O23,"&lt;0")/5</f>
        <v>-2.69472090762335</v>
      </c>
      <c r="P25">
        <f>SUMIF(P2:P23,"&lt;0")/4</f>
        <v>-2.9049886193383645</v>
      </c>
      <c r="Q25">
        <f>SUMIF(Q2:Q23,"&lt;0")/10</f>
        <v>-2.0429894105708524</v>
      </c>
      <c r="R25">
        <f>SUMIF(R2:R23,"&lt;0")/8</f>
        <v>-2.1132298239521119</v>
      </c>
      <c r="V25" t="s">
        <v>40</v>
      </c>
      <c r="W25">
        <f>SUMIF(W2:W23,"&gt;0")/17</f>
        <v>2.0180192396795134</v>
      </c>
      <c r="X25">
        <f>SUMIF(X2:X23,"&gt;0")/18</f>
        <v>1.860060019462054</v>
      </c>
      <c r="Y25">
        <f>SUMIF(Y2:Y23,"&gt;0")/12</f>
        <v>2.089244164227924</v>
      </c>
      <c r="Z25">
        <f>SUMIF(Z2:Z23,"&gt;0")/14</f>
        <v>1.1412310615054817</v>
      </c>
    </row>
    <row r="26" spans="1:26" x14ac:dyDescent="0.25">
      <c r="A26" s="5"/>
      <c r="N26" t="s">
        <v>41</v>
      </c>
      <c r="O26">
        <f>SUMIF(O2:O23,"&lt;0")</f>
        <v>-13.473604538116749</v>
      </c>
      <c r="P26">
        <f t="shared" ref="P26:R26" si="1">SUMIF(P2:P23,"&lt;0")</f>
        <v>-11.619954477353458</v>
      </c>
      <c r="Q26">
        <f t="shared" si="1"/>
        <v>-20.429894105708524</v>
      </c>
      <c r="R26">
        <f t="shared" si="1"/>
        <v>-16.905838591616895</v>
      </c>
      <c r="V26" t="s">
        <v>41</v>
      </c>
      <c r="W26">
        <f>SUMIF(W2:W23,"&gt;0")</f>
        <v>34.306327074551724</v>
      </c>
      <c r="X26">
        <f t="shared" ref="X26:Z26" si="2">SUMIF(X2:X23,"&gt;0")</f>
        <v>33.481080350316972</v>
      </c>
      <c r="Y26">
        <f t="shared" si="2"/>
        <v>25.070929970735087</v>
      </c>
      <c r="Z26">
        <f t="shared" si="2"/>
        <v>15.977234861076745</v>
      </c>
    </row>
    <row r="27" spans="1:26" x14ac:dyDescent="0.25">
      <c r="A27" s="5"/>
      <c r="N27" t="s">
        <v>42</v>
      </c>
      <c r="O27">
        <f>AVERAGEIF(O2:O23,"&lt;="&amp;SMALL(O2:O23,1.1))</f>
        <v>-8.5068938856676635</v>
      </c>
      <c r="P27">
        <f t="shared" ref="P27:R27" si="3">AVERAGEIF(P2:P23,"&lt;="&amp;SMALL(P2:P23,1.1))</f>
        <v>-7.8612175557185138</v>
      </c>
      <c r="Q27">
        <f t="shared" si="3"/>
        <v>-8.3936205691078438</v>
      </c>
      <c r="R27">
        <f t="shared" si="3"/>
        <v>-4.1686181845539227</v>
      </c>
      <c r="V27" t="s">
        <v>42</v>
      </c>
      <c r="W27">
        <f>AVERAGEIF(W2:W23,"&lt;="&amp;LARGE(W2:W23,1.1))</f>
        <v>1.4002874009417856</v>
      </c>
      <c r="X27">
        <f t="shared" ref="X27:Z27" si="4">AVERAGEIF(X2:X23,"&lt;="&amp;LARGE(X2:X23,1.1))</f>
        <v>1.3894831026220544</v>
      </c>
      <c r="Y27">
        <f t="shared" si="4"/>
        <v>0.95296199950954352</v>
      </c>
      <c r="Z27">
        <f t="shared" si="4"/>
        <v>0.6046580218565758</v>
      </c>
    </row>
    <row r="28" spans="1:26" x14ac:dyDescent="0.25">
      <c r="A28" s="6"/>
      <c r="N28" t="s">
        <v>43</v>
      </c>
      <c r="O28">
        <f>SUMIF(O2:O23,"&lt;="&amp;SMALL(O2:O23,1.1))</f>
        <v>-8.5068938856676635</v>
      </c>
      <c r="P28">
        <f t="shared" ref="P28:Q28" si="5">SUMIF(P2:P23,"&lt;="&amp;SMALL(P2:P23,1.1))</f>
        <v>-7.8612175557185138</v>
      </c>
      <c r="Q28">
        <f t="shared" si="5"/>
        <v>-8.3936205691078438</v>
      </c>
      <c r="R28">
        <f>SUMIF(R2:R23,"&lt;="&amp;SMALL(R2:R23,1.1))</f>
        <v>-4.1686181845539227</v>
      </c>
      <c r="V28" t="s">
        <v>43</v>
      </c>
      <c r="W28">
        <f>SUMIF(W2:W23,"&lt;="&amp;LARGE(W2:W23,1.1))</f>
        <v>29.406035419777499</v>
      </c>
      <c r="X28">
        <f t="shared" ref="X28:Z28" si="6">SUMIF(X2:X23,"&lt;="&amp;LARGE(X2:X23,1.1))</f>
        <v>29.179145155063143</v>
      </c>
      <c r="Y28">
        <f t="shared" si="6"/>
        <v>20.012201989700415</v>
      </c>
      <c r="Z28">
        <f t="shared" si="6"/>
        <v>12.697818458988092</v>
      </c>
    </row>
    <row r="45" spans="2:17" x14ac:dyDescent="0.25">
      <c r="B45" t="s">
        <v>165</v>
      </c>
      <c r="G45" t="s">
        <v>166</v>
      </c>
      <c r="L45" t="s">
        <v>169</v>
      </c>
      <c r="Q45" t="s">
        <v>169</v>
      </c>
    </row>
    <row r="62" spans="2:17" x14ac:dyDescent="0.25">
      <c r="B62" t="s">
        <v>167</v>
      </c>
      <c r="G62" t="s">
        <v>168</v>
      </c>
      <c r="L62" t="s">
        <v>170</v>
      </c>
      <c r="Q62" t="s">
        <v>170</v>
      </c>
    </row>
    <row r="79" spans="2:2" x14ac:dyDescent="0.25">
      <c r="B79" t="s">
        <v>171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6A2B-677A-42EA-A768-D1F6CE57B141}">
  <dimension ref="A1:BF45"/>
  <sheetViews>
    <sheetView topLeftCell="AK1" zoomScale="90" zoomScaleNormal="90" workbookViewId="0">
      <selection activeCell="BF2" sqref="BF2:BF45"/>
    </sheetView>
  </sheetViews>
  <sheetFormatPr defaultRowHeight="15" x14ac:dyDescent="0.25"/>
  <sheetData>
    <row r="1" spans="1:58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112</v>
      </c>
      <c r="AZ1" t="s">
        <v>113</v>
      </c>
      <c r="BA1" t="s">
        <v>125</v>
      </c>
      <c r="BB1" t="s">
        <v>126</v>
      </c>
      <c r="BC1" t="s">
        <v>176</v>
      </c>
      <c r="BD1" t="s">
        <v>177</v>
      </c>
      <c r="BE1" t="s">
        <v>178</v>
      </c>
      <c r="BF1" t="s">
        <v>179</v>
      </c>
    </row>
    <row r="2" spans="1:5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1.8552497451579952</v>
      </c>
      <c r="AA2">
        <v>1.8475423252241354</v>
      </c>
      <c r="AB2">
        <v>1.32517838939857</v>
      </c>
      <c r="AC2">
        <v>-9.7239401977686948E-2</v>
      </c>
      <c r="AD2">
        <v>1.872675365644606</v>
      </c>
      <c r="AE2">
        <v>1.8648225591588579</v>
      </c>
      <c r="AF2">
        <v>1.1989445472037144</v>
      </c>
      <c r="AG2">
        <v>-9.7192155097110391E-2</v>
      </c>
      <c r="AH2">
        <v>0.42347823090030562</v>
      </c>
      <c r="AI2">
        <v>1.9866594310596724</v>
      </c>
      <c r="AJ2">
        <v>1.9866594310596724</v>
      </c>
      <c r="AK2">
        <v>-0.83661493574649493</v>
      </c>
      <c r="AL2">
        <v>-0.83661493574649493</v>
      </c>
      <c r="AM2">
        <v>0</v>
      </c>
      <c r="AN2">
        <v>0</v>
      </c>
      <c r="AO2">
        <v>0</v>
      </c>
      <c r="AP2">
        <v>-9.7192155097110391E-2</v>
      </c>
      <c r="AQ2">
        <v>1.9866594310596724</v>
      </c>
      <c r="AR2">
        <v>-0.83661493574649493</v>
      </c>
      <c r="AS2">
        <v>1.9866594310596724</v>
      </c>
      <c r="AT2">
        <v>-0.83661493574649493</v>
      </c>
      <c r="AU2">
        <v>1.872675365644606</v>
      </c>
      <c r="AV2">
        <v>1.8648225591588579</v>
      </c>
      <c r="AW2">
        <v>1.1989445472037144</v>
      </c>
      <c r="AX2">
        <v>0</v>
      </c>
      <c r="AY2">
        <v>0</v>
      </c>
      <c r="AZ2">
        <v>0</v>
      </c>
      <c r="BA2">
        <v>0</v>
      </c>
      <c r="BB2">
        <v>0</v>
      </c>
      <c r="BC2">
        <v>48.8</v>
      </c>
      <c r="BD2">
        <v>2171.35</v>
      </c>
      <c r="BE2">
        <v>50.37</v>
      </c>
      <c r="BF2">
        <v>1318.71</v>
      </c>
    </row>
    <row r="3" spans="1:58" x14ac:dyDescent="0.25">
      <c r="A3">
        <v>-2.3060796645702184</v>
      </c>
      <c r="B3">
        <v>-2.2028194205831695</v>
      </c>
      <c r="C3">
        <v>-6.2893081760993771E-2</v>
      </c>
      <c r="D3">
        <v>-2.3294973965810226</v>
      </c>
      <c r="E3">
        <v>-2.2798914964805785</v>
      </c>
      <c r="F3">
        <v>-2.1789078686540146</v>
      </c>
      <c r="G3">
        <v>-5.9577005038922937E-2</v>
      </c>
      <c r="H3">
        <v>-2.3027787504462349</v>
      </c>
      <c r="I3">
        <v>1.0017421468653662</v>
      </c>
      <c r="J3">
        <v>-2.5373448057704686</v>
      </c>
      <c r="K3">
        <v>-2.5373448057704686</v>
      </c>
      <c r="L3">
        <v>0.41419360608964534</v>
      </c>
      <c r="M3">
        <v>0.41419360608964534</v>
      </c>
      <c r="N3">
        <v>-2.2798914964805785</v>
      </c>
      <c r="O3">
        <v>-2.1789078686540146</v>
      </c>
      <c r="P3">
        <v>-5.9577005038922937E-2</v>
      </c>
      <c r="Q3">
        <v>-2.3027787504462349</v>
      </c>
      <c r="R3">
        <v>-2.5373448057704686</v>
      </c>
      <c r="S3">
        <v>0</v>
      </c>
      <c r="T3">
        <v>-2.5373448057704686</v>
      </c>
      <c r="U3">
        <v>0.41419360608964534</v>
      </c>
      <c r="V3">
        <v>0</v>
      </c>
      <c r="W3">
        <v>0</v>
      </c>
      <c r="X3">
        <v>0</v>
      </c>
      <c r="Y3">
        <v>0</v>
      </c>
      <c r="Z3">
        <v>1.0889292196007383</v>
      </c>
      <c r="AA3">
        <v>0.91598903712427471</v>
      </c>
      <c r="AB3">
        <v>-0.70578745714862146</v>
      </c>
      <c r="AC3">
        <v>0.16061562183230302</v>
      </c>
      <c r="AD3">
        <v>1.0949014489670523</v>
      </c>
      <c r="AE3">
        <v>0.9202100122565412</v>
      </c>
      <c r="AF3">
        <v>-0.64379878394196366</v>
      </c>
      <c r="AG3">
        <v>0.16074474700417243</v>
      </c>
      <c r="AH3">
        <v>1.9252289620296323</v>
      </c>
      <c r="AI3">
        <v>0.93598772717972101</v>
      </c>
      <c r="AJ3">
        <v>0.93598772717972101</v>
      </c>
      <c r="AK3">
        <v>-1.5749690499724165</v>
      </c>
      <c r="AL3">
        <v>-1.5749690499724165</v>
      </c>
      <c r="AM3">
        <v>0</v>
      </c>
      <c r="AN3">
        <v>0</v>
      </c>
      <c r="AO3">
        <v>-0.64379878394196366</v>
      </c>
      <c r="AP3">
        <v>0</v>
      </c>
      <c r="AQ3">
        <v>0.93598772717972101</v>
      </c>
      <c r="AR3">
        <v>-1.5749690499724165</v>
      </c>
      <c r="AS3">
        <v>0.93598772717972101</v>
      </c>
      <c r="AT3">
        <v>-1.5749690499724165</v>
      </c>
      <c r="AU3">
        <v>1.0949014489670523</v>
      </c>
      <c r="AV3">
        <v>0.9202100122565412</v>
      </c>
      <c r="AW3">
        <v>0</v>
      </c>
      <c r="AX3">
        <v>0.16074474700417243</v>
      </c>
      <c r="AY3">
        <v>-2.2798914964805785</v>
      </c>
      <c r="AZ3">
        <v>-2.1789078686540146</v>
      </c>
      <c r="BA3">
        <v>-5.9577005038922937E-2</v>
      </c>
      <c r="BB3">
        <v>-2.3027787504462349</v>
      </c>
      <c r="BC3">
        <v>47.7</v>
      </c>
      <c r="BD3">
        <v>2124.5500000000002</v>
      </c>
      <c r="BE3">
        <v>50.34</v>
      </c>
      <c r="BF3">
        <v>1288.69</v>
      </c>
    </row>
    <row r="4" spans="1:58" x14ac:dyDescent="0.25">
      <c r="A4">
        <v>5.842874062376616</v>
      </c>
      <c r="B4">
        <v>5.502897783629181</v>
      </c>
      <c r="C4">
        <v>4.2637189103829387</v>
      </c>
      <c r="D4">
        <v>3.0513447432762795</v>
      </c>
      <c r="E4">
        <v>6.0205246679233477</v>
      </c>
      <c r="F4">
        <v>5.6601016335584342</v>
      </c>
      <c r="G4">
        <v>4.2013179890408221</v>
      </c>
      <c r="H4">
        <v>3.0988674878105038</v>
      </c>
      <c r="I4">
        <v>1.8610487753655796</v>
      </c>
      <c r="J4">
        <v>6.1952226843661986</v>
      </c>
      <c r="K4">
        <v>6.1952226843661986</v>
      </c>
      <c r="L4">
        <v>3.9089991196929454</v>
      </c>
      <c r="M4">
        <v>3.9089991196929454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6.1952226843661986</v>
      </c>
      <c r="U4">
        <v>3.9089991196929454</v>
      </c>
      <c r="V4">
        <v>6.0205246679233477</v>
      </c>
      <c r="W4">
        <v>5.6601016335584342</v>
      </c>
      <c r="X4">
        <v>4.2013179890408221</v>
      </c>
      <c r="Y4">
        <v>3.0988674878105038</v>
      </c>
      <c r="Z4">
        <v>1.4898688915375446</v>
      </c>
      <c r="AA4">
        <v>1.4029461422331146</v>
      </c>
      <c r="AB4">
        <v>1.5494636471990486</v>
      </c>
      <c r="AC4">
        <v>0.23643692404108899</v>
      </c>
      <c r="AD4">
        <v>1.5010789206127204</v>
      </c>
      <c r="AE4">
        <v>1.4128804564582473</v>
      </c>
      <c r="AF4">
        <v>1.4291192294546207</v>
      </c>
      <c r="AG4">
        <v>0.23671687749894751</v>
      </c>
      <c r="AH4">
        <v>-2.4166304422725462</v>
      </c>
      <c r="AI4">
        <v>1.7674551160917102</v>
      </c>
      <c r="AJ4">
        <v>1.7674551160917102</v>
      </c>
      <c r="AK4">
        <v>3.0179233158573804</v>
      </c>
      <c r="AL4">
        <v>3.0179233158573804</v>
      </c>
      <c r="AM4">
        <v>0</v>
      </c>
      <c r="AN4">
        <v>0</v>
      </c>
      <c r="AO4">
        <v>0</v>
      </c>
      <c r="AP4">
        <v>0</v>
      </c>
      <c r="AQ4">
        <v>1.7674551160917102</v>
      </c>
      <c r="AR4">
        <v>3.0179233158573804</v>
      </c>
      <c r="AS4">
        <v>1.7674551160917102</v>
      </c>
      <c r="AT4">
        <v>3.0179233158573804</v>
      </c>
      <c r="AU4">
        <v>1.5010789206127204</v>
      </c>
      <c r="AV4">
        <v>1.4128804564582473</v>
      </c>
      <c r="AW4">
        <v>1.4291192294546207</v>
      </c>
      <c r="AX4">
        <v>0.23671687749894751</v>
      </c>
      <c r="AY4">
        <v>6.0205246679233477</v>
      </c>
      <c r="AZ4">
        <v>5.6601016335584342</v>
      </c>
      <c r="BA4">
        <v>4.2013179890408221</v>
      </c>
      <c r="BB4">
        <v>3.0988674878105038</v>
      </c>
      <c r="BC4">
        <v>50.66</v>
      </c>
      <c r="BD4">
        <v>2248.27</v>
      </c>
      <c r="BE4">
        <v>52.5</v>
      </c>
      <c r="BF4">
        <v>1329.25</v>
      </c>
    </row>
    <row r="5" spans="1:58" x14ac:dyDescent="0.25">
      <c r="A5">
        <v>-0.89623580959967275</v>
      </c>
      <c r="B5">
        <v>-1.1476722633122678</v>
      </c>
      <c r="C5">
        <v>0.29874526986655764</v>
      </c>
      <c r="D5">
        <v>1.9712680128025499</v>
      </c>
      <c r="E5">
        <v>-0.89224345269148986</v>
      </c>
      <c r="F5">
        <v>-1.1411364640275905</v>
      </c>
      <c r="G5">
        <v>0.28530689824064809</v>
      </c>
      <c r="H5">
        <v>1.9909566744584692</v>
      </c>
      <c r="I5">
        <v>-0.301488828328626</v>
      </c>
      <c r="J5">
        <v>-0.63063630081447597</v>
      </c>
      <c r="K5">
        <v>-0.63063630081447597</v>
      </c>
      <c r="L5">
        <v>1.9679648542769534</v>
      </c>
      <c r="M5">
        <v>1.9679648542769534</v>
      </c>
      <c r="N5">
        <v>-0.89224345269148986</v>
      </c>
      <c r="O5">
        <v>-1.1411364640275905</v>
      </c>
      <c r="P5">
        <v>0</v>
      </c>
      <c r="Q5">
        <v>0</v>
      </c>
      <c r="R5">
        <v>-0.63063630081447597</v>
      </c>
      <c r="S5">
        <v>0</v>
      </c>
      <c r="T5">
        <v>-0.63063630081447597</v>
      </c>
      <c r="U5">
        <v>1.9679648542769534</v>
      </c>
      <c r="V5">
        <v>0</v>
      </c>
      <c r="W5">
        <v>0</v>
      </c>
      <c r="X5">
        <v>0.28530689824064809</v>
      </c>
      <c r="Y5">
        <v>1.9909566744584692</v>
      </c>
      <c r="Z5">
        <v>2.3093343683291243</v>
      </c>
      <c r="AA5">
        <v>2.4988677141762037</v>
      </c>
      <c r="AB5">
        <v>1.3584319813700811</v>
      </c>
      <c r="AC5">
        <v>2.509841494657465</v>
      </c>
      <c r="AD5">
        <v>2.3364172632963056</v>
      </c>
      <c r="AE5">
        <v>2.5306194863785985</v>
      </c>
      <c r="AF5">
        <v>1.2653820322847542</v>
      </c>
      <c r="AG5">
        <v>2.5418751485656808</v>
      </c>
      <c r="AH5">
        <v>0.49140148024291624</v>
      </c>
      <c r="AI5">
        <v>2.5536967579372076</v>
      </c>
      <c r="AJ5">
        <v>2.5536967579372076</v>
      </c>
      <c r="AK5">
        <v>2.1058584739258759</v>
      </c>
      <c r="AL5">
        <v>2.1058584739258759</v>
      </c>
      <c r="AM5">
        <v>0</v>
      </c>
      <c r="AN5">
        <v>0</v>
      </c>
      <c r="AO5">
        <v>0</v>
      </c>
      <c r="AP5">
        <v>0</v>
      </c>
      <c r="AQ5">
        <v>2.5536967579372076</v>
      </c>
      <c r="AR5">
        <v>2.1058584739258759</v>
      </c>
      <c r="AS5">
        <v>2.5536967579372076</v>
      </c>
      <c r="AT5">
        <v>2.1058584739258759</v>
      </c>
      <c r="AU5">
        <v>2.3364172632963056</v>
      </c>
      <c r="AV5">
        <v>2.5306194863785985</v>
      </c>
      <c r="AW5">
        <v>1.2653820322847542</v>
      </c>
      <c r="AX5">
        <v>2.5418751485656808</v>
      </c>
      <c r="AY5">
        <v>-0.89224345269148986</v>
      </c>
      <c r="AZ5">
        <v>-1.1411364640275905</v>
      </c>
      <c r="BA5">
        <v>0.28530689824064809</v>
      </c>
      <c r="BB5">
        <v>1.9909566744584692</v>
      </c>
      <c r="BC5">
        <v>50.21</v>
      </c>
      <c r="BD5">
        <v>2222.7600000000002</v>
      </c>
      <c r="BE5">
        <v>52.65</v>
      </c>
      <c r="BF5">
        <v>1355.98</v>
      </c>
    </row>
    <row r="6" spans="1:58" x14ac:dyDescent="0.25">
      <c r="A6">
        <v>0.77075098814229359</v>
      </c>
      <c r="B6">
        <v>0.76654181157445178</v>
      </c>
      <c r="C6">
        <v>-3.9525691699596875E-2</v>
      </c>
      <c r="D6">
        <v>0.49971015343522818</v>
      </c>
      <c r="E6">
        <v>0.77373662468056781</v>
      </c>
      <c r="F6">
        <v>0.76949484381618782</v>
      </c>
      <c r="G6">
        <v>-3.799392142967916E-2</v>
      </c>
      <c r="H6">
        <v>0.50096287969853848</v>
      </c>
      <c r="I6">
        <v>2.2946627565848541</v>
      </c>
      <c r="J6">
        <v>0.84001483609518857</v>
      </c>
      <c r="K6">
        <v>0.84001483609518857</v>
      </c>
      <c r="L6">
        <v>-0.40789815722141559</v>
      </c>
      <c r="M6">
        <v>-0.40789815722141559</v>
      </c>
      <c r="N6">
        <v>0</v>
      </c>
      <c r="O6">
        <v>0</v>
      </c>
      <c r="P6">
        <v>-3.799392142967916E-2</v>
      </c>
      <c r="Q6">
        <v>0</v>
      </c>
      <c r="R6">
        <v>0</v>
      </c>
      <c r="S6">
        <v>-0.40789815722141559</v>
      </c>
      <c r="T6">
        <v>0.84001483609518857</v>
      </c>
      <c r="U6">
        <v>-0.40789815722141559</v>
      </c>
      <c r="V6">
        <v>0.77373662468056781</v>
      </c>
      <c r="W6">
        <v>0.76949484381618782</v>
      </c>
      <c r="X6">
        <v>0</v>
      </c>
      <c r="Y6">
        <v>0.50096287969853848</v>
      </c>
      <c r="Z6">
        <v>1.6039717395455344</v>
      </c>
      <c r="AA6">
        <v>1.4366594983925145</v>
      </c>
      <c r="AB6">
        <v>-1.2984533129654376</v>
      </c>
      <c r="AC6">
        <v>-0.50941013098120447</v>
      </c>
      <c r="AD6">
        <v>1.6169745951263355</v>
      </c>
      <c r="AE6">
        <v>1.4470793700864406</v>
      </c>
      <c r="AF6">
        <v>-1.2290051675693086</v>
      </c>
      <c r="AG6">
        <v>-0.50811702718214091</v>
      </c>
      <c r="AH6">
        <v>-1.4129097077052879</v>
      </c>
      <c r="AI6">
        <v>1.7629976218810302</v>
      </c>
      <c r="AJ6">
        <v>1.7629976218810302</v>
      </c>
      <c r="AK6">
        <v>2.4322023712261807E-2</v>
      </c>
      <c r="AL6">
        <v>2.4322023712261807E-2</v>
      </c>
      <c r="AM6">
        <v>0</v>
      </c>
      <c r="AN6">
        <v>0</v>
      </c>
      <c r="AO6">
        <v>-1.2290051675693086</v>
      </c>
      <c r="AP6">
        <v>-0.50811702718214091</v>
      </c>
      <c r="AQ6">
        <v>1.7629976218810302</v>
      </c>
      <c r="AR6">
        <v>2.4322023712261807E-2</v>
      </c>
      <c r="AS6">
        <v>1.7629976218810302</v>
      </c>
      <c r="AT6">
        <v>2.4322023712261807E-2</v>
      </c>
      <c r="AU6">
        <v>1.6169745951263355</v>
      </c>
      <c r="AV6">
        <v>1.4470793700864406</v>
      </c>
      <c r="AW6">
        <v>0</v>
      </c>
      <c r="AX6">
        <v>0</v>
      </c>
      <c r="AY6">
        <v>0.77373662468056781</v>
      </c>
      <c r="AZ6">
        <v>0.76949484381618782</v>
      </c>
      <c r="BA6">
        <v>-3.799392142967916E-2</v>
      </c>
      <c r="BB6">
        <v>0.50096287969853848</v>
      </c>
      <c r="BC6">
        <v>50.6</v>
      </c>
      <c r="BD6">
        <v>2239.9299999999998</v>
      </c>
      <c r="BE6">
        <v>52.63</v>
      </c>
      <c r="BF6">
        <v>1362.79</v>
      </c>
    </row>
    <row r="7" spans="1:58" x14ac:dyDescent="0.25">
      <c r="A7">
        <v>-4.0082219938335104</v>
      </c>
      <c r="B7">
        <v>-3.766758391935586</v>
      </c>
      <c r="C7">
        <v>-4.9331963001027868</v>
      </c>
      <c r="D7">
        <v>-1.8923647456410522</v>
      </c>
      <c r="E7">
        <v>-3.9299767661405909</v>
      </c>
      <c r="F7">
        <v>-3.6975486747947151</v>
      </c>
      <c r="G7">
        <v>-4.6673841603734338</v>
      </c>
      <c r="H7">
        <v>-1.8746822538685715</v>
      </c>
      <c r="I7">
        <v>-3.0714024768784305</v>
      </c>
      <c r="J7">
        <v>-3.7501891768199869</v>
      </c>
      <c r="K7">
        <v>-3.7501891768199869</v>
      </c>
      <c r="L7">
        <v>-3.4774572247112236</v>
      </c>
      <c r="M7">
        <v>-3.4774572247112236</v>
      </c>
      <c r="N7">
        <v>-3.9299767661405909</v>
      </c>
      <c r="O7">
        <v>-3.6975486747947151</v>
      </c>
      <c r="P7">
        <v>-4.6673841603734338</v>
      </c>
      <c r="Q7">
        <v>-1.8746822538685715</v>
      </c>
      <c r="R7">
        <v>-3.7501891768199869</v>
      </c>
      <c r="S7">
        <v>-3.4774572247112236</v>
      </c>
      <c r="T7">
        <v>-3.7501891768199869</v>
      </c>
      <c r="U7">
        <v>-3.4774572247112236</v>
      </c>
      <c r="V7">
        <v>0</v>
      </c>
      <c r="W7">
        <v>0</v>
      </c>
      <c r="X7">
        <v>0</v>
      </c>
      <c r="Y7">
        <v>0</v>
      </c>
      <c r="Z7">
        <v>2.0938493176294717</v>
      </c>
      <c r="AA7">
        <v>2.2190230758253611</v>
      </c>
      <c r="AB7">
        <v>0.57954757898671749</v>
      </c>
      <c r="AC7">
        <v>0.37540930041782294</v>
      </c>
      <c r="AD7">
        <v>2.1160812251762402</v>
      </c>
      <c r="AE7">
        <v>2.2440137844603223</v>
      </c>
      <c r="AF7">
        <v>0.56215580085656069</v>
      </c>
      <c r="AG7">
        <v>0.37611572968701174</v>
      </c>
      <c r="AH7">
        <v>-0.55011312875733431</v>
      </c>
      <c r="AI7">
        <v>2.0197753522055062</v>
      </c>
      <c r="AJ7">
        <v>2.0197753522055062</v>
      </c>
      <c r="AK7">
        <v>-1.0430342278872446</v>
      </c>
      <c r="AL7">
        <v>-1.0430342278872446</v>
      </c>
      <c r="AM7">
        <v>0</v>
      </c>
      <c r="AN7">
        <v>0</v>
      </c>
      <c r="AO7">
        <v>0</v>
      </c>
      <c r="AP7">
        <v>0</v>
      </c>
      <c r="AQ7">
        <v>2.0197753522055062</v>
      </c>
      <c r="AR7">
        <v>-1.0430342278872446</v>
      </c>
      <c r="AS7">
        <v>2.0197753522055062</v>
      </c>
      <c r="AT7">
        <v>-1.0430342278872446</v>
      </c>
      <c r="AU7">
        <v>2.1160812251762402</v>
      </c>
      <c r="AV7">
        <v>2.2440137844603223</v>
      </c>
      <c r="AW7">
        <v>0.56215580085656069</v>
      </c>
      <c r="AX7">
        <v>0.37611572968701174</v>
      </c>
      <c r="AY7">
        <v>-3.9299767661405909</v>
      </c>
      <c r="AZ7">
        <v>-3.6975486747947151</v>
      </c>
      <c r="BA7">
        <v>-4.6673841603734338</v>
      </c>
      <c r="BB7">
        <v>-1.8746822538685715</v>
      </c>
      <c r="BC7">
        <v>48.65</v>
      </c>
      <c r="BD7">
        <v>2158.62</v>
      </c>
      <c r="BE7">
        <v>50.23</v>
      </c>
      <c r="BF7">
        <v>1337.48</v>
      </c>
    </row>
    <row r="8" spans="1:58" x14ac:dyDescent="0.25">
      <c r="A8">
        <v>0.85592011412268543</v>
      </c>
      <c r="B8">
        <v>0.83835966318613431</v>
      </c>
      <c r="C8">
        <v>3.0364785001018992</v>
      </c>
      <c r="D8">
        <v>1.3024580667537498</v>
      </c>
      <c r="E8">
        <v>0.85960414697980381</v>
      </c>
      <c r="F8">
        <v>0.84189366342668859</v>
      </c>
      <c r="G8">
        <v>2.9232096141703492</v>
      </c>
      <c r="H8">
        <v>1.31101442838392</v>
      </c>
      <c r="I8">
        <v>-0.13321916519672172</v>
      </c>
      <c r="J8">
        <v>0.68042936864627257</v>
      </c>
      <c r="K8">
        <v>0.68042936864627257</v>
      </c>
      <c r="L8">
        <v>3.2598103360263893</v>
      </c>
      <c r="M8">
        <v>3.2598103360263893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0.68042936864627257</v>
      </c>
      <c r="U8">
        <v>3.2598103360263893</v>
      </c>
      <c r="V8">
        <v>0.85960414697980381</v>
      </c>
      <c r="W8">
        <v>0.84189366342668859</v>
      </c>
      <c r="X8">
        <v>2.9232096141703492</v>
      </c>
      <c r="Y8">
        <v>1.31101442838392</v>
      </c>
      <c r="Z8">
        <v>2.6037873270211209</v>
      </c>
      <c r="AA8">
        <v>2.4144696153641476</v>
      </c>
      <c r="AB8">
        <v>1.9664967225054724</v>
      </c>
      <c r="AC8">
        <v>0.18181187328683188</v>
      </c>
      <c r="AD8">
        <v>2.6382860356611539</v>
      </c>
      <c r="AE8">
        <v>2.4440957815573188</v>
      </c>
      <c r="AF8">
        <v>1.9341577157677508</v>
      </c>
      <c r="AG8">
        <v>0.18197735167650583</v>
      </c>
      <c r="AH8">
        <v>-0.95263559268293652</v>
      </c>
      <c r="AI8">
        <v>2.9160200166192762</v>
      </c>
      <c r="AJ8">
        <v>2.9160200166192762</v>
      </c>
      <c r="AK8">
        <v>1.5524349655603733</v>
      </c>
      <c r="AL8">
        <v>1.5524349655603733</v>
      </c>
      <c r="AM8">
        <v>0</v>
      </c>
      <c r="AN8">
        <v>0</v>
      </c>
      <c r="AO8">
        <v>0</v>
      </c>
      <c r="AP8">
        <v>0</v>
      </c>
      <c r="AQ8">
        <v>2.9160200166192762</v>
      </c>
      <c r="AR8">
        <v>1.5524349655603733</v>
      </c>
      <c r="AS8">
        <v>2.9160200166192762</v>
      </c>
      <c r="AT8">
        <v>1.5524349655603733</v>
      </c>
      <c r="AU8">
        <v>2.6382860356611539</v>
      </c>
      <c r="AV8">
        <v>2.4440957815573188</v>
      </c>
      <c r="AW8">
        <v>1.9341577157677508</v>
      </c>
      <c r="AX8">
        <v>0.18197735167650583</v>
      </c>
      <c r="AY8">
        <v>0.85960414697980381</v>
      </c>
      <c r="AZ8">
        <v>0.84189366342668859</v>
      </c>
      <c r="BA8">
        <v>2.9232096141703492</v>
      </c>
      <c r="BB8">
        <v>1.31101442838392</v>
      </c>
      <c r="BC8">
        <v>49.07</v>
      </c>
      <c r="BD8">
        <v>2176.87</v>
      </c>
      <c r="BE8">
        <v>51.72</v>
      </c>
      <c r="BF8">
        <v>1355.13</v>
      </c>
    </row>
    <row r="9" spans="1:58" x14ac:dyDescent="0.25">
      <c r="A9">
        <v>-0.4709254709254645</v>
      </c>
      <c r="B9">
        <v>-0.82676399477540319</v>
      </c>
      <c r="C9">
        <v>0.69615069615070313</v>
      </c>
      <c r="D9">
        <v>1.6139571353894255</v>
      </c>
      <c r="E9">
        <v>-0.46982008593079844</v>
      </c>
      <c r="F9">
        <v>-0.82336502272740331</v>
      </c>
      <c r="G9">
        <v>0.65523456627626531</v>
      </c>
      <c r="H9">
        <v>1.6271232797045354</v>
      </c>
      <c r="I9">
        <v>1.9612169243989883</v>
      </c>
      <c r="J9">
        <v>-0.66178764334710349</v>
      </c>
      <c r="K9">
        <v>-0.66178764334710349</v>
      </c>
      <c r="L9">
        <v>2.0701101487911222</v>
      </c>
      <c r="M9">
        <v>2.0701101487911222</v>
      </c>
      <c r="N9">
        <v>-0.46982008593079844</v>
      </c>
      <c r="O9">
        <v>-0.82336502272740331</v>
      </c>
      <c r="P9">
        <v>0</v>
      </c>
      <c r="Q9">
        <v>0</v>
      </c>
      <c r="R9">
        <v>-0.66178764334710349</v>
      </c>
      <c r="S9">
        <v>0</v>
      </c>
      <c r="T9">
        <v>-0.66178764334710349</v>
      </c>
      <c r="U9">
        <v>2.0701101487911222</v>
      </c>
      <c r="V9">
        <v>0</v>
      </c>
      <c r="W9">
        <v>0</v>
      </c>
      <c r="X9">
        <v>0.65523456627626531</v>
      </c>
      <c r="Y9">
        <v>1.6271232797045354</v>
      </c>
      <c r="Z9">
        <v>1.2585400934915421</v>
      </c>
      <c r="AA9">
        <v>1.4323720937743496</v>
      </c>
      <c r="AB9">
        <v>-0.73714491190220011</v>
      </c>
      <c r="AC9">
        <v>3.537834013152355E-2</v>
      </c>
      <c r="AD9">
        <v>1.2665267906048308</v>
      </c>
      <c r="AE9">
        <v>1.4427295668531233</v>
      </c>
      <c r="AF9">
        <v>-0.72986527826983905</v>
      </c>
      <c r="AG9">
        <v>3.5384599742681967E-2</v>
      </c>
      <c r="AH9">
        <v>2.3902780155142014</v>
      </c>
      <c r="AI9">
        <v>1.4379806900181613</v>
      </c>
      <c r="AJ9">
        <v>1.4379806900181613</v>
      </c>
      <c r="AK9">
        <v>-0.58238456283225737</v>
      </c>
      <c r="AL9">
        <v>-0.58238456283225737</v>
      </c>
      <c r="AM9">
        <v>0</v>
      </c>
      <c r="AN9">
        <v>0</v>
      </c>
      <c r="AO9">
        <v>-0.72986527826983905</v>
      </c>
      <c r="AP9">
        <v>0</v>
      </c>
      <c r="AQ9">
        <v>1.4379806900181613</v>
      </c>
      <c r="AR9">
        <v>-0.58238456283225737</v>
      </c>
      <c r="AS9">
        <v>1.4379806900181613</v>
      </c>
      <c r="AT9">
        <v>-0.58238456283225737</v>
      </c>
      <c r="AU9">
        <v>1.2665267906048308</v>
      </c>
      <c r="AV9">
        <v>1.4427295668531233</v>
      </c>
      <c r="AW9">
        <v>0</v>
      </c>
      <c r="AX9">
        <v>3.5384599742681967E-2</v>
      </c>
      <c r="AY9">
        <v>-0.46982008593079844</v>
      </c>
      <c r="AZ9">
        <v>-0.82336502272740331</v>
      </c>
      <c r="BA9">
        <v>0.65523456627626531</v>
      </c>
      <c r="BB9">
        <v>1.6271232797045354</v>
      </c>
      <c r="BC9">
        <v>48.84</v>
      </c>
      <c r="BD9">
        <v>2159.02</v>
      </c>
      <c r="BE9">
        <v>52.06</v>
      </c>
      <c r="BF9">
        <v>1377.36</v>
      </c>
    </row>
    <row r="10" spans="1:58" x14ac:dyDescent="0.25">
      <c r="A10">
        <v>4.0094339622641497</v>
      </c>
      <c r="B10">
        <v>3.8371259191954326</v>
      </c>
      <c r="C10">
        <v>2.4371069182389835</v>
      </c>
      <c r="D10">
        <v>1.0424824157428489</v>
      </c>
      <c r="E10">
        <v>4.0920269789362731</v>
      </c>
      <c r="F10">
        <v>3.9126827120345222</v>
      </c>
      <c r="G10">
        <v>2.3539431605379546</v>
      </c>
      <c r="H10">
        <v>1.0479543260357762</v>
      </c>
      <c r="I10">
        <v>-2.1900063473629574</v>
      </c>
      <c r="J10">
        <v>3.8245189807128668</v>
      </c>
      <c r="K10">
        <v>3.8245189807128668</v>
      </c>
      <c r="L10">
        <v>1.6257767063607911</v>
      </c>
      <c r="M10">
        <v>1.6257767063607911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3.8245189807128668</v>
      </c>
      <c r="U10">
        <v>1.6257767063607911</v>
      </c>
      <c r="V10">
        <v>4.0920269789362731</v>
      </c>
      <c r="W10">
        <v>3.9126827120345222</v>
      </c>
      <c r="X10">
        <v>2.3539431605379546</v>
      </c>
      <c r="Y10">
        <v>1.0479543260357762</v>
      </c>
      <c r="Z10">
        <v>-1.1640596580574765</v>
      </c>
      <c r="AA10">
        <v>-0.9590459266022221</v>
      </c>
      <c r="AB10">
        <v>-1.6733357584576243</v>
      </c>
      <c r="AC10">
        <v>-3.7145755541645897</v>
      </c>
      <c r="AD10">
        <v>-1.1573366068719169</v>
      </c>
      <c r="AE10">
        <v>-0.95447627463151274</v>
      </c>
      <c r="AF10">
        <v>-1.6573969734579328</v>
      </c>
      <c r="AG10">
        <v>-3.6472474376869615</v>
      </c>
      <c r="AH10">
        <v>-2.1990235018567468</v>
      </c>
      <c r="AI10">
        <v>-1.2112475912636742</v>
      </c>
      <c r="AJ10">
        <v>-1.2112475912636742</v>
      </c>
      <c r="AK10">
        <v>-2.9722683601542297</v>
      </c>
      <c r="AL10">
        <v>-2.9722683601542297</v>
      </c>
      <c r="AM10">
        <v>-1.1573366068719169</v>
      </c>
      <c r="AN10">
        <v>-0.95447627463151274</v>
      </c>
      <c r="AO10">
        <v>-1.6573969734579328</v>
      </c>
      <c r="AP10">
        <v>-3.6472474376869615</v>
      </c>
      <c r="AQ10">
        <v>-1.2112475912636742</v>
      </c>
      <c r="AR10">
        <v>-2.9722683601542297</v>
      </c>
      <c r="AS10">
        <v>-1.2112475912636742</v>
      </c>
      <c r="AT10">
        <v>-2.9722683601542297</v>
      </c>
      <c r="AU10">
        <v>0</v>
      </c>
      <c r="AV10">
        <v>0</v>
      </c>
      <c r="AW10">
        <v>0</v>
      </c>
      <c r="AX10">
        <v>0</v>
      </c>
      <c r="AY10">
        <v>4.0920269789362731</v>
      </c>
      <c r="AZ10">
        <v>3.9126827120345222</v>
      </c>
      <c r="BA10">
        <v>2.3539431605379546</v>
      </c>
      <c r="BB10">
        <v>1.0479543260357762</v>
      </c>
      <c r="BC10">
        <v>50.88</v>
      </c>
      <c r="BD10">
        <v>2245.17</v>
      </c>
      <c r="BE10">
        <v>53.3</v>
      </c>
      <c r="BF10">
        <v>1391.87</v>
      </c>
    </row>
    <row r="11" spans="1:58" x14ac:dyDescent="0.25">
      <c r="A11">
        <v>-3.100303951367783</v>
      </c>
      <c r="B11">
        <v>-3.1091128695228996</v>
      </c>
      <c r="C11">
        <v>-0.44579533941235833</v>
      </c>
      <c r="D11">
        <v>-1.4682189643734462</v>
      </c>
      <c r="E11">
        <v>-3.0532153152376158</v>
      </c>
      <c r="F11">
        <v>-3.0617589775943364</v>
      </c>
      <c r="G11">
        <v>-0.41361217077920565</v>
      </c>
      <c r="H11">
        <v>-1.4575449811943197</v>
      </c>
      <c r="I11">
        <v>3.1748698314580484</v>
      </c>
      <c r="J11">
        <v>-3.5178091770130608</v>
      </c>
      <c r="K11">
        <v>-3.5178091770130608</v>
      </c>
      <c r="L11">
        <v>-1.3785156348254293</v>
      </c>
      <c r="M11">
        <v>-1.3785156348254293</v>
      </c>
      <c r="N11">
        <v>-3.0532153152376158</v>
      </c>
      <c r="O11">
        <v>-3.0617589775943364</v>
      </c>
      <c r="P11">
        <v>-0.41361217077920565</v>
      </c>
      <c r="Q11">
        <v>-1.4575449811943197</v>
      </c>
      <c r="R11">
        <v>-3.5178091770130608</v>
      </c>
      <c r="S11">
        <v>-1.3785156348254293</v>
      </c>
      <c r="T11">
        <v>-3.5178091770130608</v>
      </c>
      <c r="U11">
        <v>-1.3785156348254293</v>
      </c>
      <c r="V11">
        <v>0</v>
      </c>
      <c r="W11">
        <v>0</v>
      </c>
      <c r="X11">
        <v>0</v>
      </c>
      <c r="Y11">
        <v>0</v>
      </c>
      <c r="Z11">
        <v>1.0973196618096899</v>
      </c>
      <c r="AA11">
        <v>1.0613759174127011</v>
      </c>
      <c r="AB11">
        <v>-2.4284943335132114</v>
      </c>
      <c r="AC11">
        <v>-1.3304852443718651</v>
      </c>
      <c r="AD11">
        <v>1.1033846228278632</v>
      </c>
      <c r="AE11">
        <v>1.0670486869142841</v>
      </c>
      <c r="AF11">
        <v>-2.4828861653869883</v>
      </c>
      <c r="AG11">
        <v>-1.3217120213968483</v>
      </c>
      <c r="AH11">
        <v>3.532489120881948</v>
      </c>
      <c r="AI11">
        <v>1.7406998065022721</v>
      </c>
      <c r="AJ11">
        <v>1.7406998065022721</v>
      </c>
      <c r="AK11">
        <v>-1.9408254127159477</v>
      </c>
      <c r="AL11">
        <v>-1.9408254127159477</v>
      </c>
      <c r="AM11">
        <v>0</v>
      </c>
      <c r="AN11">
        <v>0</v>
      </c>
      <c r="AO11">
        <v>-2.4828861653869883</v>
      </c>
      <c r="AP11">
        <v>-1.3217120213968483</v>
      </c>
      <c r="AQ11">
        <v>1.7406998065022721</v>
      </c>
      <c r="AR11">
        <v>-1.9408254127159477</v>
      </c>
      <c r="AS11">
        <v>1.7406998065022721</v>
      </c>
      <c r="AT11">
        <v>-1.9408254127159477</v>
      </c>
      <c r="AU11">
        <v>1.1033846228278632</v>
      </c>
      <c r="AV11">
        <v>1.0670486869142841</v>
      </c>
      <c r="AW11">
        <v>0</v>
      </c>
      <c r="AX11">
        <v>0</v>
      </c>
      <c r="AY11">
        <v>-3.0532153152376158</v>
      </c>
      <c r="AZ11">
        <v>-3.0617589775943364</v>
      </c>
      <c r="BA11">
        <v>-0.41361217077920565</v>
      </c>
      <c r="BB11">
        <v>-1.4575449811943197</v>
      </c>
      <c r="BC11">
        <v>49.35</v>
      </c>
      <c r="BD11">
        <v>2177.4699999999998</v>
      </c>
      <c r="BE11">
        <v>53.08</v>
      </c>
      <c r="BF11">
        <v>1371.73</v>
      </c>
    </row>
    <row r="12" spans="1:58" x14ac:dyDescent="0.25">
      <c r="A12">
        <v>1.3197360527894353</v>
      </c>
      <c r="B12">
        <v>1.3818059946195262</v>
      </c>
      <c r="C12">
        <v>0.77984403119376244</v>
      </c>
      <c r="D12">
        <v>1.3846253387874816</v>
      </c>
      <c r="E12">
        <v>1.3285219551321661</v>
      </c>
      <c r="F12">
        <v>1.3914418020706092</v>
      </c>
      <c r="G12">
        <v>0.73205394966334247</v>
      </c>
      <c r="H12">
        <v>1.3943006908360454</v>
      </c>
      <c r="I12">
        <v>2.5558163711922184</v>
      </c>
      <c r="J12">
        <v>1.7457923934878101</v>
      </c>
      <c r="K12">
        <v>1.7457923934878101</v>
      </c>
      <c r="L12">
        <v>1.3449134839716155</v>
      </c>
      <c r="M12">
        <v>1.3449134839716155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1.7457923934878101</v>
      </c>
      <c r="U12">
        <v>1.3449134839716155</v>
      </c>
      <c r="V12">
        <v>1.3285219551321661</v>
      </c>
      <c r="W12">
        <v>1.3914418020706092</v>
      </c>
      <c r="X12">
        <v>0.73205394966334247</v>
      </c>
      <c r="Y12">
        <v>1.3943006908360454</v>
      </c>
      <c r="Z12">
        <v>2.8656299143805586</v>
      </c>
      <c r="AA12">
        <v>2.8238226234981521</v>
      </c>
      <c r="AB12">
        <v>-0.41936047527520881</v>
      </c>
      <c r="AC12">
        <v>-3.5402104500369944</v>
      </c>
      <c r="AD12">
        <v>2.9074907455632673</v>
      </c>
      <c r="AE12">
        <v>2.8644593279963231</v>
      </c>
      <c r="AF12">
        <v>-0.44792908040460566</v>
      </c>
      <c r="AG12">
        <v>-3.4789858031763239</v>
      </c>
      <c r="AH12">
        <v>-1.1467242015456542</v>
      </c>
      <c r="AI12">
        <v>3.6020817615466818</v>
      </c>
      <c r="AJ12">
        <v>3.6020817615466818</v>
      </c>
      <c r="AK12">
        <v>-1.19145968661144</v>
      </c>
      <c r="AL12">
        <v>-1.19145968661144</v>
      </c>
      <c r="AM12">
        <v>0</v>
      </c>
      <c r="AN12">
        <v>0</v>
      </c>
      <c r="AO12">
        <v>-0.44792908040460566</v>
      </c>
      <c r="AP12">
        <v>-3.4789858031763239</v>
      </c>
      <c r="AQ12">
        <v>3.6020817615466818</v>
      </c>
      <c r="AR12">
        <v>-1.19145968661144</v>
      </c>
      <c r="AS12">
        <v>3.6020817615466818</v>
      </c>
      <c r="AT12">
        <v>-1.19145968661144</v>
      </c>
      <c r="AU12">
        <v>2.9074907455632673</v>
      </c>
      <c r="AV12">
        <v>2.8644593279963231</v>
      </c>
      <c r="AW12">
        <v>0</v>
      </c>
      <c r="AX12">
        <v>0</v>
      </c>
      <c r="AY12">
        <v>1.3285219551321661</v>
      </c>
      <c r="AZ12">
        <v>1.3914418020706092</v>
      </c>
      <c r="BA12">
        <v>0.73205394966334247</v>
      </c>
      <c r="BB12">
        <v>1.3943006908360454</v>
      </c>
      <c r="BC12">
        <v>50.01</v>
      </c>
      <c r="BD12">
        <v>2207.98</v>
      </c>
      <c r="BE12">
        <v>53.47</v>
      </c>
      <c r="BF12">
        <v>1390.99</v>
      </c>
    </row>
    <row r="13" spans="1:58" x14ac:dyDescent="0.25">
      <c r="A13">
        <v>-0.86728519564340401</v>
      </c>
      <c r="B13">
        <v>-0.68996967416832478</v>
      </c>
      <c r="C13">
        <v>-0.40338846308994702</v>
      </c>
      <c r="D13">
        <v>0.67833401166734497</v>
      </c>
      <c r="E13">
        <v>-0.86354588237678409</v>
      </c>
      <c r="F13">
        <v>-0.68760027592132611</v>
      </c>
      <c r="G13">
        <v>-0.37474280317323561</v>
      </c>
      <c r="H13">
        <v>0.68064515426461836</v>
      </c>
      <c r="I13">
        <v>0.5930469353711405</v>
      </c>
      <c r="J13">
        <v>-0.96942932187900954</v>
      </c>
      <c r="K13">
        <v>-0.96942932187900954</v>
      </c>
      <c r="L13">
        <v>0.43594971794021498</v>
      </c>
      <c r="M13">
        <v>0.43594971794021498</v>
      </c>
      <c r="N13">
        <v>-0.86354588237678409</v>
      </c>
      <c r="O13">
        <v>-0.68760027592132611</v>
      </c>
      <c r="P13">
        <v>-0.37474280317323561</v>
      </c>
      <c r="Q13">
        <v>0</v>
      </c>
      <c r="R13">
        <v>-0.96942932187900954</v>
      </c>
      <c r="S13">
        <v>0</v>
      </c>
      <c r="T13">
        <v>-0.96942932187900954</v>
      </c>
      <c r="U13">
        <v>0.43594971794021498</v>
      </c>
      <c r="V13">
        <v>0</v>
      </c>
      <c r="W13">
        <v>0</v>
      </c>
      <c r="X13">
        <v>0</v>
      </c>
      <c r="Y13">
        <v>0.68064515426461836</v>
      </c>
      <c r="Z13">
        <v>-5.2447552447542005E-2</v>
      </c>
      <c r="AA13">
        <v>0.40044962765209136</v>
      </c>
      <c r="AB13">
        <v>0.43706293706293703</v>
      </c>
      <c r="AC13">
        <v>2.2958750949546878</v>
      </c>
      <c r="AD13">
        <v>-5.2433803525854292E-2</v>
      </c>
      <c r="AE13">
        <v>0.40125357415847168</v>
      </c>
      <c r="AF13">
        <v>0.46654932065950716</v>
      </c>
      <c r="AG13">
        <v>2.3226407717544926</v>
      </c>
      <c r="AH13">
        <v>-1.1085642647016498</v>
      </c>
      <c r="AI13">
        <v>-0.15882524042515353</v>
      </c>
      <c r="AJ13">
        <v>-0.15882524042515353</v>
      </c>
      <c r="AK13">
        <v>1.7353087497052881</v>
      </c>
      <c r="AL13">
        <v>1.7353087497052881</v>
      </c>
      <c r="AM13">
        <v>-5.2433803525854292E-2</v>
      </c>
      <c r="AN13">
        <v>0</v>
      </c>
      <c r="AO13">
        <v>0</v>
      </c>
      <c r="AP13">
        <v>0</v>
      </c>
      <c r="AQ13">
        <v>-0.15882524042515353</v>
      </c>
      <c r="AR13">
        <v>1.7353087497052881</v>
      </c>
      <c r="AS13">
        <v>-0.15882524042515353</v>
      </c>
      <c r="AT13">
        <v>1.7353087497052881</v>
      </c>
      <c r="AU13">
        <v>0</v>
      </c>
      <c r="AV13">
        <v>0.40125357415847168</v>
      </c>
      <c r="AW13">
        <v>0.46654932065950716</v>
      </c>
      <c r="AX13">
        <v>2.3226407717544926</v>
      </c>
      <c r="AY13">
        <v>-0.86354588237678409</v>
      </c>
      <c r="AZ13">
        <v>-0.68760027592132611</v>
      </c>
      <c r="BA13">
        <v>-0.37474280317323561</v>
      </c>
      <c r="BB13">
        <v>0.68064515426461836</v>
      </c>
      <c r="BC13">
        <v>49.58</v>
      </c>
      <c r="BD13">
        <v>2192.85</v>
      </c>
      <c r="BE13">
        <v>53.27</v>
      </c>
      <c r="BF13">
        <v>1400.49</v>
      </c>
    </row>
    <row r="14" spans="1:58" x14ac:dyDescent="0.25">
      <c r="A14">
        <v>-2.0584602717167559</v>
      </c>
      <c r="B14">
        <v>-2.2426856276955314</v>
      </c>
      <c r="C14">
        <v>-0.78221490325237253</v>
      </c>
      <c r="D14">
        <v>-1.4450867052023153</v>
      </c>
      <c r="E14">
        <v>-2.0375603033017993</v>
      </c>
      <c r="F14">
        <v>-2.2179072172659868</v>
      </c>
      <c r="G14">
        <v>-0.71590358510192342</v>
      </c>
      <c r="H14">
        <v>-1.4347448408141541</v>
      </c>
      <c r="I14">
        <v>3.4689630237746836</v>
      </c>
      <c r="J14">
        <v>-2.3188865505407614</v>
      </c>
      <c r="K14">
        <v>-2.3188865505407614</v>
      </c>
      <c r="L14">
        <v>-0.88224745674595584</v>
      </c>
      <c r="M14">
        <v>-0.88224745674595584</v>
      </c>
      <c r="N14">
        <v>-2.0375603033017993</v>
      </c>
      <c r="O14">
        <v>-2.2179072172659868</v>
      </c>
      <c r="P14">
        <v>-0.71590358510192342</v>
      </c>
      <c r="Q14">
        <v>-1.4347448408141541</v>
      </c>
      <c r="R14">
        <v>-2.3188865505407614</v>
      </c>
      <c r="S14">
        <v>-0.88224745674595584</v>
      </c>
      <c r="T14">
        <v>-2.3188865505407614</v>
      </c>
      <c r="U14">
        <v>-0.88224745674595584</v>
      </c>
      <c r="V14">
        <v>0</v>
      </c>
      <c r="W14">
        <v>0</v>
      </c>
      <c r="X14">
        <v>0</v>
      </c>
      <c r="Y14">
        <v>0</v>
      </c>
      <c r="Z14">
        <v>0.53903668927142268</v>
      </c>
      <c r="AA14">
        <v>0.75803059236392301</v>
      </c>
      <c r="AB14">
        <v>-2.0344287949921784</v>
      </c>
      <c r="AC14">
        <v>7.0751066793414918E-2</v>
      </c>
      <c r="AD14">
        <v>0.54049473399104242</v>
      </c>
      <c r="AE14">
        <v>0.7609182463816051</v>
      </c>
      <c r="AF14">
        <v>-2.2024419659974197</v>
      </c>
      <c r="AG14">
        <v>7.0776107172264804E-2</v>
      </c>
      <c r="AH14">
        <v>-0.60204877815830249</v>
      </c>
      <c r="AI14">
        <v>0.95338100233176115</v>
      </c>
      <c r="AJ14">
        <v>0.95338100233176115</v>
      </c>
      <c r="AK14">
        <v>-1.1849590933423284</v>
      </c>
      <c r="AL14">
        <v>-1.1849590933423284</v>
      </c>
      <c r="AM14">
        <v>0</v>
      </c>
      <c r="AN14">
        <v>0</v>
      </c>
      <c r="AO14">
        <v>-2.2024419659974197</v>
      </c>
      <c r="AP14">
        <v>0</v>
      </c>
      <c r="AQ14">
        <v>0.95338100233176115</v>
      </c>
      <c r="AR14">
        <v>-1.1849590933423284</v>
      </c>
      <c r="AS14">
        <v>0.95338100233176115</v>
      </c>
      <c r="AT14">
        <v>-1.1849590933423284</v>
      </c>
      <c r="AU14">
        <v>0.54049473399104242</v>
      </c>
      <c r="AV14">
        <v>0.7609182463816051</v>
      </c>
      <c r="AW14">
        <v>0</v>
      </c>
      <c r="AX14">
        <v>7.0776107172264804E-2</v>
      </c>
      <c r="AY14">
        <v>-2.0375603033017993</v>
      </c>
      <c r="AZ14">
        <v>-2.2179072172659868</v>
      </c>
      <c r="BA14">
        <v>-0.71590358510192342</v>
      </c>
      <c r="BB14">
        <v>-1.4347448408141541</v>
      </c>
      <c r="BC14">
        <v>48.58</v>
      </c>
      <c r="BD14">
        <v>2144.75</v>
      </c>
      <c r="BE14">
        <v>52.89</v>
      </c>
      <c r="BF14">
        <v>1380.54</v>
      </c>
    </row>
    <row r="15" spans="1:58" x14ac:dyDescent="0.25">
      <c r="A15">
        <v>-1.5043877977434161</v>
      </c>
      <c r="B15">
        <v>-1.3529478479481367</v>
      </c>
      <c r="C15">
        <v>-1.567070622649394</v>
      </c>
      <c r="D15">
        <v>-0.12329204258652532</v>
      </c>
      <c r="E15">
        <v>-1.4931841093799181</v>
      </c>
      <c r="F15">
        <v>-1.343877230783264</v>
      </c>
      <c r="G15">
        <v>-1.4281876572532854</v>
      </c>
      <c r="H15">
        <v>-0.12321610036177108</v>
      </c>
      <c r="I15">
        <v>3.1516108096925386</v>
      </c>
      <c r="J15">
        <v>-1.5036665327066834</v>
      </c>
      <c r="K15">
        <v>-1.5036665327066834</v>
      </c>
      <c r="L15">
        <v>-1.3851931702357678</v>
      </c>
      <c r="M15">
        <v>-1.3851931702357678</v>
      </c>
      <c r="N15">
        <v>-1.4931841093799181</v>
      </c>
      <c r="O15">
        <v>-1.343877230783264</v>
      </c>
      <c r="P15">
        <v>-1.4281876572532854</v>
      </c>
      <c r="Q15">
        <v>-0.12321610036177108</v>
      </c>
      <c r="R15">
        <v>-1.5036665327066834</v>
      </c>
      <c r="S15">
        <v>-1.3851931702357678</v>
      </c>
      <c r="T15">
        <v>-1.5036665327066834</v>
      </c>
      <c r="U15">
        <v>-1.3851931702357678</v>
      </c>
      <c r="V15">
        <v>0</v>
      </c>
      <c r="W15">
        <v>0</v>
      </c>
      <c r="X15">
        <v>0</v>
      </c>
      <c r="Y15">
        <v>0</v>
      </c>
      <c r="Z15">
        <v>-8.8792124195380495</v>
      </c>
      <c r="AA15">
        <v>-8.1784698157560545</v>
      </c>
      <c r="AB15">
        <v>-8.0083301779628879</v>
      </c>
      <c r="AC15">
        <v>-4.2567250877853393</v>
      </c>
      <c r="AD15">
        <v>-8.5068938856676635</v>
      </c>
      <c r="AE15">
        <v>-7.8612175557185138</v>
      </c>
      <c r="AF15">
        <v>-8.3936205691078438</v>
      </c>
      <c r="AG15">
        <v>-4.1686181845539227</v>
      </c>
      <c r="AH15">
        <v>-9.0593920653526503</v>
      </c>
      <c r="AI15">
        <v>-9.4037112180908338</v>
      </c>
      <c r="AJ15">
        <v>-9.4037112180908338</v>
      </c>
      <c r="AK15">
        <v>-7.8279120638260551</v>
      </c>
      <c r="AL15">
        <v>-7.8279120638260551</v>
      </c>
      <c r="AM15">
        <v>-8.5068938856676635</v>
      </c>
      <c r="AN15">
        <v>-7.8612175557185138</v>
      </c>
      <c r="AO15">
        <v>-8.3936205691078438</v>
      </c>
      <c r="AP15">
        <v>-4.1686181845539227</v>
      </c>
      <c r="AQ15">
        <v>-9.4037112180908338</v>
      </c>
      <c r="AR15">
        <v>-7.8279120638260551</v>
      </c>
      <c r="AS15">
        <v>-9.4037112180908338</v>
      </c>
      <c r="AT15">
        <v>-7.8279120638260551</v>
      </c>
      <c r="AU15">
        <v>0</v>
      </c>
      <c r="AV15">
        <v>0</v>
      </c>
      <c r="AW15">
        <v>0</v>
      </c>
      <c r="AX15">
        <v>0</v>
      </c>
      <c r="AY15">
        <v>-1.4931841093799181</v>
      </c>
      <c r="AZ15">
        <v>-1.343877230783264</v>
      </c>
      <c r="BA15">
        <v>-1.4281876572532854</v>
      </c>
      <c r="BB15">
        <v>-0.12321610036177108</v>
      </c>
      <c r="BC15">
        <v>47.86</v>
      </c>
      <c r="BD15">
        <v>2116.12</v>
      </c>
      <c r="BE15">
        <v>52.14</v>
      </c>
      <c r="BF15">
        <v>1378.84</v>
      </c>
    </row>
    <row r="16" spans="1:58" x14ac:dyDescent="0.25">
      <c r="A16">
        <v>3.3131313131313145</v>
      </c>
      <c r="B16">
        <v>3.5373703116167929</v>
      </c>
      <c r="C16">
        <v>4.1414141414141357</v>
      </c>
      <c r="D16">
        <v>2.3754062263256026</v>
      </c>
      <c r="E16">
        <v>3.3692587094417332</v>
      </c>
      <c r="F16">
        <v>3.6014509761752014</v>
      </c>
      <c r="G16">
        <v>3.8563981072667128</v>
      </c>
      <c r="H16">
        <v>2.4040738926021459</v>
      </c>
      <c r="I16">
        <v>-5.232651198058214</v>
      </c>
      <c r="J16">
        <v>3.3376043850483463</v>
      </c>
      <c r="K16">
        <v>3.3376043850483463</v>
      </c>
      <c r="L16">
        <v>2.9261331323780118</v>
      </c>
      <c r="M16">
        <v>2.9261331323780118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3.3376043850483463</v>
      </c>
      <c r="U16">
        <v>2.9261331323780118</v>
      </c>
      <c r="V16">
        <v>3.3692587094417332</v>
      </c>
      <c r="W16">
        <v>3.6014509761752014</v>
      </c>
      <c r="X16">
        <v>3.8563981072667128</v>
      </c>
      <c r="Y16">
        <v>2.4040738926021459</v>
      </c>
      <c r="Z16">
        <v>2.0400593471810113</v>
      </c>
      <c r="AA16">
        <v>1.8345529408377206</v>
      </c>
      <c r="AB16">
        <v>4.2655786350148315</v>
      </c>
      <c r="AC16">
        <v>-3.5567367139572115</v>
      </c>
      <c r="AD16">
        <v>2.0611559735065366</v>
      </c>
      <c r="AE16">
        <v>1.8515895487281804</v>
      </c>
      <c r="AF16">
        <v>4.6510606659671287</v>
      </c>
      <c r="AG16">
        <v>-3.4949457332299545</v>
      </c>
      <c r="AH16">
        <v>-0.73940994759949707</v>
      </c>
      <c r="AI16">
        <v>2.3092051153103568</v>
      </c>
      <c r="AJ16">
        <v>2.3092051153103568</v>
      </c>
      <c r="AK16">
        <v>1.3174450073590591</v>
      </c>
      <c r="AL16">
        <v>1.3174450073590591</v>
      </c>
      <c r="AM16">
        <v>0</v>
      </c>
      <c r="AN16">
        <v>0</v>
      </c>
      <c r="AO16">
        <v>0</v>
      </c>
      <c r="AP16">
        <v>-3.4949457332299545</v>
      </c>
      <c r="AQ16">
        <v>2.3092051153103568</v>
      </c>
      <c r="AR16">
        <v>1.3174450073590591</v>
      </c>
      <c r="AS16">
        <v>2.3092051153103568</v>
      </c>
      <c r="AT16">
        <v>1.3174450073590591</v>
      </c>
      <c r="AU16">
        <v>2.0611559735065366</v>
      </c>
      <c r="AV16">
        <v>1.8515895487281804</v>
      </c>
      <c r="AW16">
        <v>4.6510606659671287</v>
      </c>
      <c r="AX16">
        <v>0</v>
      </c>
      <c r="AY16">
        <v>3.3692587094417332</v>
      </c>
      <c r="AZ16">
        <v>3.6014509761752014</v>
      </c>
      <c r="BA16">
        <v>3.8563981072667128</v>
      </c>
      <c r="BB16">
        <v>2.4040738926021459</v>
      </c>
      <c r="BC16">
        <v>49.5</v>
      </c>
      <c r="BD16">
        <v>2193.7199999999998</v>
      </c>
      <c r="BE16">
        <v>54.19</v>
      </c>
      <c r="BF16">
        <v>1412.39</v>
      </c>
    </row>
    <row r="17" spans="1:58" x14ac:dyDescent="0.25">
      <c r="A17">
        <v>-3.2756102649697478</v>
      </c>
      <c r="B17">
        <v>-3.0534781464917891</v>
      </c>
      <c r="C17">
        <v>-1.8360108491550082</v>
      </c>
      <c r="D17">
        <v>-1.1356719869963501</v>
      </c>
      <c r="E17">
        <v>-3.2231056403104681</v>
      </c>
      <c r="F17">
        <v>-3.0077872806851831</v>
      </c>
      <c r="G17">
        <v>-1.6372458743353153</v>
      </c>
      <c r="H17">
        <v>-1.1292716450288003</v>
      </c>
      <c r="I17">
        <v>0.63413987387586768</v>
      </c>
      <c r="J17">
        <v>-3.6140882187562555</v>
      </c>
      <c r="K17">
        <v>-3.6140882187562555</v>
      </c>
      <c r="L17">
        <v>-1.8875607597908808</v>
      </c>
      <c r="M17">
        <v>-1.8875607597908808</v>
      </c>
      <c r="N17">
        <v>-3.2231056403104681</v>
      </c>
      <c r="O17">
        <v>-3.0077872806851831</v>
      </c>
      <c r="P17">
        <v>-1.6372458743353153</v>
      </c>
      <c r="Q17">
        <v>-1.1292716450288003</v>
      </c>
      <c r="R17">
        <v>-3.6140882187562555</v>
      </c>
      <c r="S17">
        <v>-1.8875607597908808</v>
      </c>
      <c r="T17">
        <v>-3.6140882187562555</v>
      </c>
      <c r="U17">
        <v>-1.8875607597908808</v>
      </c>
      <c r="V17">
        <v>0</v>
      </c>
      <c r="W17">
        <v>0</v>
      </c>
      <c r="X17">
        <v>0</v>
      </c>
      <c r="Y17">
        <v>0</v>
      </c>
      <c r="Z17">
        <v>3.6282394995531742</v>
      </c>
      <c r="AA17">
        <v>3.3490369133520104</v>
      </c>
      <c r="AB17">
        <v>-0.55406613047364117</v>
      </c>
      <c r="AC17">
        <v>0.96297055138338583</v>
      </c>
      <c r="AD17">
        <v>3.6956968153882741</v>
      </c>
      <c r="AE17">
        <v>3.4064015700025796</v>
      </c>
      <c r="AF17">
        <v>-0.61441081202931913</v>
      </c>
      <c r="AG17">
        <v>0.96763709525811481</v>
      </c>
      <c r="AH17">
        <v>-2.2710752843783695</v>
      </c>
      <c r="AI17">
        <v>4.3434574099998136</v>
      </c>
      <c r="AJ17">
        <v>4.3434574099998136</v>
      </c>
      <c r="AK17">
        <v>1.8498895313927539</v>
      </c>
      <c r="AL17">
        <v>1.8498895313927539</v>
      </c>
      <c r="AM17">
        <v>0</v>
      </c>
      <c r="AN17">
        <v>0</v>
      </c>
      <c r="AO17">
        <v>-0.61441081202931913</v>
      </c>
      <c r="AP17">
        <v>0</v>
      </c>
      <c r="AQ17">
        <v>4.3434574099998136</v>
      </c>
      <c r="AR17">
        <v>1.8498895313927539</v>
      </c>
      <c r="AS17">
        <v>4.3434574099998136</v>
      </c>
      <c r="AT17">
        <v>1.8498895313927539</v>
      </c>
      <c r="AU17">
        <v>3.6956968153882741</v>
      </c>
      <c r="AV17">
        <v>3.4064015700025796</v>
      </c>
      <c r="AW17">
        <v>0</v>
      </c>
      <c r="AX17">
        <v>0.96763709525811481</v>
      </c>
      <c r="AY17">
        <v>-3.2231056403104681</v>
      </c>
      <c r="AZ17">
        <v>-3.0077872806851831</v>
      </c>
      <c r="BA17">
        <v>-1.6372458743353153</v>
      </c>
      <c r="BB17">
        <v>-1.1292716450288003</v>
      </c>
      <c r="BC17">
        <v>47.93</v>
      </c>
      <c r="BD17">
        <v>2128.7199999999998</v>
      </c>
      <c r="BE17">
        <v>53.31</v>
      </c>
      <c r="BF17">
        <v>1396.53</v>
      </c>
    </row>
    <row r="18" spans="1:58" x14ac:dyDescent="0.25">
      <c r="A18">
        <v>0.43622766929788298</v>
      </c>
      <c r="B18">
        <v>0.40470297608743883</v>
      </c>
      <c r="C18">
        <v>0.91400083090984152</v>
      </c>
      <c r="D18">
        <v>-0.49508869139710582</v>
      </c>
      <c r="E18">
        <v>0.43718191833859876</v>
      </c>
      <c r="F18">
        <v>0.40552411477898298</v>
      </c>
      <c r="G18">
        <v>0.82197361731024021</v>
      </c>
      <c r="H18">
        <v>-0.49386715746057974</v>
      </c>
      <c r="I18">
        <v>-2.1296279552963053</v>
      </c>
      <c r="J18">
        <v>0.20332097820980446</v>
      </c>
      <c r="K18">
        <v>0.20332097820980446</v>
      </c>
      <c r="L18">
        <v>1.0781775603288413</v>
      </c>
      <c r="M18">
        <v>1.0781775603288413</v>
      </c>
      <c r="N18">
        <v>0</v>
      </c>
      <c r="O18">
        <v>0</v>
      </c>
      <c r="P18">
        <v>0</v>
      </c>
      <c r="Q18">
        <v>-0.49386715746057974</v>
      </c>
      <c r="R18">
        <v>0</v>
      </c>
      <c r="S18">
        <v>0</v>
      </c>
      <c r="T18">
        <v>0.20332097820980446</v>
      </c>
      <c r="U18">
        <v>1.0781775603288413</v>
      </c>
      <c r="V18">
        <v>0.43718191833859876</v>
      </c>
      <c r="W18">
        <v>0.40552411477898298</v>
      </c>
      <c r="X18">
        <v>0.82197361731024021</v>
      </c>
      <c r="Y18">
        <v>0</v>
      </c>
      <c r="Z18">
        <v>4.7821647379169416</v>
      </c>
      <c r="AA18">
        <v>4.2107147209359068</v>
      </c>
      <c r="AB18">
        <v>4.4417971409121844</v>
      </c>
      <c r="AC18">
        <v>2.7616223381837939</v>
      </c>
      <c r="AD18">
        <v>4.9002916547742235</v>
      </c>
      <c r="AE18">
        <v>4.3019351952538303</v>
      </c>
      <c r="AF18">
        <v>5.0587279810346732</v>
      </c>
      <c r="AG18">
        <v>2.800472053561692</v>
      </c>
      <c r="AH18">
        <v>2.4611894100808067</v>
      </c>
      <c r="AI18">
        <v>5.1125424486476669</v>
      </c>
      <c r="AJ18">
        <v>5.1125424486476669</v>
      </c>
      <c r="AK18">
        <v>3.4527291768462969</v>
      </c>
      <c r="AL18">
        <v>3.4527291768462969</v>
      </c>
      <c r="AM18">
        <v>0</v>
      </c>
      <c r="AN18">
        <v>0</v>
      </c>
      <c r="AO18">
        <v>0</v>
      </c>
      <c r="AP18">
        <v>0</v>
      </c>
      <c r="AQ18">
        <v>5.1125424486476669</v>
      </c>
      <c r="AR18">
        <v>3.4527291768462969</v>
      </c>
      <c r="AS18">
        <v>5.1125424486476669</v>
      </c>
      <c r="AT18">
        <v>3.4527291768462969</v>
      </c>
      <c r="AU18">
        <v>4.9002916547742235</v>
      </c>
      <c r="AV18">
        <v>4.3019351952538303</v>
      </c>
      <c r="AW18">
        <v>5.0587279810346732</v>
      </c>
      <c r="AX18">
        <v>2.800472053561692</v>
      </c>
      <c r="AY18">
        <v>0.43718191833859876</v>
      </c>
      <c r="AZ18">
        <v>0.40552411477898298</v>
      </c>
      <c r="BA18">
        <v>0.82197361731024021</v>
      </c>
      <c r="BB18">
        <v>-0.49386715746057974</v>
      </c>
      <c r="BC18">
        <v>48.14</v>
      </c>
      <c r="BD18">
        <v>2137.37</v>
      </c>
      <c r="BE18">
        <v>53.75</v>
      </c>
      <c r="BF18">
        <v>1389.65</v>
      </c>
    </row>
    <row r="19" spans="1:58" x14ac:dyDescent="0.25">
      <c r="A19">
        <v>-0.18730489073882084</v>
      </c>
      <c r="B19">
        <v>-0.2829206039392938</v>
      </c>
      <c r="C19">
        <v>0.43704474505723384</v>
      </c>
      <c r="D19">
        <v>1.12560211174909</v>
      </c>
      <c r="E19">
        <v>-0.18712969386245165</v>
      </c>
      <c r="F19">
        <v>-0.28252113687101504</v>
      </c>
      <c r="G19">
        <v>0.38993643317830695</v>
      </c>
      <c r="H19">
        <v>1.1319849544596181</v>
      </c>
      <c r="I19">
        <v>-1.0639357415127135</v>
      </c>
      <c r="J19">
        <v>-0.15399536071825495</v>
      </c>
      <c r="K19">
        <v>-0.15399536071825495</v>
      </c>
      <c r="L19">
        <v>1.2819621165296347</v>
      </c>
      <c r="M19">
        <v>1.2819621165296347</v>
      </c>
      <c r="N19">
        <v>-0.18712969386245165</v>
      </c>
      <c r="O19">
        <v>-0.28252113687101504</v>
      </c>
      <c r="P19">
        <v>0</v>
      </c>
      <c r="Q19">
        <v>0</v>
      </c>
      <c r="R19">
        <v>-0.15399536071825495</v>
      </c>
      <c r="S19">
        <v>0</v>
      </c>
      <c r="T19">
        <v>-0.15399536071825495</v>
      </c>
      <c r="U19">
        <v>1.2819621165296347</v>
      </c>
      <c r="V19">
        <v>0</v>
      </c>
      <c r="W19">
        <v>0</v>
      </c>
      <c r="X19">
        <v>0.38993643317830695</v>
      </c>
      <c r="Y19">
        <v>1.1319849544596181</v>
      </c>
      <c r="Z19">
        <v>1.0274549435741949</v>
      </c>
      <c r="AA19">
        <v>0.70747136650495668</v>
      </c>
      <c r="AB19">
        <v>2.189658076469605</v>
      </c>
      <c r="AC19">
        <v>1.6919148166841209</v>
      </c>
      <c r="AD19">
        <v>1.0327696976907412</v>
      </c>
      <c r="AE19">
        <v>0.70998581151434381</v>
      </c>
      <c r="AF19">
        <v>2.427303635620655</v>
      </c>
      <c r="AG19">
        <v>1.7063912132726244</v>
      </c>
      <c r="AH19">
        <v>-0.5332330288588113</v>
      </c>
      <c r="AI19">
        <v>1.0360407260946209</v>
      </c>
      <c r="AJ19">
        <v>1.0360407260946209</v>
      </c>
      <c r="AK19">
        <v>2.9842751565660204</v>
      </c>
      <c r="AL19">
        <v>2.9842751565660204</v>
      </c>
      <c r="AM19">
        <v>0</v>
      </c>
      <c r="AN19">
        <v>0</v>
      </c>
      <c r="AO19">
        <v>0</v>
      </c>
      <c r="AP19">
        <v>0</v>
      </c>
      <c r="AQ19">
        <v>1.0360407260946209</v>
      </c>
      <c r="AR19">
        <v>2.9842751565660204</v>
      </c>
      <c r="AS19">
        <v>1.0360407260946209</v>
      </c>
      <c r="AT19">
        <v>2.9842751565660204</v>
      </c>
      <c r="AU19">
        <v>1.0327696976907412</v>
      </c>
      <c r="AV19">
        <v>0.70998581151434381</v>
      </c>
      <c r="AW19">
        <v>2.427303635620655</v>
      </c>
      <c r="AX19">
        <v>1.7063912132726244</v>
      </c>
      <c r="AY19">
        <v>-0.18712969386245165</v>
      </c>
      <c r="AZ19">
        <v>-0.28252113687101504</v>
      </c>
      <c r="BA19">
        <v>0.38993643317830695</v>
      </c>
      <c r="BB19">
        <v>1.1319849544596181</v>
      </c>
      <c r="BC19">
        <v>48.05</v>
      </c>
      <c r="BD19">
        <v>2131.34</v>
      </c>
      <c r="BE19">
        <v>53.96</v>
      </c>
      <c r="BF19">
        <v>1405.47</v>
      </c>
    </row>
    <row r="20" spans="1:58" x14ac:dyDescent="0.25">
      <c r="A20">
        <v>3.7652713799319102</v>
      </c>
      <c r="B20">
        <v>3.8789546079779815</v>
      </c>
      <c r="C20">
        <v>2.623673142399364</v>
      </c>
      <c r="D20">
        <v>1.6651857241808725</v>
      </c>
      <c r="E20">
        <v>3.8379889096216444</v>
      </c>
      <c r="F20">
        <v>3.9561899273617751</v>
      </c>
      <c r="G20">
        <v>2.398723450561655</v>
      </c>
      <c r="H20">
        <v>1.6792057997729557</v>
      </c>
      <c r="I20">
        <v>2.0989199981521436</v>
      </c>
      <c r="J20">
        <v>4.3036534430185291</v>
      </c>
      <c r="K20">
        <v>4.3036534430185291</v>
      </c>
      <c r="L20">
        <v>1.0777118829162249</v>
      </c>
      <c r="M20">
        <v>1.0777118829162249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4.3036534430185291</v>
      </c>
      <c r="U20">
        <v>1.0777118829162249</v>
      </c>
      <c r="V20">
        <v>3.8379889096216444</v>
      </c>
      <c r="W20">
        <v>3.9561899273617751</v>
      </c>
      <c r="X20">
        <v>2.398723450561655</v>
      </c>
      <c r="Y20">
        <v>1.6792057997729557</v>
      </c>
      <c r="Z20">
        <v>2.2716049382716088</v>
      </c>
      <c r="AA20">
        <v>2.5944082473011765</v>
      </c>
      <c r="AB20">
        <v>0.85596707818929396</v>
      </c>
      <c r="AC20">
        <v>0.74989532866798048</v>
      </c>
      <c r="AD20">
        <v>2.297803393807377</v>
      </c>
      <c r="AE20">
        <v>2.6286566795524253</v>
      </c>
      <c r="AF20">
        <v>0.95466118835799108</v>
      </c>
      <c r="AG20">
        <v>0.7527211798354958</v>
      </c>
      <c r="AH20">
        <v>2.2655301601472666</v>
      </c>
      <c r="AI20">
        <v>2.0029789103459557</v>
      </c>
      <c r="AJ20">
        <v>2.0029789103459557</v>
      </c>
      <c r="AK20">
        <v>-4.2131873384972603E-2</v>
      </c>
      <c r="AL20">
        <v>-4.2131873384972603E-2</v>
      </c>
      <c r="AM20">
        <v>0</v>
      </c>
      <c r="AN20">
        <v>0</v>
      </c>
      <c r="AO20">
        <v>0</v>
      </c>
      <c r="AP20">
        <v>0</v>
      </c>
      <c r="AQ20">
        <v>2.0029789103459557</v>
      </c>
      <c r="AR20">
        <v>-4.2131873384972603E-2</v>
      </c>
      <c r="AS20">
        <v>2.0029789103459557</v>
      </c>
      <c r="AT20">
        <v>-4.2131873384972603E-2</v>
      </c>
      <c r="AU20">
        <v>2.297803393807377</v>
      </c>
      <c r="AV20">
        <v>2.6286566795524253</v>
      </c>
      <c r="AW20">
        <v>0.95466118835799108</v>
      </c>
      <c r="AX20">
        <v>0.7527211798354958</v>
      </c>
      <c r="AY20">
        <v>3.8379889096216444</v>
      </c>
      <c r="AZ20">
        <v>3.9561899273617751</v>
      </c>
      <c r="BA20">
        <v>2.398723450561655</v>
      </c>
      <c r="BB20">
        <v>1.6792057997729557</v>
      </c>
      <c r="BC20">
        <v>49.93</v>
      </c>
      <c r="BD20">
        <v>2217.35</v>
      </c>
      <c r="BE20">
        <v>55.27</v>
      </c>
      <c r="BF20">
        <v>1429.27</v>
      </c>
    </row>
    <row r="21" spans="1:58" x14ac:dyDescent="0.25">
      <c r="A21">
        <v>-1.1547811993517023</v>
      </c>
      <c r="B21">
        <v>-0.74375959799725078</v>
      </c>
      <c r="C21">
        <v>-0.76985413290113969</v>
      </c>
      <c r="D21">
        <v>-0.31795274927354977</v>
      </c>
      <c r="E21">
        <v>-1.1481644915385569</v>
      </c>
      <c r="F21">
        <v>-0.74100734463998763</v>
      </c>
      <c r="G21">
        <v>-0.68990832833738125</v>
      </c>
      <c r="H21">
        <v>-0.3174483484078312</v>
      </c>
      <c r="I21">
        <v>2.9215757639796616</v>
      </c>
      <c r="J21">
        <v>-1.4924445180048402</v>
      </c>
      <c r="K21">
        <v>-1.4924445180048402</v>
      </c>
      <c r="L21">
        <v>-1.2184229105613169</v>
      </c>
      <c r="M21">
        <v>-1.2184229105613169</v>
      </c>
      <c r="N21">
        <v>-1.1481644915385569</v>
      </c>
      <c r="O21">
        <v>-0.74100734463998763</v>
      </c>
      <c r="P21">
        <v>-0.68990832833738125</v>
      </c>
      <c r="Q21">
        <v>-0.3174483484078312</v>
      </c>
      <c r="R21">
        <v>-1.4924445180048402</v>
      </c>
      <c r="S21">
        <v>-1.2184229105613169</v>
      </c>
      <c r="T21">
        <v>-1.4924445180048402</v>
      </c>
      <c r="U21">
        <v>-1.2184229105613169</v>
      </c>
      <c r="V21">
        <v>0</v>
      </c>
      <c r="W21">
        <v>0</v>
      </c>
      <c r="X21">
        <v>0</v>
      </c>
      <c r="Y21">
        <v>0</v>
      </c>
      <c r="Z21">
        <v>-0.76297893514679194</v>
      </c>
      <c r="AA21">
        <v>-0.46363791100224977</v>
      </c>
      <c r="AB21">
        <v>3.3836457123901251</v>
      </c>
      <c r="AC21">
        <v>3.2262265666263841</v>
      </c>
      <c r="AD21">
        <v>-0.76008297193436192</v>
      </c>
      <c r="AE21">
        <v>-0.46256642105229384</v>
      </c>
      <c r="AF21">
        <v>3.6596012026808262</v>
      </c>
      <c r="AG21">
        <v>3.2794164020886529</v>
      </c>
      <c r="AH21">
        <v>1.5374943969028068</v>
      </c>
      <c r="AI21">
        <v>-9.3925403899265236E-2</v>
      </c>
      <c r="AJ21">
        <v>-9.3925403899265236E-2</v>
      </c>
      <c r="AK21">
        <v>3.5843757643551131</v>
      </c>
      <c r="AL21">
        <v>3.5843757643551131</v>
      </c>
      <c r="AM21">
        <v>-0.76008297193436192</v>
      </c>
      <c r="AN21">
        <v>-0.46256642105229384</v>
      </c>
      <c r="AO21">
        <v>0</v>
      </c>
      <c r="AP21">
        <v>0</v>
      </c>
      <c r="AQ21">
        <v>-9.3925403899265236E-2</v>
      </c>
      <c r="AR21">
        <v>3.5843757643551131</v>
      </c>
      <c r="AS21">
        <v>-9.3925403899265236E-2</v>
      </c>
      <c r="AT21">
        <v>3.5843757643551131</v>
      </c>
      <c r="AU21">
        <v>0</v>
      </c>
      <c r="AV21">
        <v>0</v>
      </c>
      <c r="AW21">
        <v>3.6596012026808262</v>
      </c>
      <c r="AX21">
        <v>3.2794164020886529</v>
      </c>
      <c r="AY21">
        <v>-1.1481644915385569</v>
      </c>
      <c r="AZ21">
        <v>-0.74100734463998763</v>
      </c>
      <c r="BA21">
        <v>-0.68990832833738125</v>
      </c>
      <c r="BB21">
        <v>-0.3174483484078312</v>
      </c>
      <c r="BC21">
        <v>49.36</v>
      </c>
      <c r="BD21">
        <v>2200.98</v>
      </c>
      <c r="BE21">
        <v>54.89</v>
      </c>
      <c r="BF21">
        <v>1424.74</v>
      </c>
    </row>
    <row r="22" spans="1:58" x14ac:dyDescent="0.25">
      <c r="A22">
        <v>-2.8547614086267918</v>
      </c>
      <c r="B22">
        <v>-2.6686631494983155</v>
      </c>
      <c r="C22">
        <v>-2.6463846634715629</v>
      </c>
      <c r="D22">
        <v>-3.14635700220086</v>
      </c>
      <c r="E22">
        <v>-2.8147723726978118</v>
      </c>
      <c r="F22">
        <v>-2.6336754389644592</v>
      </c>
      <c r="G22">
        <v>-2.3409049753984652</v>
      </c>
      <c r="H22">
        <v>-3.0978735428041033</v>
      </c>
      <c r="I22">
        <v>0.41293933420111123</v>
      </c>
      <c r="J22">
        <v>-2.6798347111380969</v>
      </c>
      <c r="K22">
        <v>-2.6798347111380969</v>
      </c>
      <c r="L22">
        <v>-0.84844960810175618</v>
      </c>
      <c r="M22">
        <v>-0.84844960810175618</v>
      </c>
      <c r="N22">
        <v>-2.8147723726978118</v>
      </c>
      <c r="O22">
        <v>-2.6336754389644592</v>
      </c>
      <c r="P22">
        <v>-2.3409049753984652</v>
      </c>
      <c r="Q22">
        <v>-3.0978735428041033</v>
      </c>
      <c r="R22">
        <v>-2.6798347111380969</v>
      </c>
      <c r="S22">
        <v>-0.84844960810175618</v>
      </c>
      <c r="T22">
        <v>-2.6798347111380969</v>
      </c>
      <c r="U22">
        <v>-0.84844960810175618</v>
      </c>
      <c r="V22">
        <v>0</v>
      </c>
      <c r="W22">
        <v>0</v>
      </c>
      <c r="X22">
        <v>0</v>
      </c>
      <c r="Y22">
        <v>0</v>
      </c>
      <c r="Z22">
        <v>-3.0422150059818853</v>
      </c>
      <c r="AA22">
        <v>-2.3693271565422669</v>
      </c>
      <c r="AB22">
        <v>-1.9483848914715445</v>
      </c>
      <c r="AC22">
        <v>-0.18919898513953606</v>
      </c>
      <c r="AD22">
        <v>-2.9968572701169522</v>
      </c>
      <c r="AE22">
        <v>-2.3416942259511369</v>
      </c>
      <c r="AF22">
        <v>-2.0285393095433011</v>
      </c>
      <c r="AG22">
        <v>-0.18902022929363205</v>
      </c>
      <c r="AH22">
        <v>2.2717923859656866</v>
      </c>
      <c r="AI22">
        <v>-3.1762689875092676</v>
      </c>
      <c r="AJ22">
        <v>-3.1762689875092676</v>
      </c>
      <c r="AK22">
        <v>-1.3919818631262137</v>
      </c>
      <c r="AL22">
        <v>-1.3919818631262137</v>
      </c>
      <c r="AM22">
        <v>-2.9968572701169522</v>
      </c>
      <c r="AN22">
        <v>-2.3416942259511369</v>
      </c>
      <c r="AO22">
        <v>-2.0285393095433011</v>
      </c>
      <c r="AP22">
        <v>-0.18902022929363205</v>
      </c>
      <c r="AQ22">
        <v>-3.1762689875092676</v>
      </c>
      <c r="AR22">
        <v>-1.3919818631262137</v>
      </c>
      <c r="AS22">
        <v>-3.1762689875092676</v>
      </c>
      <c r="AT22">
        <v>-1.3919818631262137</v>
      </c>
      <c r="AU22">
        <v>0</v>
      </c>
      <c r="AV22">
        <v>0</v>
      </c>
      <c r="AW22">
        <v>0</v>
      </c>
      <c r="AX22">
        <v>0</v>
      </c>
      <c r="AY22">
        <v>-2.8147723726978118</v>
      </c>
      <c r="AZ22">
        <v>-2.6336754389644592</v>
      </c>
      <c r="BA22">
        <v>-2.3409049753984652</v>
      </c>
      <c r="BB22">
        <v>-3.0978735428041033</v>
      </c>
      <c r="BC22">
        <v>47.99</v>
      </c>
      <c r="BD22">
        <v>2143.77</v>
      </c>
      <c r="BE22">
        <v>53.62</v>
      </c>
      <c r="BF22">
        <v>1381.28</v>
      </c>
    </row>
    <row r="23" spans="1:58" x14ac:dyDescent="0.25">
      <c r="A23">
        <v>0.31159119235562649</v>
      </c>
      <c r="B23">
        <v>0.14207059744180608</v>
      </c>
      <c r="C23">
        <v>0.56086414624013947</v>
      </c>
      <c r="D23">
        <v>1.3350286077558844</v>
      </c>
      <c r="E23">
        <v>0.31207764847716757</v>
      </c>
      <c r="F23">
        <v>0.14217161340242521</v>
      </c>
      <c r="G23">
        <v>0.50227991375921699</v>
      </c>
      <c r="H23">
        <v>1.3440202315113716</v>
      </c>
      <c r="I23">
        <v>1.1438451645165457</v>
      </c>
      <c r="J23">
        <v>0.4624257251780271</v>
      </c>
      <c r="K23">
        <v>0.4624257251780271</v>
      </c>
      <c r="L23">
        <v>0.26695602739747881</v>
      </c>
      <c r="M23">
        <v>0.26695602739747881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0.4624257251780271</v>
      </c>
      <c r="U23">
        <v>0.26695602739747881</v>
      </c>
      <c r="V23">
        <v>0.31207764847716757</v>
      </c>
      <c r="W23">
        <v>0.14217161340242521</v>
      </c>
      <c r="X23">
        <v>0.50227991375921699</v>
      </c>
      <c r="Y23">
        <v>1.3440202315113716</v>
      </c>
      <c r="Z23">
        <v>1.3155675493337851</v>
      </c>
      <c r="AA23">
        <v>1.1754180407952448</v>
      </c>
      <c r="AB23">
        <v>1.3830325518637212</v>
      </c>
      <c r="AC23">
        <v>0.54288659942466799</v>
      </c>
      <c r="AD23">
        <v>1.3242977919131513</v>
      </c>
      <c r="AE23">
        <v>1.1823806926054796</v>
      </c>
      <c r="AF23">
        <v>1.4632666508469085</v>
      </c>
      <c r="AG23">
        <v>0.54436558395840873</v>
      </c>
      <c r="AH23">
        <v>-3.2508341029111589</v>
      </c>
      <c r="AI23">
        <v>1.5396997981261948</v>
      </c>
      <c r="AJ23">
        <v>1.5396997981261948</v>
      </c>
      <c r="AK23">
        <v>1.5950606055970331</v>
      </c>
      <c r="AL23">
        <v>1.5950606055970331</v>
      </c>
      <c r="AM23">
        <v>0</v>
      </c>
      <c r="AN23">
        <v>0</v>
      </c>
      <c r="AO23">
        <v>0</v>
      </c>
      <c r="AP23">
        <v>0</v>
      </c>
      <c r="AQ23">
        <v>1.5396997981261948</v>
      </c>
      <c r="AR23">
        <v>1.5950606055970331</v>
      </c>
      <c r="AS23">
        <v>1.5396997981261948</v>
      </c>
      <c r="AT23">
        <v>1.5950606055970331</v>
      </c>
      <c r="AU23">
        <v>1.3242977919131513</v>
      </c>
      <c r="AV23">
        <v>1.1823806926054796</v>
      </c>
      <c r="AW23">
        <v>1.4632666508469085</v>
      </c>
      <c r="AX23">
        <v>0.54436558395840873</v>
      </c>
      <c r="AY23">
        <v>0.31207764847716757</v>
      </c>
      <c r="AZ23">
        <v>0.14217161340242521</v>
      </c>
      <c r="BA23">
        <v>0.50227991375921699</v>
      </c>
      <c r="BB23">
        <v>1.3440202315113716</v>
      </c>
      <c r="BC23">
        <v>48.14</v>
      </c>
      <c r="BD23">
        <v>2146.8200000000002</v>
      </c>
      <c r="BE23">
        <v>53.89</v>
      </c>
      <c r="BF23">
        <v>1399.97</v>
      </c>
    </row>
    <row r="24" spans="1:58" x14ac:dyDescent="0.25">
      <c r="AY24">
        <v>1.872675365644606</v>
      </c>
      <c r="AZ24">
        <v>1.8648225591588579</v>
      </c>
      <c r="BA24">
        <v>1.1989445472037144</v>
      </c>
      <c r="BB24">
        <v>-9.7192155097110391E-2</v>
      </c>
      <c r="BC24">
        <v>49.05</v>
      </c>
      <c r="BD24">
        <v>2187.23</v>
      </c>
      <c r="BE24">
        <v>54.54</v>
      </c>
      <c r="BF24">
        <v>1398.61</v>
      </c>
    </row>
    <row r="25" spans="1:58" x14ac:dyDescent="0.25">
      <c r="AY25">
        <v>1.0949014489670523</v>
      </c>
      <c r="AZ25">
        <v>0.9202100122565412</v>
      </c>
      <c r="BA25">
        <v>-0.64379878394196366</v>
      </c>
      <c r="BB25">
        <v>0.16074474700417243</v>
      </c>
      <c r="BC25">
        <v>49.59</v>
      </c>
      <c r="BD25">
        <v>2207.4499999999998</v>
      </c>
      <c r="BE25">
        <v>54.19</v>
      </c>
      <c r="BF25">
        <v>1400.86</v>
      </c>
    </row>
    <row r="26" spans="1:58" x14ac:dyDescent="0.25">
      <c r="AY26">
        <v>1.5010789206127204</v>
      </c>
      <c r="AZ26">
        <v>1.4128804564582473</v>
      </c>
      <c r="BA26">
        <v>1.4291192294546207</v>
      </c>
      <c r="BB26">
        <v>0.23671687749894751</v>
      </c>
      <c r="BC26">
        <v>50.34</v>
      </c>
      <c r="BD26">
        <v>2238.86</v>
      </c>
      <c r="BE26">
        <v>54.97</v>
      </c>
      <c r="BF26">
        <v>1404.18</v>
      </c>
    </row>
    <row r="27" spans="1:58" x14ac:dyDescent="0.25">
      <c r="AY27">
        <v>2.3364172632963056</v>
      </c>
      <c r="AZ27">
        <v>2.5306194863785985</v>
      </c>
      <c r="BA27">
        <v>1.2653820322847542</v>
      </c>
      <c r="BB27">
        <v>2.5418751485656808</v>
      </c>
      <c r="BC27">
        <v>51.53</v>
      </c>
      <c r="BD27">
        <v>2296.2399999999998</v>
      </c>
      <c r="BE27">
        <v>55.67</v>
      </c>
      <c r="BF27">
        <v>1440.33</v>
      </c>
    </row>
    <row r="28" spans="1:58" x14ac:dyDescent="0.25">
      <c r="AY28">
        <v>1.6169745951263355</v>
      </c>
      <c r="AZ28">
        <v>1.4470793700864406</v>
      </c>
      <c r="BA28">
        <v>-1.2290051675693086</v>
      </c>
      <c r="BB28">
        <v>-0.50811702718214091</v>
      </c>
      <c r="BC28">
        <v>52.37</v>
      </c>
      <c r="BD28">
        <v>2329.71</v>
      </c>
      <c r="BE28">
        <v>54.99</v>
      </c>
      <c r="BF28">
        <v>1433.03</v>
      </c>
    </row>
    <row r="29" spans="1:58" x14ac:dyDescent="0.25">
      <c r="AY29">
        <v>2.1160812251762402</v>
      </c>
      <c r="AZ29">
        <v>2.2440137844603223</v>
      </c>
      <c r="BA29">
        <v>0.56215580085656069</v>
      </c>
      <c r="BB29">
        <v>0.37611572968701174</v>
      </c>
      <c r="BC29">
        <v>53.49</v>
      </c>
      <c r="BD29">
        <v>2382.58</v>
      </c>
      <c r="BE29">
        <v>55.3</v>
      </c>
      <c r="BF29">
        <v>1438.43</v>
      </c>
    </row>
    <row r="30" spans="1:58" x14ac:dyDescent="0.25">
      <c r="AY30">
        <v>2.6382860356611539</v>
      </c>
      <c r="AZ30">
        <v>2.4440957815573188</v>
      </c>
      <c r="BA30">
        <v>1.9341577157677508</v>
      </c>
      <c r="BB30">
        <v>0.18197735167650583</v>
      </c>
      <c r="BC30">
        <v>54.92</v>
      </c>
      <c r="BD30">
        <v>2441.5300000000002</v>
      </c>
      <c r="BE30">
        <v>56.38</v>
      </c>
      <c r="BF30">
        <v>1441.05</v>
      </c>
    </row>
    <row r="31" spans="1:58" x14ac:dyDescent="0.25">
      <c r="AY31">
        <v>1.2665267906048308</v>
      </c>
      <c r="AZ31">
        <v>1.4427295668531233</v>
      </c>
      <c r="BA31">
        <v>-0.72986527826983905</v>
      </c>
      <c r="BB31">
        <v>3.5384599742681967E-2</v>
      </c>
      <c r="BC31">
        <v>55.62</v>
      </c>
      <c r="BD31">
        <v>2477.0100000000002</v>
      </c>
      <c r="BE31">
        <v>55.97</v>
      </c>
      <c r="BF31">
        <v>1441.56</v>
      </c>
    </row>
    <row r="32" spans="1:58" x14ac:dyDescent="0.25">
      <c r="AY32">
        <v>-1.1573366068719169</v>
      </c>
      <c r="AZ32">
        <v>-0.95447627463151274</v>
      </c>
      <c r="BA32">
        <v>-1.6573969734579328</v>
      </c>
      <c r="BB32">
        <v>-3.6472474376869615</v>
      </c>
      <c r="BC32">
        <v>54.98</v>
      </c>
      <c r="BD32">
        <v>2453.48</v>
      </c>
      <c r="BE32">
        <v>55.05</v>
      </c>
      <c r="BF32">
        <v>1389.93</v>
      </c>
    </row>
    <row r="33" spans="51:58" x14ac:dyDescent="0.25">
      <c r="AY33">
        <v>1.1033846228278632</v>
      </c>
      <c r="AZ33">
        <v>1.0670486869142841</v>
      </c>
      <c r="BA33">
        <v>-2.4828861653869883</v>
      </c>
      <c r="BB33">
        <v>-1.3217120213968483</v>
      </c>
      <c r="BC33">
        <v>55.59</v>
      </c>
      <c r="BD33">
        <v>2479.8000000000002</v>
      </c>
      <c r="BE33">
        <v>53.7</v>
      </c>
      <c r="BF33">
        <v>1371.68</v>
      </c>
    </row>
    <row r="34" spans="51:58" x14ac:dyDescent="0.25">
      <c r="AY34">
        <v>2.9074907455632673</v>
      </c>
      <c r="AZ34">
        <v>2.8644593279963231</v>
      </c>
      <c r="BA34">
        <v>-0.44792908040460566</v>
      </c>
      <c r="BB34">
        <v>-3.4789858031763239</v>
      </c>
      <c r="BC34">
        <v>57.23</v>
      </c>
      <c r="BD34">
        <v>2551.86</v>
      </c>
      <c r="BE34">
        <v>53.46</v>
      </c>
      <c r="BF34">
        <v>1324.78</v>
      </c>
    </row>
    <row r="35" spans="51:58" x14ac:dyDescent="0.25">
      <c r="AY35">
        <v>-5.2433803525854292E-2</v>
      </c>
      <c r="AZ35">
        <v>0.40125357415847168</v>
      </c>
      <c r="BA35">
        <v>0.46654932065950716</v>
      </c>
      <c r="BB35">
        <v>2.3226407717544926</v>
      </c>
      <c r="BC35">
        <v>57.2</v>
      </c>
      <c r="BD35">
        <v>2562.12</v>
      </c>
      <c r="BE35">
        <v>53.71</v>
      </c>
      <c r="BF35">
        <v>1355.91</v>
      </c>
    </row>
    <row r="36" spans="51:58" x14ac:dyDescent="0.25">
      <c r="AY36">
        <v>0.54049473399104242</v>
      </c>
      <c r="AZ36">
        <v>0.7609182463816051</v>
      </c>
      <c r="BA36">
        <v>-2.2024419659974197</v>
      </c>
      <c r="BB36">
        <v>7.0776107172264804E-2</v>
      </c>
      <c r="BC36">
        <v>57.51</v>
      </c>
      <c r="BD36">
        <v>2581.69</v>
      </c>
      <c r="BE36">
        <v>52.54</v>
      </c>
      <c r="BF36">
        <v>1356.87</v>
      </c>
    </row>
    <row r="37" spans="51:58" x14ac:dyDescent="0.25">
      <c r="AY37">
        <v>-8.5068938856676635</v>
      </c>
      <c r="AZ37">
        <v>-7.8612175557185138</v>
      </c>
      <c r="BA37">
        <v>-8.3936205691078438</v>
      </c>
      <c r="BB37">
        <v>-4.1686181845539227</v>
      </c>
      <c r="BC37">
        <v>52.82</v>
      </c>
      <c r="BD37">
        <v>2386.5100000000002</v>
      </c>
      <c r="BE37">
        <v>48.31</v>
      </c>
      <c r="BF37">
        <v>1301.47</v>
      </c>
    </row>
    <row r="38" spans="51:58" x14ac:dyDescent="0.25">
      <c r="AY38">
        <v>2.0611559735065366</v>
      </c>
      <c r="AZ38">
        <v>1.8515895487281804</v>
      </c>
      <c r="BA38">
        <v>4.6510606659671287</v>
      </c>
      <c r="BB38">
        <v>-3.4949457332299545</v>
      </c>
      <c r="BC38">
        <v>53.92</v>
      </c>
      <c r="BD38">
        <v>2431.11</v>
      </c>
      <c r="BE38">
        <v>50.61</v>
      </c>
      <c r="BF38">
        <v>1256.77</v>
      </c>
    </row>
    <row r="39" spans="51:58" x14ac:dyDescent="0.25">
      <c r="AY39">
        <v>3.6956968153882741</v>
      </c>
      <c r="AZ39">
        <v>3.4064015700025796</v>
      </c>
      <c r="BA39">
        <v>-0.61441081202931913</v>
      </c>
      <c r="BB39">
        <v>0.96763709525811481</v>
      </c>
      <c r="BC39">
        <v>55.95</v>
      </c>
      <c r="BD39">
        <v>2515.35</v>
      </c>
      <c r="BE39">
        <v>50.3</v>
      </c>
      <c r="BF39">
        <v>1268.99</v>
      </c>
    </row>
    <row r="40" spans="51:58" x14ac:dyDescent="0.25">
      <c r="AY40">
        <v>4.9002916547742235</v>
      </c>
      <c r="AZ40">
        <v>4.3019351952538303</v>
      </c>
      <c r="BA40">
        <v>5.0587279810346732</v>
      </c>
      <c r="BB40">
        <v>2.800472053561692</v>
      </c>
      <c r="BC40">
        <v>58.76</v>
      </c>
      <c r="BD40">
        <v>2625.92</v>
      </c>
      <c r="BE40">
        <v>52.91</v>
      </c>
      <c r="BF40">
        <v>1305.03</v>
      </c>
    </row>
    <row r="41" spans="51:58" x14ac:dyDescent="0.25">
      <c r="AY41">
        <v>1.0327696976907412</v>
      </c>
      <c r="AZ41">
        <v>0.70998581151434381</v>
      </c>
      <c r="BA41">
        <v>2.427303635620655</v>
      </c>
      <c r="BB41">
        <v>1.7063912132726244</v>
      </c>
      <c r="BC41">
        <v>59.37</v>
      </c>
      <c r="BD41">
        <v>2644.63</v>
      </c>
      <c r="BE41">
        <v>54.21</v>
      </c>
      <c r="BF41">
        <v>1327.49</v>
      </c>
    </row>
    <row r="42" spans="51:58" x14ac:dyDescent="0.25">
      <c r="AY42">
        <v>2.297803393807377</v>
      </c>
      <c r="AZ42">
        <v>2.6286566795524253</v>
      </c>
      <c r="BA42">
        <v>0.95466118835799108</v>
      </c>
      <c r="BB42">
        <v>0.7527211798354958</v>
      </c>
      <c r="BC42">
        <v>60.75</v>
      </c>
      <c r="BD42">
        <v>2715.07</v>
      </c>
      <c r="BE42">
        <v>54.73</v>
      </c>
      <c r="BF42">
        <v>1337.52</v>
      </c>
    </row>
    <row r="43" spans="51:58" x14ac:dyDescent="0.25">
      <c r="AY43">
        <v>-0.76008297193436192</v>
      </c>
      <c r="AZ43">
        <v>-0.46256642105229384</v>
      </c>
      <c r="BA43">
        <v>3.6596012026808262</v>
      </c>
      <c r="BB43">
        <v>3.2794164020886529</v>
      </c>
      <c r="BC43">
        <v>60.29</v>
      </c>
      <c r="BD43">
        <v>2702.54</v>
      </c>
      <c r="BE43">
        <v>56.77</v>
      </c>
      <c r="BF43">
        <v>1382.11</v>
      </c>
    </row>
    <row r="44" spans="51:58" x14ac:dyDescent="0.25">
      <c r="AY44">
        <v>-2.9968572701169522</v>
      </c>
      <c r="AZ44">
        <v>-2.3416942259511369</v>
      </c>
      <c r="BA44">
        <v>-2.0285393095433011</v>
      </c>
      <c r="BB44">
        <v>-0.18902022929363205</v>
      </c>
      <c r="BC44">
        <v>58.51</v>
      </c>
      <c r="BD44">
        <v>2639.99</v>
      </c>
      <c r="BE44">
        <v>55.63</v>
      </c>
      <c r="BF44">
        <v>1379.5</v>
      </c>
    </row>
    <row r="45" spans="51:58" x14ac:dyDescent="0.25">
      <c r="AY45">
        <v>1.3242977919131513</v>
      </c>
      <c r="AZ45">
        <v>1.1823806926054796</v>
      </c>
      <c r="BA45">
        <v>1.4632666508469085</v>
      </c>
      <c r="BB45">
        <v>0.54436558395840873</v>
      </c>
      <c r="BC45">
        <v>59.29</v>
      </c>
      <c r="BD45">
        <v>2671.39</v>
      </c>
      <c r="BE45">
        <v>56.45</v>
      </c>
      <c r="BF45">
        <v>1387.03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9BDE-8EBA-4077-8FB6-6C675E0E4BB5}">
  <dimension ref="A1:D14"/>
  <sheetViews>
    <sheetView zoomScale="90" zoomScaleNormal="90" workbookViewId="0">
      <selection activeCell="G8" sqref="G8"/>
    </sheetView>
  </sheetViews>
  <sheetFormatPr defaultRowHeight="15" x14ac:dyDescent="0.25"/>
  <cols>
    <col min="1" max="1" width="20.42578125" customWidth="1"/>
    <col min="2" max="2" width="23.7109375" customWidth="1"/>
    <col min="3" max="3" width="18.42578125" customWidth="1"/>
    <col min="4" max="4" width="20.140625" customWidth="1"/>
  </cols>
  <sheetData>
    <row r="1" spans="1:4" ht="15.75" thickBot="1" x14ac:dyDescent="0.3">
      <c r="A1" t="s">
        <v>94</v>
      </c>
      <c r="B1" t="s">
        <v>95</v>
      </c>
      <c r="C1" t="s">
        <v>96</v>
      </c>
      <c r="D1" t="s">
        <v>97</v>
      </c>
    </row>
    <row r="2" spans="1:4" ht="15.75" thickBot="1" x14ac:dyDescent="0.3">
      <c r="A2" s="17" t="s">
        <v>98</v>
      </c>
      <c r="B2" s="17" t="s">
        <v>99</v>
      </c>
      <c r="C2" s="17" t="s">
        <v>100</v>
      </c>
      <c r="D2" s="17" t="s">
        <v>101</v>
      </c>
    </row>
    <row r="3" spans="1:4" x14ac:dyDescent="0.25">
      <c r="A3" t="s">
        <v>102</v>
      </c>
      <c r="B3">
        <v>0.95014399999999999</v>
      </c>
      <c r="C3">
        <v>2.5640000000000001</v>
      </c>
      <c r="D3">
        <v>2.1941815223652812</v>
      </c>
    </row>
    <row r="4" spans="1:4" x14ac:dyDescent="0.25">
      <c r="A4" t="s">
        <v>103</v>
      </c>
      <c r="B4">
        <v>0.923064</v>
      </c>
      <c r="C4">
        <v>2.4969000000000001</v>
      </c>
      <c r="D4">
        <v>2.1131305651831118</v>
      </c>
    </row>
    <row r="5" spans="1:4" x14ac:dyDescent="0.25">
      <c r="A5" t="s">
        <v>104</v>
      </c>
      <c r="B5">
        <v>1.06976</v>
      </c>
      <c r="C5">
        <v>2.1446999999999998</v>
      </c>
      <c r="D5">
        <v>1.8245436865233358</v>
      </c>
    </row>
    <row r="6" spans="1:4" ht="15.75" thickBot="1" x14ac:dyDescent="0.3">
      <c r="A6" t="s">
        <v>105</v>
      </c>
      <c r="B6">
        <v>0.701851</v>
      </c>
      <c r="C6">
        <v>1.6331</v>
      </c>
      <c r="D6">
        <v>1.6408699935944944</v>
      </c>
    </row>
    <row r="7" spans="1:4" x14ac:dyDescent="0.25">
      <c r="A7" s="7" t="s">
        <v>159</v>
      </c>
      <c r="B7" s="7">
        <v>0.92846600000000001</v>
      </c>
      <c r="C7" s="7">
        <v>2.7364999999999999</v>
      </c>
      <c r="D7" s="7">
        <v>4.0808896218605391</v>
      </c>
    </row>
    <row r="8" spans="1:4" x14ac:dyDescent="0.25">
      <c r="A8" t="s">
        <v>160</v>
      </c>
      <c r="B8">
        <v>0.84536900000000004</v>
      </c>
      <c r="C8">
        <v>2.5021</v>
      </c>
      <c r="D8">
        <v>4.1354342564871418</v>
      </c>
    </row>
    <row r="9" spans="1:4" x14ac:dyDescent="0.25">
      <c r="A9" t="s">
        <v>161</v>
      </c>
      <c r="B9">
        <v>0.90341199999999999</v>
      </c>
      <c r="C9">
        <v>2.6768999999999998</v>
      </c>
      <c r="D9">
        <v>3.0226817901914296</v>
      </c>
    </row>
    <row r="10" spans="1:4" ht="15.75" thickBot="1" x14ac:dyDescent="0.3">
      <c r="A10" t="s">
        <v>162</v>
      </c>
      <c r="B10">
        <v>0.59504999999999997</v>
      </c>
      <c r="C10">
        <v>2.1112000000000002</v>
      </c>
      <c r="D10">
        <v>2.6703946309521469</v>
      </c>
    </row>
    <row r="11" spans="1:4" x14ac:dyDescent="0.25">
      <c r="A11" s="7" t="s">
        <v>106</v>
      </c>
      <c r="B11" s="7">
        <v>1</v>
      </c>
      <c r="C11" s="7">
        <v>2.6877</v>
      </c>
      <c r="D11" s="7">
        <v>2.3235206402565036</v>
      </c>
    </row>
    <row r="12" spans="1:4" ht="15.75" thickBot="1" x14ac:dyDescent="0.3">
      <c r="A12" t="s">
        <v>107</v>
      </c>
      <c r="B12">
        <v>1</v>
      </c>
      <c r="C12">
        <v>1.8179000000000001</v>
      </c>
      <c r="D12">
        <v>1.6816592421620624</v>
      </c>
    </row>
    <row r="13" spans="1:4" x14ac:dyDescent="0.25">
      <c r="A13" s="7" t="s">
        <v>163</v>
      </c>
      <c r="B13" s="7">
        <v>1</v>
      </c>
      <c r="C13" s="7">
        <v>2.9344000000000001</v>
      </c>
      <c r="D13" s="7">
        <v>4.4725750417426502</v>
      </c>
    </row>
    <row r="14" spans="1:4" x14ac:dyDescent="0.25">
      <c r="A14" t="s">
        <v>158</v>
      </c>
      <c r="B14">
        <v>1</v>
      </c>
      <c r="C14">
        <v>2.6120000000000001</v>
      </c>
      <c r="D14">
        <v>2.7510002618024458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D26FC-D916-494B-93DE-185E0E396F9C}">
  <dimension ref="A1:G75"/>
  <sheetViews>
    <sheetView zoomScale="90" zoomScaleNormal="90" workbookViewId="0">
      <selection activeCell="N51" sqref="N51"/>
    </sheetView>
  </sheetViews>
  <sheetFormatPr defaultRowHeight="15" x14ac:dyDescent="0.25"/>
  <cols>
    <col min="1" max="1" width="16.5703125" customWidth="1"/>
    <col min="2" max="2" width="26.7109375" customWidth="1"/>
    <col min="3" max="3" width="15.42578125" customWidth="1"/>
    <col min="5" max="5" width="22.42578125" customWidth="1"/>
    <col min="6" max="6" width="21.85546875" customWidth="1"/>
    <col min="7" max="7" width="25.28515625" customWidth="1"/>
  </cols>
  <sheetData>
    <row r="1" spans="1:7" x14ac:dyDescent="0.25">
      <c r="A1" t="s">
        <v>94</v>
      </c>
      <c r="B1" t="s">
        <v>108</v>
      </c>
      <c r="C1" t="s">
        <v>109</v>
      </c>
      <c r="E1" t="s">
        <v>94</v>
      </c>
      <c r="F1" t="s">
        <v>108</v>
      </c>
      <c r="G1" t="s">
        <v>109</v>
      </c>
    </row>
    <row r="2" spans="1:7" x14ac:dyDescent="0.25">
      <c r="A2" s="8" t="s">
        <v>102</v>
      </c>
      <c r="B2">
        <v>2.5640000000000001</v>
      </c>
      <c r="C2">
        <v>-6.1894911382616401E-2</v>
      </c>
      <c r="E2" s="8" t="s">
        <v>159</v>
      </c>
      <c r="F2">
        <v>2.7364999999999999</v>
      </c>
      <c r="G2">
        <v>0.9469419334743171</v>
      </c>
    </row>
    <row r="3" spans="1:7" x14ac:dyDescent="0.25">
      <c r="A3" s="9" t="s">
        <v>103</v>
      </c>
      <c r="B3">
        <v>2.4969000000000001</v>
      </c>
      <c r="C3">
        <v>-5.1642802104747948E-2</v>
      </c>
      <c r="E3" s="9" t="s">
        <v>160</v>
      </c>
      <c r="F3">
        <v>2.5021</v>
      </c>
      <c r="G3">
        <v>0.99368753968015955</v>
      </c>
    </row>
    <row r="4" spans="1:7" x14ac:dyDescent="0.25">
      <c r="A4" s="9" t="s">
        <v>104</v>
      </c>
      <c r="B4">
        <v>2.1446999999999998</v>
      </c>
      <c r="C4">
        <v>0.30704169176293938</v>
      </c>
      <c r="E4" s="9" t="s">
        <v>161</v>
      </c>
      <c r="F4">
        <v>2.6768999999999998</v>
      </c>
      <c r="G4">
        <v>0.21095617568302585</v>
      </c>
    </row>
    <row r="5" spans="1:7" x14ac:dyDescent="0.25">
      <c r="A5" s="9" t="s">
        <v>105</v>
      </c>
      <c r="B5">
        <v>1.6331</v>
      </c>
      <c r="C5">
        <v>0.27180373541600605</v>
      </c>
      <c r="E5" s="9" t="s">
        <v>162</v>
      </c>
      <c r="F5">
        <v>2.1112000000000002</v>
      </c>
      <c r="G5">
        <v>-4.2209260479097614E-2</v>
      </c>
    </row>
    <row r="6" spans="1:7" x14ac:dyDescent="0.25">
      <c r="A6" s="9" t="s">
        <v>106</v>
      </c>
      <c r="B6">
        <v>2.6877</v>
      </c>
      <c r="C6">
        <v>-0.10168770557936155</v>
      </c>
      <c r="E6" s="9" t="s">
        <v>163</v>
      </c>
      <c r="F6">
        <v>2.9344000000000001</v>
      </c>
      <c r="G6">
        <v>1.0898491477595189</v>
      </c>
    </row>
    <row r="7" spans="1:7" x14ac:dyDescent="0.25">
      <c r="A7" s="10" t="s">
        <v>107</v>
      </c>
      <c r="B7">
        <v>1.8179000000000001</v>
      </c>
      <c r="C7">
        <v>0.46240517138664178</v>
      </c>
      <c r="E7" s="10" t="s">
        <v>158</v>
      </c>
      <c r="F7">
        <v>2.6120000000000001</v>
      </c>
      <c r="G7">
        <v>0.11959462005808431</v>
      </c>
    </row>
    <row r="24" spans="2:6" x14ac:dyDescent="0.25">
      <c r="B24" t="s">
        <v>172</v>
      </c>
      <c r="F24" t="s">
        <v>172</v>
      </c>
    </row>
    <row r="41" spans="2:6" x14ac:dyDescent="0.25">
      <c r="B41" t="s">
        <v>173</v>
      </c>
      <c r="F41" t="s">
        <v>173</v>
      </c>
    </row>
    <row r="58" spans="2:6" x14ac:dyDescent="0.25">
      <c r="B58" t="s">
        <v>174</v>
      </c>
      <c r="F58" t="s">
        <v>174</v>
      </c>
    </row>
    <row r="75" spans="2:6" x14ac:dyDescent="0.25">
      <c r="B75" t="s">
        <v>175</v>
      </c>
      <c r="F75" t="s">
        <v>175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y G v E W i v i D 3 K l A A A A 9 g A A A B I A H A B D b 2 5 m a W c v U G F j a 2 F n Z S 5 4 b W w g o h g A K K A U A A A A A A A A A A A A A A A A A A A A A A A A A A A A h Y + x D o I w G I R f h X S n L W D U k J 8 y u E J C Y m J c m 1 K h E Q q h x f J u D j 6 S r y B G U T f H u / s u u b t f b 5 B O b e N d 5 G B U p x M U Y I o 8 q U V X K l 0 l a L Q n f 4 t S B g U X Z 1 5 J b 4 a 1 i S e j E l R b 2 8 e E O O e w i 3 A 3 V C S k N C D H P N u L W r b c V 9 p Y r o V E n 1 b 5 v 4 U Y H F 5 j W I i D V Y S D z R p T I I s J u d J f I J z 3 P t M f E 3 Z j Y 8 d B s r 7 x i w z I I o G 8 P 7 A H U E s D B B Q A A g A I A M h r x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a 8 R a m l J 8 d I I B A A C F C A A A E w A c A E Z v c m 1 1 b G F z L 1 N l Y 3 R p b 2 4 x L m 0 g o h g A K K A U A A A A A A A A A A A A A A A A A A A A A A A A A A A A 7 Z T P S g M x E M b v h b 5 D W C 8 t h K J C L 8 o e p K 0 o l l r d i r B d k b g 7 a m w 2 U 5 K 0 a 7 b 0 0 l f y J H g r f S 9 T V 6 x I D 1 5 6 K D S X / P m S b 2 a S H 9 E Q G 4 6 S B E V / c F w u l U v 6 m S l I y O n 5 5 X 2 3 T X w i w J R L x L X F u 5 q / J Y s Z u s W G H t e a G I 9 S k K Z y y g X U G i i N m + i K 1 z i K b j Q o H Q U X 7 V a X 3 J 6 3 2 j e d q I m Z F M g S H V 3 b 3 A 4 w K g L U Y j 3 2 q r T f B M F T b k D 5 H v U o a a A Y p V L 7 d U p a M s a E y y f / 4 L C + T 8 n V C A 0 E x g r w V 8 N a B y X c V W m R 6 J 7 X Y U + L 2 f w t G 3 C C Z I h J Z h c f O k d p U z f L O a Y c P F d F j z 2 4 s 1 2 F q T M 6 A 5 a 4 r C s / Z V L S / 5 Z O h A h i J p j S v l G j 3 4 F C 5 y T d 1 S E x d r i y 7 C k m 9 S O q t K i j Z 4 e g K / 9 L i 0 4 m X p M Z 5 i 7 B W Q J J m I E p J R P v 0 m R M x c s d h W D g 1 X w J H f a S 2 V z n d p 0 i + V o l Z O l A c v h r N 6 2 W S 1 y u L + 4 3 H M H G 6 Q h 2 e G w v H s u 3 C z f 8 d Y Q 7 N L Y R j W D T b A Q 7 O L Y L j k 9 Q S w E C L Q A U A A I A C A D I a 8 R a K + I P c q U A A A D 2 A A A A E g A A A A A A A A A A A A A A A A A A A A A A Q 2 9 u Z m l n L 1 B h Y 2 t h Z 2 U u e G 1 s U E s B A i 0 A F A A C A A g A y G v E W g / K 6 a u k A A A A 6 Q A A A B M A A A A A A A A A A A A A A A A A 8 Q A A A F t D b 2 5 0 Z W 5 0 X 1 R 5 c G V z X S 5 4 b W x Q S w E C L Q A U A A I A C A D I a 8 R a m l J 8 d I I B A A C F C A A A E w A A A A A A A A A A A A A A A A D i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J w A A A A A A A L c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P X 1 B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F h Y m M 0 Z D Q t Y m E 5 M S 0 0 N D R k L T k x Y 2 Y t Z j M 2 N z B i Z G J l Y 2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J T 1 9 Q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F Q x M T o y O D o y N C 4 2 M j c z O D c 3 W i I g L z 4 8 R W 5 0 c n k g V H l w Z T 0 i R m l s b E N v b H V t b l R 5 c G V z I i B W Y W x 1 Z T 0 i c 0 N R W U d C Z 1 k 9 I i A v P j x F b n R y e S B U e X B l P S J G a W x s Q 2 9 s d W 1 u T m F t Z X M i I F Z h b H V l P S J z W y Z x d W 9 0 O 0 R h d G E m c X V v d D s s J n F 1 b 3 Q 7 T 3 R 3 Y X J j a W U m c X V v d D s s J n F 1 b 3 Q 7 T m F q d 3 l 6 c 3 p 5 J n F 1 b 3 Q 7 L C Z x d W 9 0 O 0 5 h a m 5 p e n N 6 e S Z x d W 9 0 O y w m c X V v d D t a Y W 1 r b m l l Y 2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P X 1 B M L 0 F 1 d G 9 S Z W 1 v d m V k Q 2 9 s d W 1 u c z E u e 0 R h d G E s M H 0 m c X V v d D s s J n F 1 b 3 Q 7 U 2 V j d G l v b j E v R k l P X 1 B M L 0 F 1 d G 9 S Z W 1 v d m V k Q 2 9 s d W 1 u c z E u e 0 9 0 d 2 F y Y 2 l l L D F 9 J n F 1 b 3 Q 7 L C Z x d W 9 0 O 1 N l Y 3 R p b 2 4 x L 0 Z J T 1 9 Q T C 9 B d X R v U m V t b 3 Z l Z E N v b H V t b n M x L n t O Y W p 3 e X p z e n k s M n 0 m c X V v d D s s J n F 1 b 3 Q 7 U 2 V j d G l v b j E v R k l P X 1 B M L 0 F 1 d G 9 S Z W 1 v d m V k Q 2 9 s d W 1 u c z E u e 0 5 h a m 5 p e n N 6 e S w z f S Z x d W 9 0 O y w m c X V v d D t T Z W N 0 a W 9 u M S 9 G S U 9 f U E w v Q X V 0 b 1 J l b W 9 2 Z W R D b 2 x 1 b W 5 z M S 5 7 W m F t a 2 5 p Z W N p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S U 9 f U E w v Q X V 0 b 1 J l b W 9 2 Z W R D b 2 x 1 b W 5 z M S 5 7 R G F 0 Y S w w f S Z x d W 9 0 O y w m c X V v d D t T Z W N 0 a W 9 u M S 9 G S U 9 f U E w v Q X V 0 b 1 J l b W 9 2 Z W R D b 2 x 1 b W 5 z M S 5 7 T 3 R 3 Y X J j a W U s M X 0 m c X V v d D s s J n F 1 b 3 Q 7 U 2 V j d G l v b j E v R k l P X 1 B M L 0 F 1 d G 9 S Z W 1 v d m V k Q 2 9 s d W 1 u c z E u e 0 5 h a n d 5 e n N 6 e S w y f S Z x d W 9 0 O y w m c X V v d D t T Z W N 0 a W 9 u M S 9 G S U 9 f U E w v Q X V 0 b 1 J l b W 9 2 Z W R D b 2 x 1 b W 5 z M S 5 7 T m F q b m l 6 c 3 p 5 L D N 9 J n F 1 b 3 Q 7 L C Z x d W 9 0 O 1 N l Y 3 R p b 2 4 x L 0 Z J T 1 9 Q T C 9 B d X R v U m V t b 3 Z l Z E N v b H V t b n M x L n t a Y W 1 r b m l l Y 2 l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S U 9 f U E w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P X 1 B M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P X 1 B M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S U 9 f U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Z j l k O T U y Y i 1 i N T l i L T Q 0 Y z U t O T E 0 Y S 0 w O D Q 1 Y T c z M D I 2 Y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0 Z J T 1 9 Q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F Q x M T o y O T o x M C 4 y N j g 3 N z Y 5 W i I g L z 4 8 R W 5 0 c n k g V H l w Z T 0 i R m l s b E N v b H V t b l R 5 c G V z I i B W Y W x 1 Z T 0 i c 0 N R W U d C Z 1 k 9 I i A v P j x F b n R y e S B U e X B l P S J G a W x s Q 2 9 s d W 1 u T m F t Z X M i I F Z h b H V l P S J z W y Z x d W 9 0 O 0 R h d G E m c X V v d D s s J n F 1 b 3 Q 7 T 3 R 3 Y X J j a W U m c X V v d D s s J n F 1 b 3 Q 7 T m F q d 3 l 6 c 3 p 5 J n F 1 b 3 Q 7 L C Z x d W 9 0 O 0 5 h a m 5 p e n N 6 e S Z x d W 9 0 O y w m c X V v d D t a Y W 1 r b m l l Y 2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Z J T 1 9 Q T C 9 B d X R v U m V t b 3 Z l Z E N v b H V t b n M x L n t E Y X R h L D B 9 J n F 1 b 3 Q 7 L C Z x d W 9 0 O 1 N l Y 3 R p b 2 4 x L 1 N G S U 9 f U E w v Q X V 0 b 1 J l b W 9 2 Z W R D b 2 x 1 b W 5 z M S 5 7 T 3 R 3 Y X J j a W U s M X 0 m c X V v d D s s J n F 1 b 3 Q 7 U 2 V j d G l v b j E v U 0 Z J T 1 9 Q T C 9 B d X R v U m V t b 3 Z l Z E N v b H V t b n M x L n t O Y W p 3 e X p z e n k s M n 0 m c X V v d D s s J n F 1 b 3 Q 7 U 2 V j d G l v b j E v U 0 Z J T 1 9 Q T C 9 B d X R v U m V t b 3 Z l Z E N v b H V t b n M x L n t O Y W p u a X p z e n k s M 3 0 m c X V v d D s s J n F 1 b 3 Q 7 U 2 V j d G l v b j E v U 0 Z J T 1 9 Q T C 9 B d X R v U m V t b 3 Z l Z E N v b H V t b n M x L n t a Y W 1 r b m l l Y 2 l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G S U 9 f U E w v Q X V 0 b 1 J l b W 9 2 Z W R D b 2 x 1 b W 5 z M S 5 7 R G F 0 Y S w w f S Z x d W 9 0 O y w m c X V v d D t T Z W N 0 a W 9 u M S 9 T R k l P X 1 B M L 0 F 1 d G 9 S Z W 1 v d m V k Q 2 9 s d W 1 u c z E u e 0 9 0 d 2 F y Y 2 l l L D F 9 J n F 1 b 3 Q 7 L C Z x d W 9 0 O 1 N l Y 3 R p b 2 4 x L 1 N G S U 9 f U E w v Q X V 0 b 1 J l b W 9 2 Z W R D b 2 x 1 b W 5 z M S 5 7 T m F q d 3 l 6 c 3 p 5 L D J 9 J n F 1 b 3 Q 7 L C Z x d W 9 0 O 1 N l Y 3 R p b 2 4 x L 1 N G S U 9 f U E w v Q X V 0 b 1 J l b W 9 2 Z W R D b 2 x 1 b W 5 z M S 5 7 T m F q b m l 6 c 3 p 5 L D N 9 J n F 1 b 3 Q 7 L C Z x d W 9 0 O 1 N l Y 3 R p b 2 4 x L 1 N G S U 9 f U E w v Q X V 0 b 1 J l b W 9 2 Z W R D b 2 x 1 b W 5 z M S 5 7 W m F t a 2 5 p Z W N p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Z J T 1 9 Q T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k l P X 1 B M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J T 1 9 Q T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9 f W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0 Y z g 0 M G M x L T k 5 M T Y t N D I 4 N i 0 4 M D V l L W M x Z j k w O T M w N j J j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S U 9 f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F Q x M T o y O T o 1 M S 4 z O T Y 3 M D I z W i I g L z 4 8 R W 5 0 c n k g V H l w Z T 0 i R m l s b E N v b H V t b l R 5 c G V z I i B W Y W x 1 Z T 0 i c 0 N R W U d C Z 1 k 9 I i A v P j x F b n R y e S B U e X B l P S J G a W x s Q 2 9 s d W 1 u T m F t Z X M i I F Z h b H V l P S J z W y Z x d W 9 0 O 0 R h d G E m c X V v d D s s J n F 1 b 3 Q 7 T 3 R 3 Y X J j a W U m c X V v d D s s J n F 1 b 3 Q 7 T m F q d 3 l 6 c 3 p 5 J n F 1 b 3 Q 7 L C Z x d W 9 0 O 0 5 h a m 5 p e n N 6 e S Z x d W 9 0 O y w m c X V v d D t a Y W 1 r b m l l Y 2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P X 1 o v Q X V 0 b 1 J l b W 9 2 Z W R D b 2 x 1 b W 5 z M S 5 7 R G F 0 Y S w w f S Z x d W 9 0 O y w m c X V v d D t T Z W N 0 a W 9 u M S 9 G S U 9 f W i 9 B d X R v U m V t b 3 Z l Z E N v b H V t b n M x L n t P d H d h c m N p Z S w x f S Z x d W 9 0 O y w m c X V v d D t T Z W N 0 a W 9 u M S 9 G S U 9 f W i 9 B d X R v U m V t b 3 Z l Z E N v b H V t b n M x L n t O Y W p 3 e X p z e n k s M n 0 m c X V v d D s s J n F 1 b 3 Q 7 U 2 V j d G l v b j E v R k l P X 1 o v Q X V 0 b 1 J l b W 9 2 Z W R D b 2 x 1 b W 5 z M S 5 7 T m F q b m l 6 c 3 p 5 L D N 9 J n F 1 b 3 Q 7 L C Z x d W 9 0 O 1 N l Y 3 R p b 2 4 x L 0 Z J T 1 9 a L 0 F 1 d G 9 S Z W 1 v d m V k Q 2 9 s d W 1 u c z E u e 1 p h b W t u a W V j a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k l P X 1 o v Q X V 0 b 1 J l b W 9 2 Z W R D b 2 x 1 b W 5 z M S 5 7 R G F 0 Y S w w f S Z x d W 9 0 O y w m c X V v d D t T Z W N 0 a W 9 u M S 9 G S U 9 f W i 9 B d X R v U m V t b 3 Z l Z E N v b H V t b n M x L n t P d H d h c m N p Z S w x f S Z x d W 9 0 O y w m c X V v d D t T Z W N 0 a W 9 u M S 9 G S U 9 f W i 9 B d X R v U m V t b 3 Z l Z E N v b H V t b n M x L n t O Y W p 3 e X p z e n k s M n 0 m c X V v d D s s J n F 1 b 3 Q 7 U 2 V j d G l v b j E v R k l P X 1 o v Q X V 0 b 1 J l b W 9 2 Z W R D b 2 x 1 b W 5 z M S 5 7 T m F q b m l 6 c 3 p 5 L D N 9 J n F 1 b 3 Q 7 L C Z x d W 9 0 O 1 N l Y 3 R p b 2 4 x L 0 Z J T 1 9 a L 0 F 1 d G 9 S Z W 1 v d m V k Q 2 9 s d W 1 u c z E u e 1 p h b W t u a W V j a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J T 1 9 a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1 9 a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P X 1 o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J T 1 9 a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Q 2 Z W V j Z G Q t Y T k 1 Y y 0 0 Z W I 3 L W J h O D Q t O D l i Z j c 0 Y j l m M z c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G S U 9 f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F Q x M T o z M D o x N i 4 1 N T g 4 O D A 5 W i I g L z 4 8 R W 5 0 c n k g V H l w Z T 0 i R m l s b E N v b H V t b l R 5 c G V z I i B W Y W x 1 Z T 0 i c 0 N R W U d C Z 1 k 9 I i A v P j x F b n R y e S B U e X B l P S J G a W x s Q 2 9 s d W 1 u T m F t Z X M i I F Z h b H V l P S J z W y Z x d W 9 0 O 0 R h d G E m c X V v d D s s J n F 1 b 3 Q 7 T 3 R 3 Y X J j a W U m c X V v d D s s J n F 1 b 3 Q 7 T m F q d 3 l 6 c 3 p 5 J n F 1 b 3 Q 7 L C Z x d W 9 0 O 0 5 h a m 5 p e n N 6 e S Z x d W 9 0 O y w m c X V v d D t a Y W 1 r b m l l Y 2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Z J T 1 9 a L 0 F 1 d G 9 S Z W 1 v d m V k Q 2 9 s d W 1 u c z E u e 0 R h d G E s M H 0 m c X V v d D s s J n F 1 b 3 Q 7 U 2 V j d G l v b j E v U 0 Z J T 1 9 a L 0 F 1 d G 9 S Z W 1 v d m V k Q 2 9 s d W 1 u c z E u e 0 9 0 d 2 F y Y 2 l l L D F 9 J n F 1 b 3 Q 7 L C Z x d W 9 0 O 1 N l Y 3 R p b 2 4 x L 1 N G S U 9 f W i 9 B d X R v U m V t b 3 Z l Z E N v b H V t b n M x L n t O Y W p 3 e X p z e n k s M n 0 m c X V v d D s s J n F 1 b 3 Q 7 U 2 V j d G l v b j E v U 0 Z J T 1 9 a L 0 F 1 d G 9 S Z W 1 v d m V k Q 2 9 s d W 1 u c z E u e 0 5 h a m 5 p e n N 6 e S w z f S Z x d W 9 0 O y w m c X V v d D t T Z W N 0 a W 9 u M S 9 T R k l P X 1 o v Q X V 0 b 1 J l b W 9 2 Z W R D b 2 x 1 b W 5 z M S 5 7 W m F t a 2 5 p Z W N p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R k l P X 1 o v Q X V 0 b 1 J l b W 9 2 Z W R D b 2 x 1 b W 5 z M S 5 7 R G F 0 Y S w w f S Z x d W 9 0 O y w m c X V v d D t T Z W N 0 a W 9 u M S 9 T R k l P X 1 o v Q X V 0 b 1 J l b W 9 2 Z W R D b 2 x 1 b W 5 z M S 5 7 T 3 R 3 Y X J j a W U s M X 0 m c X V v d D s s J n F 1 b 3 Q 7 U 2 V j d G l v b j E v U 0 Z J T 1 9 a L 0 F 1 d G 9 S Z W 1 v d m V k Q 2 9 s d W 1 u c z E u e 0 5 h a n d 5 e n N 6 e S w y f S Z x d W 9 0 O y w m c X V v d D t T Z W N 0 a W 9 u M S 9 T R k l P X 1 o v Q X V 0 b 1 J l b W 9 2 Z W R D b 2 x 1 b W 5 z M S 5 7 T m F q b m l 6 c 3 p 5 L D N 9 J n F 1 b 3 Q 7 L C Z x d W 9 0 O 1 N l Y 3 R p b 2 4 x L 1 N G S U 9 f W i 9 B d X R v U m V t b 3 Z l Z E N v b H V t b n M x L n t a Y W 1 r b m l l Y 2 l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R k l P X 1 o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J T 1 9 a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J T 1 9 a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f 5 u s u 1 w J Q 5 U E 0 G S O u a I S A A A A A A I A A A A A A B B m A A A A A Q A A I A A A A A U 2 d c z L 4 / / z O + t 2 g w K Z T C Y R p Y 4 F 2 8 K i l x x M G 4 B Y 1 U 8 4 A A A A A A 6 A A A A A A g A A I A A A A N 1 6 n r t L 3 c 1 E 7 k g Q q d d e A S p 7 0 / Z T R Y Q c R c H r b o S 0 q z E l U A A A A I f E f Z S t g G l T F Y 5 G B g x i b Q Q j o 6 G v / V B H j F 7 2 y O U N j z t f g T w + H 9 d D 4 X c b M / M Y g X o R S J T Z x Y / l I 2 4 2 f h o 0 k 2 m w 9 e V D a F p 3 b i 5 R m C X G Z U c Y 7 p Q 7 Q A A A A O v q B g D f w m s C Q G M V A r h e 4 l z s / j 9 R U / S 1 h J f B A p T y y x j k x g 1 a g i n p k r a i M / z U i 0 t h b W S c e s K F Y m L Y r I k p 7 u j t g z A = < / D a t a M a s h u p > 
</file>

<file path=customXml/itemProps1.xml><?xml version="1.0" encoding="utf-8"?>
<ds:datastoreItem xmlns:ds="http://schemas.openxmlformats.org/officeDocument/2006/customXml" ds:itemID="{B0FD96D0-6EC4-4DF0-84CB-396AC7E6AA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FIO_PL</vt:lpstr>
      <vt:lpstr>SFIO_PL</vt:lpstr>
      <vt:lpstr>FIO_Z</vt:lpstr>
      <vt:lpstr>SFIO_Z</vt:lpstr>
      <vt:lpstr>Pokój</vt:lpstr>
      <vt:lpstr>Wojna</vt:lpstr>
      <vt:lpstr>gretl</vt:lpstr>
      <vt:lpstr>Ryzyko</vt:lpstr>
      <vt:lpstr>Efektywność</vt:lpstr>
      <vt:lpstr>Klasyczne miary ryzyka</vt:lpstr>
      <vt:lpstr>Stopy zwrotu</vt:lpstr>
      <vt:lpstr>Alternatywne miary ryzyka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Wira</dc:creator>
  <cp:lastModifiedBy>Tomasz Wira</cp:lastModifiedBy>
  <dcterms:created xsi:type="dcterms:W3CDTF">2025-06-04T11:25:39Z</dcterms:created>
  <dcterms:modified xsi:type="dcterms:W3CDTF">2025-09-03T11:58:49Z</dcterms:modified>
</cp:coreProperties>
</file>