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omments9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udgetiz\Documentation\"/>
    </mc:Choice>
  </mc:AlternateContent>
  <xr:revisionPtr revIDLastSave="0" documentId="13_ncr:1_{EE8DC4A2-070C-47A6-AB72-27A8BF1ACE69}" xr6:coauthVersionLast="47" xr6:coauthVersionMax="47" xr10:uidLastSave="{00000000-0000-0000-0000-000000000000}"/>
  <bookViews>
    <workbookView xWindow="-120" yWindow="-120" windowWidth="29040" windowHeight="15990" tabRatio="857" activeTab="5" xr2:uid="{C2AFE70A-D351-4C3B-BEED-FD22DDFED1E9}"/>
  </bookViews>
  <sheets>
    <sheet name="Settings" sheetId="9" r:id="rId1"/>
    <sheet name="Budgets" sheetId="7" r:id="rId2"/>
    <sheet name="I Prév" sheetId="8" r:id="rId3"/>
    <sheet name="I Label" sheetId="14" r:id="rId4"/>
    <sheet name="|" sheetId="18" r:id="rId5"/>
    <sheet name="M Impôts" sheetId="21" r:id="rId6"/>
    <sheet name="M Home" sheetId="20" r:id="rId7"/>
    <sheet name="M Résumé" sheetId="4" r:id="rId8"/>
    <sheet name="M Labels-Catégories" sheetId="10" r:id="rId9"/>
    <sheet name="M Labels-Sous-Catégorie" sheetId="11" r:id="rId10"/>
    <sheet name="M Labels-Compte" sheetId="12" r:id="rId11"/>
    <sheet name="M Transactions" sheetId="16" r:id="rId12"/>
    <sheet name="M Epargne" sheetId="6" r:id="rId13"/>
    <sheet name="M Provisions" sheetId="5" r:id="rId14"/>
  </sheets>
  <definedNames>
    <definedName name="Appartement" localSheetId="10">#REF!</definedName>
    <definedName name="Appartement" localSheetId="9">#REF!</definedName>
    <definedName name="Appartement" localSheetId="11">#REF!</definedName>
    <definedName name="Appartement">#REF!</definedName>
    <definedName name="choix_appart">#REF!</definedName>
    <definedName name="choix_impots">#REF!</definedName>
    <definedName name="choix_nourr">#REF!</definedName>
    <definedName name="choix_voiture">#REF!</definedName>
    <definedName name="Impôts">#REF!</definedName>
    <definedName name="Nourriture">#REF!</definedName>
    <definedName name="Voitu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21" l="1"/>
  <c r="L9" i="21"/>
  <c r="F31" i="21"/>
  <c r="N7" i="21" s="1"/>
  <c r="H59" i="4"/>
  <c r="H58" i="4"/>
  <c r="H57" i="4"/>
  <c r="H56" i="4" s="1"/>
  <c r="H55" i="4" s="1"/>
  <c r="H53" i="4"/>
  <c r="H52" i="4"/>
  <c r="H51" i="4"/>
  <c r="H50" i="4"/>
  <c r="H49" i="4"/>
  <c r="H44" i="4"/>
  <c r="H43" i="4"/>
  <c r="H42" i="4"/>
  <c r="H38" i="4"/>
  <c r="H37" i="4"/>
  <c r="I34" i="4"/>
  <c r="I33" i="4"/>
  <c r="H30" i="4"/>
  <c r="H29" i="4"/>
  <c r="H28" i="4"/>
  <c r="H27" i="4"/>
  <c r="H24" i="4"/>
  <c r="H23" i="4"/>
  <c r="H22" i="4"/>
  <c r="H21" i="4"/>
  <c r="H17" i="4"/>
  <c r="H13" i="4"/>
  <c r="H10" i="4"/>
  <c r="I59" i="4"/>
  <c r="I56" i="4"/>
  <c r="I55" i="4" s="1"/>
  <c r="I47" i="4"/>
  <c r="I46" i="4" s="1"/>
  <c r="I44" i="4"/>
  <c r="I43" i="4"/>
  <c r="I42" i="4"/>
  <c r="I38" i="4"/>
  <c r="I37" i="4"/>
  <c r="I36" i="4" s="1"/>
  <c r="I30" i="4"/>
  <c r="I29" i="4"/>
  <c r="I28" i="4"/>
  <c r="I27" i="4"/>
  <c r="I24" i="4"/>
  <c r="I20" i="4" s="1"/>
  <c r="I23" i="4"/>
  <c r="I22" i="4"/>
  <c r="I21" i="4"/>
  <c r="I17" i="4"/>
  <c r="I16" i="4"/>
  <c r="I15" i="4"/>
  <c r="I14" i="4"/>
  <c r="I13" i="4"/>
  <c r="I10" i="4"/>
  <c r="I9" i="4" s="1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L11" i="21" l="1"/>
  <c r="I32" i="4"/>
  <c r="H47" i="4"/>
  <c r="H46" i="4" s="1"/>
  <c r="I12" i="4"/>
  <c r="I8" i="4" s="1"/>
  <c r="N9" i="21"/>
  <c r="I41" i="4"/>
  <c r="I19" i="4" s="1"/>
  <c r="I26" i="4"/>
  <c r="F29" i="6"/>
  <c r="F19" i="6"/>
  <c r="C6" i="9"/>
  <c r="L13" i="21" l="1"/>
  <c r="L15" i="21" s="1"/>
  <c r="N15" i="21" s="1"/>
  <c r="N11" i="21"/>
  <c r="N13" i="21"/>
  <c r="N17" i="21"/>
  <c r="G8" i="8"/>
  <c r="G7" i="8"/>
  <c r="L13" i="8"/>
  <c r="C5" i="8"/>
  <c r="C6" i="8"/>
  <c r="C7" i="8"/>
  <c r="C8" i="8"/>
  <c r="C9" i="8"/>
  <c r="C10" i="8"/>
  <c r="C11" i="8"/>
  <c r="C12" i="8"/>
  <c r="C13" i="8"/>
  <c r="C14" i="8"/>
  <c r="C15" i="8"/>
  <c r="E3" i="8"/>
  <c r="C4" i="8"/>
  <c r="E18" i="8"/>
  <c r="H41" i="4"/>
  <c r="H32" i="4"/>
  <c r="H16" i="4"/>
  <c r="H15" i="4"/>
  <c r="H14" i="4"/>
  <c r="H9" i="4"/>
  <c r="N19" i="21" l="1"/>
  <c r="H36" i="4"/>
  <c r="H12" i="4"/>
  <c r="H8" i="4"/>
  <c r="D50" i="5"/>
  <c r="I44" i="5"/>
  <c r="J44" i="5"/>
  <c r="K44" i="5"/>
  <c r="L44" i="5"/>
  <c r="M44" i="5"/>
  <c r="N44" i="5"/>
  <c r="O44" i="5"/>
  <c r="P44" i="5"/>
  <c r="Q44" i="5"/>
  <c r="R44" i="5"/>
  <c r="S44" i="5"/>
  <c r="T44" i="5"/>
  <c r="I45" i="5"/>
  <c r="J45" i="5"/>
  <c r="K45" i="5"/>
  <c r="L45" i="5"/>
  <c r="M45" i="5"/>
  <c r="N45" i="5"/>
  <c r="O45" i="5"/>
  <c r="P45" i="5"/>
  <c r="Q45" i="5"/>
  <c r="R45" i="5"/>
  <c r="S45" i="5"/>
  <c r="T45" i="5"/>
  <c r="I46" i="5"/>
  <c r="J46" i="5"/>
  <c r="K46" i="5"/>
  <c r="L46" i="5"/>
  <c r="M46" i="5"/>
  <c r="N46" i="5"/>
  <c r="O46" i="5"/>
  <c r="P46" i="5"/>
  <c r="Q46" i="5"/>
  <c r="R46" i="5"/>
  <c r="S46" i="5"/>
  <c r="T46" i="5"/>
  <c r="I47" i="5"/>
  <c r="J47" i="5"/>
  <c r="K47" i="5"/>
  <c r="L47" i="5"/>
  <c r="M47" i="5"/>
  <c r="N47" i="5"/>
  <c r="O47" i="5"/>
  <c r="P47" i="5"/>
  <c r="Q47" i="5"/>
  <c r="R47" i="5"/>
  <c r="S47" i="5"/>
  <c r="T47" i="5"/>
  <c r="H44" i="5"/>
  <c r="H45" i="5"/>
  <c r="H46" i="5"/>
  <c r="H47" i="5"/>
  <c r="J43" i="5"/>
  <c r="K43" i="5"/>
  <c r="L43" i="5"/>
  <c r="M43" i="5"/>
  <c r="N43" i="5"/>
  <c r="O43" i="5"/>
  <c r="P43" i="5"/>
  <c r="Q43" i="5"/>
  <c r="R43" i="5"/>
  <c r="S43" i="5"/>
  <c r="T43" i="5"/>
  <c r="I43" i="5"/>
  <c r="H43" i="5"/>
  <c r="F4" i="8"/>
  <c r="J19" i="5"/>
  <c r="I19" i="5" s="1"/>
  <c r="J18" i="5"/>
  <c r="I18" i="5" s="1"/>
  <c r="J17" i="5"/>
  <c r="I17" i="5" s="1"/>
  <c r="T50" i="5" l="1"/>
  <c r="L50" i="5"/>
  <c r="Q50" i="5"/>
  <c r="I50" i="5"/>
  <c r="M50" i="5"/>
  <c r="R50" i="5"/>
  <c r="J50" i="5"/>
  <c r="P50" i="5"/>
  <c r="O50" i="5"/>
  <c r="S50" i="5"/>
  <c r="H50" i="5"/>
  <c r="B20" i="8" s="1"/>
  <c r="C20" i="8" s="1"/>
  <c r="N50" i="5"/>
  <c r="K50" i="5"/>
  <c r="J10" i="5"/>
  <c r="I10" i="5" s="1"/>
  <c r="J11" i="5"/>
  <c r="I11" i="5" s="1"/>
  <c r="J12" i="5"/>
  <c r="I12" i="5" s="1"/>
  <c r="J13" i="5"/>
  <c r="I13" i="5" s="1"/>
  <c r="J14" i="5"/>
  <c r="I14" i="5" s="1"/>
  <c r="J15" i="5"/>
  <c r="I15" i="5" s="1"/>
  <c r="J16" i="5"/>
  <c r="I16" i="5" s="1"/>
  <c r="J9" i="5"/>
  <c r="I9" i="5" s="1"/>
  <c r="I34" i="5" l="1"/>
  <c r="F20" i="8" s="1"/>
  <c r="H26" i="4"/>
  <c r="H20" i="4"/>
  <c r="H19" i="4" l="1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10" i="7"/>
  <c r="I11" i="7"/>
  <c r="I12" i="7"/>
  <c r="I13" i="7"/>
  <c r="I14" i="7"/>
  <c r="I15" i="7"/>
  <c r="I10" i="7"/>
  <c r="G18" i="7"/>
  <c r="G19" i="7"/>
  <c r="G20" i="7"/>
  <c r="G21" i="7"/>
  <c r="G22" i="7"/>
  <c r="G23" i="7"/>
  <c r="G24" i="7"/>
  <c r="G25" i="7"/>
  <c r="G26" i="7"/>
  <c r="G27" i="7"/>
  <c r="G28" i="7"/>
  <c r="G16" i="7"/>
  <c r="I30" i="7"/>
  <c r="G30" i="7" s="1"/>
  <c r="I29" i="7"/>
  <c r="G29" i="7" s="1"/>
  <c r="I17" i="7"/>
  <c r="G17" i="7" s="1"/>
  <c r="F5" i="8"/>
  <c r="F6" i="8"/>
  <c r="F7" i="8"/>
  <c r="F8" i="8"/>
  <c r="F9" i="8"/>
  <c r="F10" i="8"/>
  <c r="F11" i="8"/>
  <c r="F12" i="8"/>
  <c r="F13" i="8"/>
  <c r="F14" i="8"/>
  <c r="F15" i="8"/>
  <c r="B17" i="8"/>
  <c r="D18" i="8"/>
  <c r="B16" i="8"/>
  <c r="C16" i="8" s="1"/>
  <c r="F16" i="8" l="1"/>
  <c r="B18" i="8"/>
  <c r="F17" i="8"/>
  <c r="F18" i="8" s="1"/>
  <c r="C17" i="8"/>
  <c r="C18" i="8" s="1"/>
  <c r="C19" i="8" s="1"/>
  <c r="I31" i="7"/>
  <c r="G31" i="7"/>
  <c r="H7" i="8"/>
  <c r="B19" i="8"/>
  <c r="B21" i="8" s="1"/>
  <c r="C21" i="8" s="1"/>
  <c r="F1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C11" authorId="0" shapeId="0" xr:uid="{D7DEEC09-4EA5-4C81-95A2-461B86558A9D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ComboBox des comptes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9" authorId="0" shapeId="0" xr:uid="{22DE3534-B4F9-43FB-BDA8-2243BA25E49A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Calculer par rapport a la date butoire - nb de mois
</t>
        </r>
      </text>
    </comment>
    <comment ref="I9" authorId="0" shapeId="0" xr:uid="{2DF11D46-10E9-46BE-BCEC-BFCD55BA08A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Calculer par rapport au nb mois entre la date réelle de début et la date butoire</t>
        </r>
      </text>
    </comment>
    <comment ref="J9" authorId="0" shapeId="0" xr:uid="{7030789F-8360-415A-AEFE-87174979A6E6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Calcul: différence entre la date début réelle et la date butoire
</t>
        </r>
      </text>
    </comment>
    <comment ref="B20" authorId="0" shapeId="0" xr:uid="{51C73CE8-B775-474E-9A21-617C94D06153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Ajoute une nouvelle ligne de provision
Avec des champs a compléter
</t>
        </r>
      </text>
    </comment>
    <comment ref="H43" authorId="0" shapeId="0" xr:uid="{46626040-C24E-42A7-A9EF-635CAD00B676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Calcul:
Si la case n'est pas coché: Montant/Nb mois
Si la case est coché:
Montant / (Nb mois entre Date début et date butoire)</t>
        </r>
      </text>
    </comment>
    <comment ref="U43" authorId="0" shapeId="0" xr:uid="{24027C45-9C5D-4257-811B-952716B8CB8E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Case a cocher pour savoir si on rattrape le retard ou non sur l'année écoulé</t>
        </r>
      </text>
    </comment>
    <comment ref="B49" authorId="0" shapeId="0" xr:uid="{675D3124-2B73-4BB7-958E-3BA4319DCCC3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Ajoute une nouvelle ligne de provision
Avec des champs a compléter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H4" authorId="0" shapeId="0" xr:uid="{B45C18F3-AFC2-4E54-85CE-BC96AFA0D43B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Combobox avec les année</t>
        </r>
      </text>
    </comment>
    <comment ref="L9" authorId="0" shapeId="0" xr:uid="{A3F9FCE8-00BA-4715-BFDE-63E3CFAAB871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Si "NetImposable" &gt; 10 084 
alors = 10 084 
Sinon = "NetImposable"</t>
        </r>
      </text>
    </comment>
    <comment ref="L11" authorId="0" shapeId="0" xr:uid="{A2D39CAD-4976-4541-B69A-B48928202BF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Si "NI" &gt; 25 710
alors = 25 710
Sinon = "NI" - 10 084</t>
        </r>
      </text>
    </comment>
    <comment ref="L13" authorId="0" shapeId="0" xr:uid="{6A8AB158-BCB9-402C-BB3F-B085F5292896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Si "NI" &gt; 73 516
alors = 73 516
Sinon = "NI" - 10 084 - 25 710</t>
        </r>
      </text>
    </comment>
    <comment ref="L15" authorId="0" shapeId="0" xr:uid="{D7DE3D70-8376-432C-8D55-D0BCC2971A9B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Si "NI" &gt; 158 122
alors = 158 122
Sinon = "NI" - 10 084 - 25 710 - 73 516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B10" authorId="0" shapeId="0" xr:uid="{9175660B-6519-44CA-9F12-49A171FE33B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Tableau déroulant</t>
        </r>
      </text>
    </comment>
    <comment ref="E11" authorId="0" shapeId="0" xr:uid="{8A3DD6F2-4D43-49C4-B7B2-B2D66CAA8F5B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Changer la couleur de la police en fonction du montant positif ou négatif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G2" authorId="0" shapeId="0" xr:uid="{45D54C1E-1B65-4497-A12E-4861DE165247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Choix de l'année choisi pour les données du tableau (Choix par défaut de l'année en cours)</t>
        </r>
      </text>
    </comment>
    <comment ref="B4" authorId="0" shapeId="0" xr:uid="{B8C18847-17A6-4BA9-9B16-587216A4240F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Radio bouton qui affiche un tableau sur un mois (avec choix du mois)
</t>
        </r>
      </text>
    </comment>
    <comment ref="D4" authorId="0" shapeId="0" xr:uid="{CC029FEA-9C10-4C88-9879-3B42B0A136C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Radio bouton qui affiche un tableau sur un trismestre (avec trimestre au choix)</t>
        </r>
      </text>
    </comment>
    <comment ref="F4" authorId="0" shapeId="0" xr:uid="{B1BCFBFE-1495-4496-A596-6A122CA26EA9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Radio bouton qui affiche un tableau sur un semestre (avec semestre au choix)</t>
        </r>
      </text>
    </comment>
    <comment ref="H7" authorId="0" shapeId="0" xr:uid="{81B8AA33-FE15-43B4-B9A1-D798EB5757F6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ComboBox sur le choix du mois
Ou du trimestre
Ou du semestre</t>
        </r>
      </text>
    </comment>
    <comment ref="D8" authorId="0" shapeId="0" xr:uid="{3F9E9127-2214-4819-95BD-FDFD59063CE0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Tableau qui s'ouvre ou non au clic sur la fleche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15" authorId="0" shapeId="0" xr:uid="{CE3F584A-1D37-4C4C-85A8-EDF43902763B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Onglets </t>
        </r>
      </text>
    </comment>
    <comment ref="E18" authorId="0" shapeId="0" xr:uid="{C2C268EA-6EF9-4BC1-B8F6-66A08B214519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le bouton fait apparaitre le formulaire
d'ajout</t>
        </r>
      </text>
    </comment>
    <comment ref="E20" authorId="0" shapeId="0" xr:uid="{47C93F84-3D9E-438C-B5BA-FAF3783CB20C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l'icon fait disparaitre le formulaire d'ajout</t>
        </r>
      </text>
    </comment>
    <comment ref="G20" authorId="0" shapeId="0" xr:uid="{8E0DB12D-09F5-4B03-ADA7-6F51C55EA44F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Identifiant a ajouter calculé automatiquement par rapport au dernier ID retourné en base.
(Input Disable)</t>
        </r>
      </text>
    </comment>
    <comment ref="H20" authorId="0" shapeId="0" xr:uid="{5AA15424-0F5C-48E3-A0BC-E4666F19FE68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Click sur l'icone permet de recalculer le dernier ID retourné (en cas de modification avant)</t>
        </r>
      </text>
    </comment>
    <comment ref="L20" authorId="0" shapeId="0" xr:uid="{31560063-AF58-46DD-9F9C-D08337EC19EC}">
      <text>
        <r>
          <rPr>
            <b/>
            <sz val="9"/>
            <color indexed="81"/>
            <rFont val="Tahoma"/>
            <family val="2"/>
          </rPr>
          <t xml:space="preserve">CHAIGNE Alexandre:
</t>
        </r>
        <r>
          <rPr>
            <sz val="9"/>
            <color indexed="81"/>
            <rFont val="Tahoma"/>
            <family val="2"/>
          </rPr>
          <t xml:space="preserve">
ComboxBox (Select) contenant l'énumération des types de catégories (Revenu, Charge, Provision, Epargne)</t>
        </r>
      </text>
    </comment>
    <comment ref="E24" authorId="0" shapeId="0" xr:uid="{3C345259-17D9-41C6-B82D-1501699EDCAC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Possibilité de trier sur tout les colonnes contenant des informations</t>
        </r>
      </text>
    </comment>
    <comment ref="F25" authorId="0" shapeId="0" xr:uid="{F6058627-9A0F-4871-A473-6D3F0F85E4F3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Lors de l'ajout dans le formulaire, on ajoute le [TYPE_CATEGORY] au nom</t>
        </r>
      </text>
    </comment>
    <comment ref="K25" authorId="0" shapeId="0" xr:uid="{D266088C-17E3-482B-AF27-086F9ECB9810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Click sur l'icone ajoute les informations de la ligne dans le formulaire d'ajout pour modification</t>
        </r>
      </text>
    </comment>
    <comment ref="L25" authorId="0" shapeId="0" xr:uid="{02862661-ADA7-4223-9520-F910128F0F3C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Supprime la ligne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15" authorId="0" shapeId="0" xr:uid="{C5B36938-F150-4916-865C-4C01A190C86B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Onglets </t>
        </r>
      </text>
    </comment>
    <comment ref="E18" authorId="0" shapeId="0" xr:uid="{9F97BF62-0682-4492-991E-65E500D818D8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le bouton fait apparaitre le formulaire
d'ajout</t>
        </r>
      </text>
    </comment>
    <comment ref="E20" authorId="0" shapeId="0" xr:uid="{7B8BC5D5-4073-4B28-A6F6-4FC87E3B5491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l'icon fait disparaitre le formulaire d'ajout</t>
        </r>
      </text>
    </comment>
    <comment ref="G20" authorId="0" shapeId="0" xr:uid="{0BA47BD9-EA1E-49BE-A2AD-2F08D39A1C69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Identifiant a ajouter calculé automatiquement par rapport au dernier ID retourné en base.
(Input Disable)</t>
        </r>
      </text>
    </comment>
    <comment ref="H20" authorId="0" shapeId="0" xr:uid="{B44AD93C-6489-4722-8027-14DDCA9ADDF1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Click sur l'icone permet de recalculer le dernier ID retourné (en cas de modification avant)</t>
        </r>
      </text>
    </comment>
    <comment ref="L20" authorId="0" shapeId="0" xr:uid="{49EBCE32-0C57-43CB-9C40-F3E5453E4B6E}">
      <text>
        <r>
          <rPr>
            <b/>
            <sz val="9"/>
            <color indexed="81"/>
            <rFont val="Tahoma"/>
            <family val="2"/>
          </rPr>
          <t xml:space="preserve">CHAIGNE Alexandre:
</t>
        </r>
        <r>
          <rPr>
            <sz val="9"/>
            <color indexed="81"/>
            <rFont val="Tahoma"/>
            <family val="2"/>
          </rPr>
          <t xml:space="preserve">
ComboxBox (Select) contenant toutes les Catégories enregistrer par l'utilisateur</t>
        </r>
      </text>
    </comment>
    <comment ref="E24" authorId="0" shapeId="0" xr:uid="{2C202F4A-5B1D-44C5-B11C-64CD4C705258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Possibilité de trier sur tout les colonnes contenant des informations</t>
        </r>
      </text>
    </comment>
    <comment ref="K25" authorId="0" shapeId="0" xr:uid="{376B22FE-CBA2-4F0D-90D5-AA504A4F3C5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Click sur l'icone ajoute les informations de la ligne dans le formulaire d'ajout pour modification</t>
        </r>
      </text>
    </comment>
    <comment ref="L25" authorId="0" shapeId="0" xr:uid="{848166BD-A36B-4AA6-81F3-053380B3BD20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Supprime la ligne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15" authorId="0" shapeId="0" xr:uid="{37BC3788-55CD-4ED1-8D80-178D3BC38940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Onglets </t>
        </r>
      </text>
    </comment>
    <comment ref="E18" authorId="0" shapeId="0" xr:uid="{0CC2CAEE-AE88-44AD-A866-4072AC85F301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le bouton fait apparaitre le formulaire
d'ajout</t>
        </r>
      </text>
    </comment>
    <comment ref="E20" authorId="0" shapeId="0" xr:uid="{4C08DBE3-03F7-4604-919F-FCB1EC3E149C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l'icon fait disparaitre le formulaire d'ajout</t>
        </r>
      </text>
    </comment>
    <comment ref="G20" authorId="0" shapeId="0" xr:uid="{D52A3B8F-EA1B-4446-A675-EDA8F8127AD0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Identifiant a ajouter calculé automatiquement par rapport au dernier ID retourné en base.
(Input Disable)</t>
        </r>
      </text>
    </comment>
    <comment ref="H20" authorId="0" shapeId="0" xr:uid="{AF7D9F87-6194-4AD1-B70B-4CD1D7606143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Click sur l'icone permet de recalculer le dernier ID retourné (en cas de modification avant)</t>
        </r>
      </text>
    </comment>
    <comment ref="L20" authorId="0" shapeId="0" xr:uid="{B69CEE51-6098-4F13-9EDC-DFD5593119F7}">
      <text>
        <r>
          <rPr>
            <b/>
            <sz val="9"/>
            <color indexed="81"/>
            <rFont val="Tahoma"/>
            <family val="2"/>
          </rPr>
          <t xml:space="preserve">CHAIGNE Alexandre:
</t>
        </r>
        <r>
          <rPr>
            <sz val="9"/>
            <color indexed="81"/>
            <rFont val="Tahoma"/>
            <family val="2"/>
          </rPr>
          <t xml:space="preserve">
ComboxBox (Select) contenant l'énumeration des types de compte bancaire</t>
        </r>
      </text>
    </comment>
    <comment ref="E24" authorId="0" shapeId="0" xr:uid="{5DCAA5F6-5197-4941-B1E7-324EFC4DFAE5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Possibilité de trier sur tout les colonnes contenant des informations</t>
        </r>
      </text>
    </comment>
    <comment ref="K25" authorId="0" shapeId="0" xr:uid="{27F6F31A-0876-4014-813C-F8E19461D85F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Click sur l'icone ajoute les informations de la ligne dans le formulaire d'ajout pour modification</t>
        </r>
      </text>
    </comment>
    <comment ref="L25" authorId="0" shapeId="0" xr:uid="{6157E27A-701C-4D8F-8054-2301CADC16ED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Supprime la ligne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18" authorId="0" shapeId="0" xr:uid="{6D504D1F-F4C0-46AD-BC30-AB863419312D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le bouton fait apparaitre le formulaire
d'ajout</t>
        </r>
      </text>
    </comment>
    <comment ref="E20" authorId="0" shapeId="0" xr:uid="{6881DE70-7A01-497B-9317-3278E3209DBE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l'icon fait disparaitre le formulaire d'ajout</t>
        </r>
      </text>
    </comment>
    <comment ref="G20" authorId="0" shapeId="0" xr:uid="{258777F7-84D5-4759-964F-0D6BFE261256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Identifiant a ajouter calculé automatiquement par rapport au dernier ID retourné en base.
(Input Disable)</t>
        </r>
      </text>
    </comment>
    <comment ref="H20" authorId="0" shapeId="0" xr:uid="{65137D91-2CAA-4282-A18D-C02E86A50251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Click sur l'icone permet de recalculer le dernier ID retourné (en cas de modification avant)</t>
        </r>
      </text>
    </comment>
    <comment ref="L20" authorId="0" shapeId="0" xr:uid="{D19FA3A3-DACE-478C-916A-ADC6A7081258}">
      <text>
        <r>
          <rPr>
            <b/>
            <sz val="9"/>
            <color indexed="81"/>
            <rFont val="Tahoma"/>
            <family val="2"/>
          </rPr>
          <t xml:space="preserve">CHAIGNE Alexandre:
</t>
        </r>
        <r>
          <rPr>
            <sz val="9"/>
            <color indexed="81"/>
            <rFont val="Tahoma"/>
            <family val="2"/>
          </rPr>
          <t xml:space="preserve">
ComboxBox (Select) contenant l'énumération des types de catégories (Revenu, Charge, Provision, Epargne)</t>
        </r>
      </text>
    </comment>
    <comment ref="E26" authorId="0" shapeId="0" xr:uid="{CDCED7FA-5009-4A0F-9A39-FA05F9B3FA99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Possibilité de trier sur toutes les colonnes contenant des informations</t>
        </r>
      </text>
    </comment>
    <comment ref="E27" authorId="0" shapeId="0" xr:uid="{A43FB3FA-0D9C-4411-A5A8-151C7B3DD6CC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Input pour filtrer avec auto completion</t>
        </r>
      </text>
    </comment>
    <comment ref="L28" authorId="0" shapeId="0" xr:uid="{808AA51F-C551-4ED7-9B5A-0843F93B8357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Changer la couleur de la police en fonction du montant positif ou négatif (ou par rapport au type de catégorie ? 
Vert: Revenu
Rouge: Charge
Jaune Provisions
Violet: Epargne
??)
</t>
        </r>
      </text>
    </comment>
    <comment ref="N28" authorId="0" shapeId="0" xr:uid="{B41BDDF1-7F32-43AB-A0A2-B352DE1A3B62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Récupéré dans la sous-catégory de la transaction</t>
        </r>
      </text>
    </comment>
    <comment ref="S28" authorId="0" shapeId="0" xr:uid="{7EED69C3-731E-4911-A37C-CAE94377912E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Click sur l'icone ajoute les informations de la ligne dans le formulaire d'ajout pour modification</t>
        </r>
      </text>
    </comment>
    <comment ref="T28" authorId="0" shapeId="0" xr:uid="{4EE874BC-2988-4530-91F3-12449BFAE1CC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Supprime la ligne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D12" authorId="0" shapeId="0" xr:uid="{E0035F9F-1880-4D00-91C8-F22851EAA648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Un tabs pour chaque compte de type "Epargne" de l'utilisateur</t>
        </r>
      </text>
    </comment>
    <comment ref="D16" authorId="0" shapeId="0" xr:uid="{DCFBA567-5376-4190-98E3-9F372395400E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rowspan en fonction du nombre de row
</t>
        </r>
      </text>
    </comment>
    <comment ref="F16" authorId="0" shapeId="0" xr:uid="{F03B6F7B-9B1F-426F-9386-FC91E93B3C59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Somme des transactions lié à cette catégorie et ce compte</t>
        </r>
      </text>
    </comment>
    <comment ref="I16" authorId="0" shapeId="0" xr:uid="{E8993AFC-631A-4E53-8EF7-F6103A9ACE44}">
      <text>
        <r>
          <rPr>
            <b/>
            <sz val="9"/>
            <color indexed="81"/>
            <rFont val="Tahoma"/>
            <charset val="1"/>
          </rPr>
          <t xml:space="preserve">CHAIGNE Alexandre:
</t>
        </r>
        <r>
          <rPr>
            <sz val="9"/>
            <color indexed="81"/>
            <rFont val="Tahoma"/>
            <charset val="1"/>
          </rPr>
          <t xml:space="preserve">
 Graphique de répartition des grosses famille de fonds sur le compte</t>
        </r>
      </text>
    </comment>
    <comment ref="O16" authorId="0" shapeId="0" xr:uid="{7D485DCB-FD5A-43C4-9C74-CA7B8B6BD4A4}">
      <text>
        <r>
          <rPr>
            <b/>
            <sz val="9"/>
            <color indexed="81"/>
            <rFont val="Tahoma"/>
            <charset val="1"/>
          </rPr>
          <t xml:space="preserve">CHAIGNE Alexandre:
</t>
        </r>
        <r>
          <rPr>
            <sz val="9"/>
            <color indexed="81"/>
            <rFont val="Tahoma"/>
            <charset val="1"/>
          </rPr>
          <t xml:space="preserve">
 Graphique de répartition des fonds sur le compte par sous catégory d'épargne et de provisions
</t>
        </r>
      </text>
    </comment>
  </commentList>
</comments>
</file>

<file path=xl/sharedStrings.xml><?xml version="1.0" encoding="utf-8"?>
<sst xmlns="http://schemas.openxmlformats.org/spreadsheetml/2006/main" count="468" uniqueCount="204">
  <si>
    <t>Nourriture</t>
  </si>
  <si>
    <t>Impôts</t>
  </si>
  <si>
    <t>Loyer</t>
  </si>
  <si>
    <t>Eau</t>
  </si>
  <si>
    <t>Elec</t>
  </si>
  <si>
    <t>Internet</t>
  </si>
  <si>
    <t>Provisions</t>
  </si>
  <si>
    <t>Essence</t>
  </si>
  <si>
    <t>Mois</t>
  </si>
  <si>
    <t>Montant</t>
  </si>
  <si>
    <t>Compte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</si>
  <si>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</si>
  <si>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</si>
  <si>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</si>
  <si>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</si>
  <si>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</si>
  <si>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</si>
  <si>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</si>
  <si>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</si>
  <si>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</si>
  <si>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</si>
  <si>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</si>
  <si>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</si>
  <si>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Montant des comptes et des budgets mensuels</t>
  </si>
  <si>
    <t>Revenu</t>
  </si>
  <si>
    <t>Charges</t>
  </si>
  <si>
    <t>Cadeaux</t>
  </si>
  <si>
    <t>Vacances</t>
  </si>
  <si>
    <t>[R] Revenu</t>
  </si>
  <si>
    <t>[R] Salaire</t>
  </si>
  <si>
    <t>[R] Loyer</t>
  </si>
  <si>
    <t>[C] Loyer</t>
  </si>
  <si>
    <t>[C] Electricité</t>
  </si>
  <si>
    <t>[C] Eau</t>
  </si>
  <si>
    <t>[C] Assurance Habitation</t>
  </si>
  <si>
    <t>[C] Taxe foncière</t>
  </si>
  <si>
    <t>[C] Taxe habitation</t>
  </si>
  <si>
    <t>[C] Téléhpone</t>
  </si>
  <si>
    <t>[C] Internet</t>
  </si>
  <si>
    <t>[C] Spotify</t>
  </si>
  <si>
    <t>[C] Abo Zéra</t>
  </si>
  <si>
    <t>Coiffeur</t>
  </si>
  <si>
    <t>[P] Cadeaux</t>
  </si>
  <si>
    <t>[P] Vacances</t>
  </si>
  <si>
    <t>[P] Impôts</t>
  </si>
  <si>
    <t>[P] Imprévu</t>
  </si>
  <si>
    <t>Epargne</t>
  </si>
  <si>
    <t>Vêtements</t>
  </si>
  <si>
    <t>[P] Vêtements</t>
  </si>
  <si>
    <t>[P] Travaux Apprt.</t>
  </si>
  <si>
    <t>Prévisionnel mensuel</t>
  </si>
  <si>
    <t>Téléphone</t>
  </si>
  <si>
    <t>Loyer Voiture</t>
  </si>
  <si>
    <t>Spotify</t>
  </si>
  <si>
    <t>Zera</t>
  </si>
  <si>
    <t>Impôts foncier</t>
  </si>
  <si>
    <t>Mutavie</t>
  </si>
  <si>
    <t>Cotisation trim</t>
  </si>
  <si>
    <t>Restant après charge</t>
  </si>
  <si>
    <t>Restant après provisions</t>
  </si>
  <si>
    <t>Objectif d'épargne</t>
  </si>
  <si>
    <t>par mois</t>
  </si>
  <si>
    <t xml:space="preserve">Feuille de réglage des montants des budgets </t>
  </si>
  <si>
    <t>Annuel</t>
  </si>
  <si>
    <t>Mensuel</t>
  </si>
  <si>
    <t>Travaux Apprt.</t>
  </si>
  <si>
    <t>Imprévu</t>
  </si>
  <si>
    <t>Prévisionnel</t>
  </si>
  <si>
    <t>Réel</t>
  </si>
  <si>
    <t>Revenus</t>
  </si>
  <si>
    <t>&gt;</t>
  </si>
  <si>
    <t>infos provision</t>
  </si>
  <si>
    <t>Date butoire</t>
  </si>
  <si>
    <t>nb mois</t>
  </si>
  <si>
    <t>somme</t>
  </si>
  <si>
    <t xml:space="preserve">date début </t>
  </si>
  <si>
    <t>date début réelle</t>
  </si>
  <si>
    <t>[P] Appel Charge T1</t>
  </si>
  <si>
    <t>[P] Appel Charge T2</t>
  </si>
  <si>
    <t>+</t>
  </si>
  <si>
    <t>[P] Appel Charge T3</t>
  </si>
  <si>
    <t>[P] Appel Charge T4</t>
  </si>
  <si>
    <t>[P] Budget Voiture</t>
  </si>
  <si>
    <t>Montants</t>
  </si>
  <si>
    <t>Date But.</t>
  </si>
  <si>
    <t>Nb mois</t>
  </si>
  <si>
    <t>Date début</t>
  </si>
  <si>
    <t>[P] Appel Charge</t>
  </si>
  <si>
    <t>[R] Remboursement</t>
  </si>
  <si>
    <t>Salaire</t>
  </si>
  <si>
    <t xml:space="preserve"> Loyer</t>
  </si>
  <si>
    <t>Prime</t>
  </si>
  <si>
    <t>Mutuelle</t>
  </si>
  <si>
    <t>Sécu</t>
  </si>
  <si>
    <t>Autres</t>
  </si>
  <si>
    <t>[C] Habitat</t>
  </si>
  <si>
    <t>[C] Services</t>
  </si>
  <si>
    <t>[C] Impôts</t>
  </si>
  <si>
    <t>[C] Vie Courante</t>
  </si>
  <si>
    <t>[C] Finance</t>
  </si>
  <si>
    <t xml:space="preserve">Cotisation </t>
  </si>
  <si>
    <t>Mensuelle</t>
  </si>
  <si>
    <t>Sous catégorie</t>
  </si>
  <si>
    <t>Toggle</t>
  </si>
  <si>
    <t>[MOIS] / [ANNEE]</t>
  </si>
  <si>
    <t>Année</t>
  </si>
  <si>
    <t>Date</t>
  </si>
  <si>
    <t>Livret A</t>
  </si>
  <si>
    <t>CEL</t>
  </si>
  <si>
    <t>PEL</t>
  </si>
  <si>
    <t>Vêtement</t>
  </si>
  <si>
    <t>Trvx Appart.</t>
  </si>
  <si>
    <t>Budget Voiture</t>
  </si>
  <si>
    <t>TODO</t>
  </si>
  <si>
    <t>Total Provisions</t>
  </si>
  <si>
    <t>Total Epargne</t>
  </si>
  <si>
    <t>- Ajout dans EnumCategoryType de Epargne</t>
  </si>
  <si>
    <t>Page Epargne (Saving)</t>
  </si>
  <si>
    <t>- Ajout d'un texte descriptif pour par transactions (texte area) =&gt; Dans le tableau, le clic sur une ligne ouvre le champ de saisie d'un descriptif</t>
  </si>
  <si>
    <t>Sous-Catégories</t>
  </si>
  <si>
    <t>Categories</t>
  </si>
  <si>
    <t>Comptes</t>
  </si>
  <si>
    <t>+ Ajouter une ligne</t>
  </si>
  <si>
    <t>-</t>
  </si>
  <si>
    <t>ID</t>
  </si>
  <si>
    <t>Nom</t>
  </si>
  <si>
    <t>Type</t>
  </si>
  <si>
    <t>(R)</t>
  </si>
  <si>
    <t>Enregistrer</t>
  </si>
  <si>
    <t>&lt;-- Formulaire d'ajout</t>
  </si>
  <si>
    <t>Editer</t>
  </si>
  <si>
    <t>Supprimer</t>
  </si>
  <si>
    <t>(Edit)</t>
  </si>
  <si>
    <t>(Trash)</t>
  </si>
  <si>
    <t>[C] Santé</t>
  </si>
  <si>
    <t>[P] Provision</t>
  </si>
  <si>
    <t>[E] Epargne</t>
  </si>
  <si>
    <t>Charge</t>
  </si>
  <si>
    <t>Provision</t>
  </si>
  <si>
    <t>Catégorie Mère</t>
  </si>
  <si>
    <t>Remboursement</t>
  </si>
  <si>
    <t>EDF</t>
  </si>
  <si>
    <t>Catégorie</t>
  </si>
  <si>
    <t xml:space="preserve">https://stackblitz.com/edit/ng2-charts-pie-template?file=src%2Fapp%2Fapp.component.ts </t>
  </si>
  <si>
    <t xml:space="preserve">https://stackblitz.com/edit/pie-chart-using-highcharts?file=app%2Fhighcharts.service.ts </t>
  </si>
  <si>
    <t>HighCharts</t>
  </si>
  <si>
    <t>Courant</t>
  </si>
  <si>
    <t>Compte Courant</t>
  </si>
  <si>
    <t>Autre</t>
  </si>
  <si>
    <t>Assur. Hab.</t>
  </si>
  <si>
    <t>[C] Vie courante</t>
  </si>
  <si>
    <t>[C] Transport</t>
  </si>
  <si>
    <t>[C] Nourriture</t>
  </si>
  <si>
    <t>[P] Provisions</t>
  </si>
  <si>
    <t>Courses</t>
  </si>
  <si>
    <t>Restaurant</t>
  </si>
  <si>
    <t>Uber Eats</t>
  </si>
  <si>
    <t>Parking</t>
  </si>
  <si>
    <t>Péage</t>
  </si>
  <si>
    <t>Garage</t>
  </si>
  <si>
    <t>Médecin</t>
  </si>
  <si>
    <t>Médicament</t>
  </si>
  <si>
    <t>Podologue</t>
  </si>
  <si>
    <t>Ostéo</t>
  </si>
  <si>
    <t>Kiné</t>
  </si>
  <si>
    <t>Dentiste</t>
  </si>
  <si>
    <t>Piscine</t>
  </si>
  <si>
    <t>Taxe foncière</t>
  </si>
  <si>
    <t>Taxe habitation</t>
  </si>
  <si>
    <t>Téléhpone</t>
  </si>
  <si>
    <t>Abo Zéra</t>
  </si>
  <si>
    <t>&lt;h1&gt; Transactions &lt;/h1&gt;</t>
  </si>
  <si>
    <t>Year</t>
  </si>
  <si>
    <t>Sous-catégorie</t>
  </si>
  <si>
    <t>SousCatégorie</t>
  </si>
  <si>
    <t>Edit</t>
  </si>
  <si>
    <t>Date démarrage</t>
  </si>
  <si>
    <t>Etat du compte</t>
  </si>
  <si>
    <t>- Ajouter Sticky aux entete de tableau</t>
  </si>
  <si>
    <t>[Input]</t>
  </si>
  <si>
    <t>- Regarder le flex</t>
  </si>
  <si>
    <t>https://material.angular.io/components/table/overview#tables-with-display-flex</t>
  </si>
  <si>
    <t>- Ajout des filtres sur la tableau transaction</t>
  </si>
  <si>
    <t>- Ajout du montant sur l'Objet BankAccount</t>
  </si>
  <si>
    <t>Vos Comptes</t>
  </si>
  <si>
    <t>Epargnes</t>
  </si>
  <si>
    <t xml:space="preserve"> Impôts</t>
  </si>
  <si>
    <t>Appel Charge</t>
  </si>
  <si>
    <t>Trvx. Appart.</t>
  </si>
  <si>
    <t>[MONTH]</t>
  </si>
  <si>
    <t>1 Mois</t>
  </si>
  <si>
    <t>3 Mois</t>
  </si>
  <si>
    <t>6 Mois</t>
  </si>
  <si>
    <t>•</t>
  </si>
  <si>
    <t>Année:</t>
  </si>
  <si>
    <t>&lt;h1&gt; Libellé &lt;/h1&gt;</t>
  </si>
  <si>
    <t>Net imposable 2020</t>
  </si>
  <si>
    <t>Tranche non imposable</t>
  </si>
  <si>
    <t>Tranche a 11%</t>
  </si>
  <si>
    <t>Tranche a 30%</t>
  </si>
  <si>
    <t>Calculatrice d'imposition</t>
  </si>
  <si>
    <t>Tranche a 41%</t>
  </si>
  <si>
    <t>Tranche a 45%</t>
  </si>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</sst>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#,##0.00\ &quot;€&quot;"/>
    <numFmt numFmtId="165" formatCode="#,##0.00\ [$€-1]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10"/>
      <color rgb="FF414856"/>
      <name val="Aria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62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4" xfId="0" applyBorder="1"/>
    <xf numFmtId="164" fontId="3" fillId="0" borderId="5" xfId="0" applyNumberFormat="1" applyFont="1" applyBorder="1"/>
    <xf numFmtId="0" fontId="0" fillId="0" borderId="6" xfId="0" applyBorder="1"/>
    <xf numFmtId="164" fontId="3" fillId="0" borderId="7" xfId="0" applyNumberFormat="1" applyFont="1" applyBorder="1"/>
    <xf numFmtId="0" fontId="0" fillId="0" borderId="8" xfId="0" applyBorder="1"/>
    <xf numFmtId="164" fontId="3" fillId="0" borderId="9" xfId="0" applyNumberFormat="1" applyFont="1" applyBorder="1"/>
    <xf numFmtId="0" fontId="0" fillId="0" borderId="10" xfId="0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0" fontId="0" fillId="0" borderId="1" xfId="0" applyBorder="1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Border="1"/>
    <xf numFmtId="0" fontId="4" fillId="0" borderId="0" xfId="0" applyFont="1" applyBorder="1"/>
    <xf numFmtId="0" fontId="4" fillId="0" borderId="0" xfId="0" applyFont="1"/>
    <xf numFmtId="44" fontId="0" fillId="0" borderId="0" xfId="1" applyFont="1"/>
    <xf numFmtId="44" fontId="0" fillId="0" borderId="0" xfId="1" applyFont="1" applyBorder="1"/>
    <xf numFmtId="44" fontId="4" fillId="0" borderId="0" xfId="1" applyFont="1" applyBorder="1"/>
    <xf numFmtId="44" fontId="0" fillId="0" borderId="0" xfId="0" applyNumberFormat="1"/>
    <xf numFmtId="44" fontId="4" fillId="0" borderId="0" xfId="0" applyNumberFormat="1" applyFont="1"/>
    <xf numFmtId="10" fontId="0" fillId="0" borderId="0" xfId="2" applyNumberFormat="1" applyFont="1"/>
    <xf numFmtId="0" fontId="0" fillId="0" borderId="13" xfId="0" applyBorder="1"/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/>
    <xf numFmtId="44" fontId="0" fillId="0" borderId="14" xfId="1" applyFont="1" applyBorder="1"/>
    <xf numFmtId="44" fontId="0" fillId="0" borderId="13" xfId="1" applyFont="1" applyBorder="1"/>
    <xf numFmtId="44" fontId="0" fillId="0" borderId="0" xfId="0" applyNumberFormat="1" applyBorder="1"/>
    <xf numFmtId="0" fontId="0" fillId="0" borderId="15" xfId="0" applyBorder="1"/>
    <xf numFmtId="44" fontId="0" fillId="0" borderId="15" xfId="1" applyFont="1" applyBorder="1"/>
    <xf numFmtId="44" fontId="0" fillId="0" borderId="15" xfId="0" applyNumberFormat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44" fontId="0" fillId="2" borderId="0" xfId="0" applyNumberFormat="1" applyFill="1"/>
    <xf numFmtId="0" fontId="0" fillId="0" borderId="0" xfId="0" applyNumberFormat="1"/>
    <xf numFmtId="44" fontId="2" fillId="0" borderId="0" xfId="1" applyFont="1"/>
    <xf numFmtId="10" fontId="8" fillId="4" borderId="0" xfId="4" applyNumberFormat="1"/>
    <xf numFmtId="164" fontId="8" fillId="4" borderId="1" xfId="4" applyNumberFormat="1" applyBorder="1"/>
    <xf numFmtId="164" fontId="7" fillId="3" borderId="3" xfId="3" applyNumberFormat="1" applyBorder="1"/>
    <xf numFmtId="0" fontId="0" fillId="0" borderId="16" xfId="0" applyBorder="1"/>
    <xf numFmtId="44" fontId="0" fillId="0" borderId="16" xfId="1" applyFont="1" applyBorder="1"/>
    <xf numFmtId="0" fontId="0" fillId="0" borderId="0" xfId="0" applyFill="1" applyBorder="1"/>
    <xf numFmtId="0" fontId="0" fillId="0" borderId="5" xfId="0" applyBorder="1"/>
    <xf numFmtId="164" fontId="2" fillId="0" borderId="7" xfId="0" applyNumberFormat="1" applyFon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/>
    <xf numFmtId="0" fontId="0" fillId="0" borderId="1" xfId="0" applyBorder="1" applyAlignment="1"/>
    <xf numFmtId="6" fontId="2" fillId="0" borderId="0" xfId="1" applyNumberFormat="1" applyFont="1"/>
    <xf numFmtId="0" fontId="0" fillId="0" borderId="17" xfId="0" applyBorder="1"/>
    <xf numFmtId="44" fontId="0" fillId="0" borderId="0" xfId="1" applyNumberFormat="1" applyFont="1"/>
    <xf numFmtId="44" fontId="0" fillId="0" borderId="0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44" fontId="0" fillId="0" borderId="1" xfId="1" applyFont="1" applyBorder="1"/>
    <xf numFmtId="0" fontId="0" fillId="5" borderId="1" xfId="0" applyFill="1" applyBorder="1"/>
    <xf numFmtId="44" fontId="0" fillId="5" borderId="1" xfId="0" applyNumberFormat="1" applyFill="1" applyBorder="1"/>
    <xf numFmtId="0" fontId="0" fillId="6" borderId="1" xfId="0" applyFill="1" applyBorder="1"/>
    <xf numFmtId="44" fontId="0" fillId="6" borderId="1" xfId="1" applyNumberFormat="1" applyFont="1" applyFill="1" applyBorder="1"/>
    <xf numFmtId="0" fontId="0" fillId="0" borderId="1" xfId="0" quotePrefix="1" applyBorder="1" applyAlignment="1">
      <alignment horizontal="center"/>
    </xf>
    <xf numFmtId="0" fontId="0" fillId="0" borderId="3" xfId="0" quotePrefix="1" applyBorder="1" applyAlignment="1">
      <alignment horizontal="right"/>
    </xf>
    <xf numFmtId="0" fontId="0" fillId="0" borderId="17" xfId="0" applyBorder="1" applyAlignment="1"/>
    <xf numFmtId="0" fontId="0" fillId="0" borderId="12" xfId="0" applyBorder="1" applyAlignment="1"/>
    <xf numFmtId="0" fontId="0" fillId="0" borderId="11" xfId="0" quotePrefix="1" applyBorder="1" applyAlignment="1"/>
    <xf numFmtId="0" fontId="12" fillId="0" borderId="0" xfId="5"/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right"/>
    </xf>
    <xf numFmtId="0" fontId="0" fillId="0" borderId="0" xfId="0" applyFill="1" applyBorder="1" applyAlignment="1"/>
    <xf numFmtId="0" fontId="0" fillId="0" borderId="11" xfId="0" applyBorder="1" applyAlignment="1"/>
    <xf numFmtId="0" fontId="0" fillId="0" borderId="7" xfId="0" applyBorder="1"/>
    <xf numFmtId="0" fontId="0" fillId="0" borderId="7" xfId="0" applyBorder="1" applyAlignment="1">
      <alignment horizontal="center"/>
    </xf>
    <xf numFmtId="14" fontId="0" fillId="0" borderId="4" xfId="0" applyNumberFormat="1" applyBorder="1" applyAlignment="1">
      <alignment horizontal="left"/>
    </xf>
    <xf numFmtId="14" fontId="0" fillId="0" borderId="0" xfId="0" quotePrefix="1" applyNumberFormat="1" applyBorder="1" applyAlignment="1">
      <alignment horizontal="left"/>
    </xf>
    <xf numFmtId="0" fontId="0" fillId="0" borderId="0" xfId="0" quotePrefix="1" applyBorder="1" applyAlignment="1">
      <alignment horizontal="left"/>
    </xf>
    <xf numFmtId="14" fontId="0" fillId="0" borderId="6" xfId="0" quotePrefix="1" applyNumberFormat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0" xfId="0" applyAlignment="1">
      <alignment horizontal="right"/>
    </xf>
    <xf numFmtId="0" fontId="9" fillId="0" borderId="16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0" fillId="0" borderId="5" xfId="0" quotePrefix="1" applyBorder="1" applyAlignment="1">
      <alignment horizontal="left"/>
    </xf>
    <xf numFmtId="0" fontId="0" fillId="0" borderId="19" xfId="0" applyBorder="1"/>
    <xf numFmtId="9" fontId="0" fillId="0" borderId="0" xfId="2" applyFont="1"/>
    <xf numFmtId="0" fontId="13" fillId="0" borderId="0" xfId="0" applyFont="1" applyFill="1" applyBorder="1" applyAlignment="1"/>
    <xf numFmtId="0" fontId="0" fillId="0" borderId="0" xfId="0" applyFont="1" applyFill="1" applyBorder="1" applyAlignment="1"/>
    <xf numFmtId="165" fontId="13" fillId="0" borderId="0" xfId="0" applyNumberFormat="1" applyFont="1" applyFill="1" applyBorder="1"/>
    <xf numFmtId="165" fontId="13" fillId="0" borderId="0" xfId="0" applyNumberFormat="1" applyFont="1" applyFill="1" applyBorder="1" applyAlignment="1"/>
    <xf numFmtId="10" fontId="13" fillId="0" borderId="0" xfId="0" applyNumberFormat="1" applyFont="1" applyFill="1" applyBorder="1"/>
    <xf numFmtId="0" fontId="14" fillId="0" borderId="0" xfId="0" applyFont="1" applyFill="1" applyBorder="1" applyAlignment="1">
      <alignment vertical="top"/>
    </xf>
    <xf numFmtId="10" fontId="13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right"/>
    </xf>
    <xf numFmtId="0" fontId="15" fillId="0" borderId="0" xfId="0" applyFont="1" applyFill="1" applyBorder="1"/>
    <xf numFmtId="2" fontId="13" fillId="0" borderId="0" xfId="0" applyNumberFormat="1" applyFont="1" applyFill="1" applyBorder="1" applyAlignment="1"/>
    <xf numFmtId="2" fontId="13" fillId="0" borderId="0" xfId="0" applyNumberFormat="1" applyFont="1" applyFill="1" applyBorder="1"/>
    <xf numFmtId="9" fontId="0" fillId="0" borderId="0" xfId="0" applyNumberFormat="1" applyFill="1" applyBorder="1" applyAlignment="1"/>
    <xf numFmtId="44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6" xfId="1" applyFont="1" applyBorder="1" applyAlignment="1">
      <alignment horizontal="left"/>
    </xf>
    <xf numFmtId="44" fontId="0" fillId="0" borderId="0" xfId="1" applyFont="1" applyBorder="1" applyAlignment="1">
      <alignment horizontal="left"/>
    </xf>
    <xf numFmtId="44" fontId="0" fillId="0" borderId="4" xfId="1" applyFont="1" applyBorder="1" applyAlignment="1">
      <alignment horizontal="left"/>
    </xf>
    <xf numFmtId="44" fontId="0" fillId="0" borderId="16" xfId="1" applyFont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0" fillId="8" borderId="1" xfId="0" applyFill="1" applyBorder="1" applyAlignment="1">
      <alignment horizontal="center" vertical="top"/>
    </xf>
    <xf numFmtId="0" fontId="0" fillId="0" borderId="0" xfId="0" quotePrefix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top"/>
    </xf>
  </cellXfs>
  <cellStyles count="6">
    <cellStyle name="Insatisfaisant" xfId="4" builtinId="27"/>
    <cellStyle name="Lien hypertexte" xfId="5" builtinId="8"/>
    <cellStyle name="Monétaire" xfId="1" builtinId="4"/>
    <cellStyle name="Normal" xfId="0" builtinId="0"/>
    <cellStyle name="Pourcentage" xfId="2" builtinId="5"/>
    <cellStyle name="Satisfaisant" xfId="3" builtinId="26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 defaultTableStyle="TableStyleMedium2" defaultPivotStyle="PivotStyleLight16">
    <tableStyle name="Impôt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E8-4ADC-B305-E6F079804F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E8-4ADC-B305-E6F079804F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('M Epargne'!$E$19,'M Epargne'!$E$29)</c:f>
              <c:strCache>
                <c:ptCount val="2"/>
                <c:pt idx="0">
                  <c:v>Total Epargne</c:v>
                </c:pt>
                <c:pt idx="1">
                  <c:v>Total Provisions</c:v>
                </c:pt>
              </c:strCache>
            </c:strRef>
          </c:cat>
          <c:val>
            <c:numRef>
              <c:f>('M Epargne'!$F$19,'M Epargne'!$F$29)</c:f>
              <c:numCache>
                <c:formatCode>_("€"* #,##0.00_);_("€"* \(#,##0.00\);_("€"* "-"??_);_(@_)</c:formatCode>
                <c:ptCount val="2"/>
                <c:pt idx="0">
                  <c:v>6323</c:v>
                </c:pt>
                <c:pt idx="1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2-4904-A609-4ED3DC912D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A1-4BB8-99E8-D0A952DD2A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A1-4BB8-99E8-D0A952DD2A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A1-4BB8-99E8-D0A952DD2A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A1-4BB8-99E8-D0A952DD2A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9A1-4BB8-99E8-D0A952DD2A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9A1-4BB8-99E8-D0A952DD2AF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9A1-4BB8-99E8-D0A952DD2AF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9A1-4BB8-99E8-D0A952DD2A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('M Epargne'!$E$16:$E$18,'M Epargne'!$E$24:$E$28)</c:f>
              <c:strCache>
                <c:ptCount val="8"/>
                <c:pt idx="0">
                  <c:v>Epargne</c:v>
                </c:pt>
                <c:pt idx="1">
                  <c:v>Vêtement</c:v>
                </c:pt>
                <c:pt idx="2">
                  <c:v>Trvx Appart.</c:v>
                </c:pt>
                <c:pt idx="3">
                  <c:v>Vacances</c:v>
                </c:pt>
                <c:pt idx="4">
                  <c:v>Cadeaux</c:v>
                </c:pt>
                <c:pt idx="5">
                  <c:v>Impôts</c:v>
                </c:pt>
                <c:pt idx="6">
                  <c:v>Imprévu</c:v>
                </c:pt>
                <c:pt idx="7">
                  <c:v>Budget Voiture</c:v>
                </c:pt>
              </c:strCache>
            </c:strRef>
          </c:cat>
          <c:val>
            <c:numRef>
              <c:f>('M Epargne'!$F$16:$F$18,'M Epargne'!$F$24:$F$28)</c:f>
              <c:numCache>
                <c:formatCode>_("€"* #,##0.00_);_("€"* \(#,##0.00\);_("€"* "-"??_);_(@_)</c:formatCode>
                <c:ptCount val="8"/>
                <c:pt idx="0">
                  <c:v>3623</c:v>
                </c:pt>
                <c:pt idx="1">
                  <c:v>700</c:v>
                </c:pt>
                <c:pt idx="2">
                  <c:v>2000</c:v>
                </c:pt>
                <c:pt idx="3">
                  <c:v>1000</c:v>
                </c:pt>
                <c:pt idx="4">
                  <c:v>300</c:v>
                </c:pt>
                <c:pt idx="5">
                  <c:v>200</c:v>
                </c:pt>
                <c:pt idx="6">
                  <c:v>200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5-4A05-A2D3-8D3665DE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14</xdr:row>
      <xdr:rowOff>152400</xdr:rowOff>
    </xdr:from>
    <xdr:to>
      <xdr:col>9</xdr:col>
      <xdr:colOff>704850</xdr:colOff>
      <xdr:row>29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195262</xdr:colOff>
      <xdr:row>14</xdr:row>
      <xdr:rowOff>152400</xdr:rowOff>
    </xdr:from>
    <xdr:to>
      <xdr:col>16</xdr:col>
      <xdr:colOff>195262</xdr:colOff>
      <xdr:row>29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219075</xdr:colOff>
          <xdr:row>42</xdr:row>
          <xdr:rowOff>0</xdr:rowOff>
        </xdr:from>
        <xdr:to>
          <xdr:col>20</xdr:col>
          <xdr:colOff>466725</xdr:colOff>
          <xdr:row>43</xdr:row>
          <xdr:rowOff>19050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D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219075</xdr:colOff>
          <xdr:row>42</xdr:row>
          <xdr:rowOff>161925</xdr:rowOff>
        </xdr:from>
        <xdr:to>
          <xdr:col>20</xdr:col>
          <xdr:colOff>466725</xdr:colOff>
          <xdr:row>43</xdr:row>
          <xdr:rowOff>180975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D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43</xdr:row>
          <xdr:rowOff>161925</xdr:rowOff>
        </xdr:from>
        <xdr:to>
          <xdr:col>20</xdr:col>
          <xdr:colOff>476250</xdr:colOff>
          <xdr:row>44</xdr:row>
          <xdr:rowOff>180975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D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44</xdr:row>
          <xdr:rowOff>161925</xdr:rowOff>
        </xdr:from>
        <xdr:to>
          <xdr:col>20</xdr:col>
          <xdr:colOff>476250</xdr:colOff>
          <xdr:row>45</xdr:row>
          <xdr:rowOff>180975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D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219075</xdr:colOff>
          <xdr:row>46</xdr:row>
          <xdr:rowOff>0</xdr:rowOff>
        </xdr:from>
        <xdr:to>
          <xdr:col>20</xdr:col>
          <xdr:colOff>466725</xdr:colOff>
          <xdr:row>47</xdr:row>
          <xdr:rowOff>19050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D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219075</xdr:colOff>
          <xdr:row>47</xdr:row>
          <xdr:rowOff>0</xdr:rowOff>
        </xdr:from>
        <xdr:to>
          <xdr:col>20</xdr:col>
          <xdr:colOff>466725</xdr:colOff>
          <xdr:row>48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D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aterial.angular.io/components/table/overview" TargetMode="External"/><Relationship Id="rId2" Type="http://schemas.openxmlformats.org/officeDocument/2006/relationships/hyperlink" Target="https://stackblitz.com/edit/pie-chart-using-highcharts?file=app%2Fhighcharts.service.ts" TargetMode="External"/><Relationship Id="rId1" Type="http://schemas.openxmlformats.org/officeDocument/2006/relationships/hyperlink" Target="https://stackblitz.com/edit/ng2-charts-pie-template?file=src%2Fapp%2Fapp.component.ts" TargetMode="External"/><Relationship Id="rId6" Type="http://schemas.openxmlformats.org/officeDocument/2006/relationships/comments" Target="../comments9.xml"/><Relationship Id="rId5" Type="http://schemas.openxmlformats.org/officeDocument/2006/relationships/vmlDrawing" Target="../drawings/vmlDrawing9.vml"/><Relationship Id="rId4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C484-192A-4199-9F6F-D436F5026F1D}">
  <dimension ref="B5:D11"/>
  <sheetViews>
    <sheetView workbookViewId="0">
      <selection activeCell="E11" sqref="E11"/>
    </sheetView>
  </sheetViews>
  <sheetFormatPr baseColWidth="10" defaultRowHeight="15" x14ac:dyDescent="0.25"/>
  <cols>
    <col min="2" max="2" width="17.5703125" bestFit="1" customWidth="1"/>
    <col min="3" max="3" width="12.85546875" customWidth="1"/>
  </cols>
  <sheetData>
    <row r="5" spans="2:4" x14ac:dyDescent="0.25">
      <c r="B5" t="s">
        <v>60</v>
      </c>
      <c r="C5" s="14">
        <v>0.1</v>
      </c>
      <c r="D5" t="s">
        <v>61</v>
      </c>
    </row>
    <row r="6" spans="2:4" x14ac:dyDescent="0.25">
      <c r="C6">
        <f>2285.1*C5</f>
        <v>228.51</v>
      </c>
      <c r="D6" t="s">
        <v>61</v>
      </c>
    </row>
    <row r="9" spans="2:4" x14ac:dyDescent="0.25">
      <c r="B9" t="s">
        <v>176</v>
      </c>
      <c r="C9" s="13" t="s">
        <v>106</v>
      </c>
    </row>
    <row r="11" spans="2:4" x14ac:dyDescent="0.25">
      <c r="B11" t="s">
        <v>177</v>
      </c>
      <c r="C11" s="13" t="s">
        <v>10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C62A-578A-454C-944E-445A3AC049E4}">
  <dimension ref="E15:Q30"/>
  <sheetViews>
    <sheetView showGridLines="0" workbookViewId="0">
      <selection activeCell="E24" sqref="E24"/>
    </sheetView>
  </sheetViews>
  <sheetFormatPr baseColWidth="10" defaultRowHeight="15" x14ac:dyDescent="0.25"/>
  <cols>
    <col min="8" max="8" width="3.28515625" customWidth="1"/>
    <col min="12" max="12" width="14.7109375" bestFit="1" customWidth="1"/>
  </cols>
  <sheetData>
    <row r="15" spans="5:11" x14ac:dyDescent="0.25">
      <c r="E15" s="123" t="s">
        <v>120</v>
      </c>
      <c r="F15" s="125"/>
      <c r="G15" s="119" t="s">
        <v>119</v>
      </c>
      <c r="H15" s="130"/>
      <c r="I15" s="120"/>
      <c r="J15" s="124" t="s">
        <v>121</v>
      </c>
      <c r="K15" s="125"/>
    </row>
    <row r="16" spans="5:11" x14ac:dyDescent="0.25">
      <c r="E16" s="126"/>
      <c r="F16" s="128"/>
      <c r="G16" s="121"/>
      <c r="H16" s="131"/>
      <c r="I16" s="122"/>
      <c r="J16" s="127"/>
      <c r="K16" s="128"/>
    </row>
    <row r="17" spans="5:17" x14ac:dyDescent="0.25">
      <c r="G17" s="16"/>
      <c r="H17" s="16"/>
      <c r="I17" s="16"/>
    </row>
    <row r="18" spans="5:17" x14ac:dyDescent="0.25">
      <c r="E18" s="129" t="s">
        <v>122</v>
      </c>
      <c r="F18" s="129"/>
    </row>
    <row r="20" spans="5:17" x14ac:dyDescent="0.25">
      <c r="E20" s="72" t="s">
        <v>123</v>
      </c>
      <c r="G20" s="3" t="s">
        <v>124</v>
      </c>
      <c r="H20" s="73" t="s">
        <v>127</v>
      </c>
      <c r="J20" s="13" t="s">
        <v>125</v>
      </c>
      <c r="L20" s="13" t="s">
        <v>139</v>
      </c>
      <c r="N20" s="13" t="s">
        <v>128</v>
      </c>
      <c r="P20" s="109" t="s">
        <v>129</v>
      </c>
      <c r="Q20" s="109"/>
    </row>
    <row r="24" spans="5:17" x14ac:dyDescent="0.25">
      <c r="E24" s="79" t="s">
        <v>124</v>
      </c>
      <c r="F24" s="114" t="s">
        <v>125</v>
      </c>
      <c r="G24" s="115"/>
      <c r="H24" s="116" t="s">
        <v>142</v>
      </c>
      <c r="I24" s="116"/>
      <c r="J24" s="116"/>
      <c r="K24" s="75" t="s">
        <v>130</v>
      </c>
      <c r="L24" s="74" t="s">
        <v>131</v>
      </c>
      <c r="N24" s="16"/>
      <c r="O24" s="64"/>
    </row>
    <row r="25" spans="5:17" x14ac:dyDescent="0.25">
      <c r="E25">
        <v>1</v>
      </c>
      <c r="F25" s="117" t="s">
        <v>89</v>
      </c>
      <c r="G25" s="118"/>
      <c r="H25" s="108" t="s">
        <v>28</v>
      </c>
      <c r="I25" s="108"/>
      <c r="J25" s="108"/>
      <c r="K25" s="76" t="s">
        <v>132</v>
      </c>
      <c r="L25" s="16" t="s">
        <v>133</v>
      </c>
      <c r="M25" s="16"/>
      <c r="N25" s="16"/>
    </row>
    <row r="26" spans="5:17" x14ac:dyDescent="0.25">
      <c r="E26">
        <v>2</v>
      </c>
      <c r="F26" s="117" t="s">
        <v>140</v>
      </c>
      <c r="G26" s="118"/>
      <c r="H26" s="108" t="s">
        <v>28</v>
      </c>
      <c r="I26" s="108"/>
      <c r="J26" s="108"/>
      <c r="K26" s="76" t="s">
        <v>132</v>
      </c>
      <c r="L26" s="16" t="s">
        <v>133</v>
      </c>
      <c r="M26" s="16"/>
      <c r="N26" s="16"/>
    </row>
    <row r="27" spans="5:17" x14ac:dyDescent="0.25">
      <c r="E27">
        <v>3</v>
      </c>
      <c r="F27" s="117" t="s">
        <v>2</v>
      </c>
      <c r="G27" s="118"/>
      <c r="H27" s="108" t="s">
        <v>28</v>
      </c>
      <c r="I27" s="108"/>
      <c r="J27" s="108"/>
      <c r="K27" s="76" t="s">
        <v>132</v>
      </c>
      <c r="L27" s="16" t="s">
        <v>133</v>
      </c>
      <c r="M27" s="16"/>
      <c r="N27" s="16"/>
    </row>
    <row r="28" spans="5:17" x14ac:dyDescent="0.25">
      <c r="E28">
        <v>4</v>
      </c>
      <c r="F28" s="117" t="s">
        <v>2</v>
      </c>
      <c r="G28" s="118"/>
      <c r="H28" s="108" t="s">
        <v>95</v>
      </c>
      <c r="I28" s="108"/>
      <c r="J28" s="108"/>
      <c r="K28" s="76" t="s">
        <v>132</v>
      </c>
      <c r="L28" s="16" t="s">
        <v>133</v>
      </c>
      <c r="M28" s="16"/>
      <c r="N28" s="16"/>
    </row>
    <row r="29" spans="5:17" x14ac:dyDescent="0.25">
      <c r="E29">
        <v>5</v>
      </c>
      <c r="F29" s="117" t="s">
        <v>3</v>
      </c>
      <c r="G29" s="118"/>
      <c r="H29" s="108" t="s">
        <v>95</v>
      </c>
      <c r="I29" s="108"/>
      <c r="J29" s="108"/>
      <c r="K29" s="76" t="s">
        <v>132</v>
      </c>
      <c r="L29" s="16" t="s">
        <v>133</v>
      </c>
      <c r="M29" s="16"/>
      <c r="N29" s="16"/>
    </row>
    <row r="30" spans="5:17" x14ac:dyDescent="0.25">
      <c r="E30">
        <v>6</v>
      </c>
      <c r="F30" s="117" t="s">
        <v>141</v>
      </c>
      <c r="G30" s="118"/>
      <c r="H30" s="108" t="s">
        <v>95</v>
      </c>
      <c r="I30" s="108"/>
      <c r="J30" s="108"/>
      <c r="K30" s="76" t="s">
        <v>132</v>
      </c>
      <c r="L30" s="16" t="s">
        <v>133</v>
      </c>
      <c r="M30" s="16"/>
      <c r="N30" s="16"/>
    </row>
  </sheetData>
  <mergeCells count="19">
    <mergeCell ref="P20:Q20"/>
    <mergeCell ref="F28:G28"/>
    <mergeCell ref="H28:J28"/>
    <mergeCell ref="F29:G29"/>
    <mergeCell ref="H29:J29"/>
    <mergeCell ref="F30:G30"/>
    <mergeCell ref="H30:J30"/>
    <mergeCell ref="F25:G25"/>
    <mergeCell ref="H25:J25"/>
    <mergeCell ref="F26:G26"/>
    <mergeCell ref="H26:J26"/>
    <mergeCell ref="F27:G27"/>
    <mergeCell ref="H27:J27"/>
    <mergeCell ref="E15:F16"/>
    <mergeCell ref="G15:I16"/>
    <mergeCell ref="J15:K16"/>
    <mergeCell ref="E18:F18"/>
    <mergeCell ref="F24:G24"/>
    <mergeCell ref="H24:J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BB88-2684-4E87-9FDF-E355F68CCABA}">
  <dimension ref="E15:Q30"/>
  <sheetViews>
    <sheetView showGridLines="0" workbookViewId="0">
      <selection activeCell="E37" sqref="E37"/>
    </sheetView>
  </sheetViews>
  <sheetFormatPr baseColWidth="10" defaultRowHeight="15" x14ac:dyDescent="0.25"/>
  <cols>
    <col min="8" max="8" width="3.28515625" customWidth="1"/>
    <col min="12" max="12" width="14.7109375" bestFit="1" customWidth="1"/>
  </cols>
  <sheetData>
    <row r="15" spans="5:11" x14ac:dyDescent="0.25">
      <c r="E15" s="123" t="s">
        <v>120</v>
      </c>
      <c r="F15" s="125"/>
      <c r="G15" s="132" t="s">
        <v>119</v>
      </c>
      <c r="H15" s="133"/>
      <c r="I15" s="134"/>
      <c r="J15" s="130" t="s">
        <v>121</v>
      </c>
      <c r="K15" s="120"/>
    </row>
    <row r="16" spans="5:11" x14ac:dyDescent="0.25">
      <c r="E16" s="126"/>
      <c r="F16" s="128"/>
      <c r="G16" s="135"/>
      <c r="H16" s="136"/>
      <c r="I16" s="137"/>
      <c r="J16" s="131"/>
      <c r="K16" s="122"/>
    </row>
    <row r="17" spans="5:17" x14ac:dyDescent="0.25">
      <c r="G17" s="16"/>
      <c r="H17" s="16"/>
      <c r="I17" s="16"/>
    </row>
    <row r="18" spans="5:17" x14ac:dyDescent="0.25">
      <c r="E18" s="129" t="s">
        <v>122</v>
      </c>
      <c r="F18" s="129"/>
    </row>
    <row r="20" spans="5:17" x14ac:dyDescent="0.25">
      <c r="E20" s="72" t="s">
        <v>123</v>
      </c>
      <c r="G20" s="3" t="s">
        <v>124</v>
      </c>
      <c r="H20" s="73" t="s">
        <v>127</v>
      </c>
      <c r="J20" s="13" t="s">
        <v>125</v>
      </c>
      <c r="L20" s="13" t="s">
        <v>126</v>
      </c>
      <c r="N20" s="13" t="s">
        <v>128</v>
      </c>
      <c r="P20" s="109" t="s">
        <v>129</v>
      </c>
      <c r="Q20" s="109"/>
    </row>
    <row r="24" spans="5:17" x14ac:dyDescent="0.25">
      <c r="E24" s="79" t="s">
        <v>124</v>
      </c>
      <c r="F24" s="114" t="s">
        <v>125</v>
      </c>
      <c r="G24" s="115"/>
      <c r="H24" s="116" t="s">
        <v>126</v>
      </c>
      <c r="I24" s="116"/>
      <c r="J24" s="116"/>
      <c r="K24" s="75" t="s">
        <v>130</v>
      </c>
      <c r="L24" s="74" t="s">
        <v>131</v>
      </c>
      <c r="N24" s="16"/>
      <c r="O24" s="64"/>
    </row>
    <row r="25" spans="5:17" x14ac:dyDescent="0.25">
      <c r="E25">
        <v>1</v>
      </c>
      <c r="F25" s="117" t="s">
        <v>147</v>
      </c>
      <c r="G25" s="118"/>
      <c r="H25" s="108" t="s">
        <v>146</v>
      </c>
      <c r="I25" s="108"/>
      <c r="J25" s="108"/>
      <c r="K25" s="76" t="s">
        <v>132</v>
      </c>
      <c r="L25" s="16" t="s">
        <v>133</v>
      </c>
      <c r="M25" s="16"/>
      <c r="N25" s="16"/>
    </row>
    <row r="26" spans="5:17" x14ac:dyDescent="0.25">
      <c r="E26">
        <v>2</v>
      </c>
      <c r="F26" s="117" t="s">
        <v>107</v>
      </c>
      <c r="G26" s="118"/>
      <c r="H26" s="108" t="s">
        <v>46</v>
      </c>
      <c r="I26" s="108"/>
      <c r="J26" s="108"/>
      <c r="K26" s="76" t="s">
        <v>132</v>
      </c>
      <c r="L26" s="16" t="s">
        <v>133</v>
      </c>
      <c r="M26" s="16"/>
      <c r="N26" s="16"/>
    </row>
    <row r="27" spans="5:17" x14ac:dyDescent="0.25">
      <c r="E27">
        <v>3</v>
      </c>
      <c r="F27" s="117" t="s">
        <v>108</v>
      </c>
      <c r="G27" s="118"/>
      <c r="H27" s="108" t="s">
        <v>46</v>
      </c>
      <c r="I27" s="108"/>
      <c r="J27" s="108"/>
      <c r="K27" s="76" t="s">
        <v>132</v>
      </c>
      <c r="L27" s="16" t="s">
        <v>133</v>
      </c>
      <c r="M27" s="16"/>
      <c r="N27" s="16"/>
    </row>
    <row r="28" spans="5:17" x14ac:dyDescent="0.25">
      <c r="E28">
        <v>4</v>
      </c>
      <c r="F28" s="117" t="s">
        <v>109</v>
      </c>
      <c r="G28" s="118"/>
      <c r="H28" s="108" t="s">
        <v>46</v>
      </c>
      <c r="I28" s="108"/>
      <c r="J28" s="108"/>
      <c r="K28" s="76" t="s">
        <v>132</v>
      </c>
      <c r="L28" s="16" t="s">
        <v>133</v>
      </c>
      <c r="M28" s="16"/>
      <c r="N28" s="16"/>
    </row>
    <row r="29" spans="5:17" x14ac:dyDescent="0.25">
      <c r="F29" s="117"/>
      <c r="G29" s="118"/>
      <c r="H29" s="108"/>
      <c r="I29" s="108"/>
      <c r="J29" s="108"/>
      <c r="K29" s="76"/>
      <c r="L29" s="16"/>
      <c r="M29" s="16"/>
      <c r="N29" s="16"/>
    </row>
    <row r="30" spans="5:17" x14ac:dyDescent="0.25">
      <c r="F30" s="117"/>
      <c r="G30" s="118"/>
      <c r="H30" s="108"/>
      <c r="I30" s="108"/>
      <c r="J30" s="108"/>
      <c r="K30" s="76"/>
      <c r="L30" s="16"/>
      <c r="M30" s="16"/>
      <c r="N30" s="16"/>
    </row>
  </sheetData>
  <mergeCells count="19">
    <mergeCell ref="F30:G30"/>
    <mergeCell ref="H30:J30"/>
    <mergeCell ref="F27:G27"/>
    <mergeCell ref="H27:J27"/>
    <mergeCell ref="F28:G28"/>
    <mergeCell ref="H28:J28"/>
    <mergeCell ref="F29:G29"/>
    <mergeCell ref="H29:J29"/>
    <mergeCell ref="P20:Q20"/>
    <mergeCell ref="F25:G25"/>
    <mergeCell ref="H25:J25"/>
    <mergeCell ref="F26:G26"/>
    <mergeCell ref="H26:J26"/>
    <mergeCell ref="F24:G24"/>
    <mergeCell ref="H24:J24"/>
    <mergeCell ref="E15:F16"/>
    <mergeCell ref="G15:I16"/>
    <mergeCell ref="J15:K16"/>
    <mergeCell ref="E18:F18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6FFD-6BE2-48BF-A18D-CE01D35CA433}">
  <dimension ref="E15:AC33"/>
  <sheetViews>
    <sheetView showGridLines="0" topLeftCell="A4" workbookViewId="0">
      <selection activeCell="AF17" sqref="AF17"/>
    </sheetView>
  </sheetViews>
  <sheetFormatPr baseColWidth="10" defaultRowHeight="15" x14ac:dyDescent="0.25"/>
  <cols>
    <col min="6" max="9" width="5.7109375" customWidth="1"/>
    <col min="10" max="10" width="4.85546875" bestFit="1" customWidth="1"/>
    <col min="11" max="11" width="10.7109375" bestFit="1" customWidth="1"/>
    <col min="12" max="27" width="5.7109375" customWidth="1"/>
  </cols>
  <sheetData>
    <row r="15" spans="5:11" x14ac:dyDescent="0.25">
      <c r="E15" s="140" t="s">
        <v>171</v>
      </c>
      <c r="F15" s="140"/>
      <c r="G15" s="80"/>
      <c r="H15" s="80"/>
      <c r="I15" s="80"/>
      <c r="J15" s="80"/>
      <c r="K15" s="80"/>
    </row>
    <row r="16" spans="5:11" x14ac:dyDescent="0.25">
      <c r="E16" s="80"/>
      <c r="F16" s="80"/>
      <c r="G16" s="80"/>
      <c r="H16" s="80"/>
      <c r="I16" s="80"/>
      <c r="J16" s="80"/>
      <c r="K16" s="80"/>
    </row>
    <row r="17" spans="5:29" x14ac:dyDescent="0.25">
      <c r="G17" s="16"/>
      <c r="H17" s="16"/>
      <c r="I17" s="16"/>
    </row>
    <row r="18" spans="5:29" x14ac:dyDescent="0.25">
      <c r="E18" s="129" t="s">
        <v>122</v>
      </c>
      <c r="F18" s="129"/>
    </row>
    <row r="20" spans="5:29" x14ac:dyDescent="0.25">
      <c r="E20" s="72" t="s">
        <v>123</v>
      </c>
      <c r="G20" s="3" t="s">
        <v>124</v>
      </c>
      <c r="H20" s="73" t="s">
        <v>127</v>
      </c>
      <c r="J20" s="13" t="s">
        <v>172</v>
      </c>
      <c r="L20" s="13" t="s">
        <v>8</v>
      </c>
      <c r="N20" s="13" t="s">
        <v>106</v>
      </c>
      <c r="P20" s="141" t="s">
        <v>9</v>
      </c>
      <c r="Q20" s="142"/>
      <c r="S20" s="141" t="s">
        <v>142</v>
      </c>
      <c r="T20" s="142"/>
      <c r="V20" s="141" t="s">
        <v>173</v>
      </c>
      <c r="W20" s="147"/>
      <c r="X20" s="142"/>
      <c r="Z20" s="141" t="s">
        <v>128</v>
      </c>
      <c r="AA20" s="142"/>
      <c r="AB20" s="109" t="s">
        <v>129</v>
      </c>
      <c r="AC20" s="109"/>
    </row>
    <row r="25" spans="5:29" x14ac:dyDescent="0.25">
      <c r="N25" s="6"/>
      <c r="O25" s="17"/>
      <c r="P25" s="6"/>
      <c r="Q25" s="17"/>
      <c r="R25" s="82"/>
      <c r="S25" s="82"/>
    </row>
    <row r="26" spans="5:29" x14ac:dyDescent="0.25">
      <c r="E26" s="27" t="s">
        <v>124</v>
      </c>
      <c r="F26" s="117" t="s">
        <v>105</v>
      </c>
      <c r="G26" s="118"/>
      <c r="H26" s="146" t="s">
        <v>8</v>
      </c>
      <c r="I26" s="146"/>
      <c r="J26" s="146"/>
      <c r="K26" s="81" t="s">
        <v>106</v>
      </c>
      <c r="L26" s="138" t="s">
        <v>9</v>
      </c>
      <c r="M26" s="148"/>
      <c r="N26" s="138" t="s">
        <v>142</v>
      </c>
      <c r="O26" s="148"/>
      <c r="P26" s="153" t="s">
        <v>174</v>
      </c>
      <c r="Q26" s="154"/>
      <c r="R26" s="155"/>
      <c r="S26" s="82" t="s">
        <v>175</v>
      </c>
      <c r="T26" s="109" t="s">
        <v>131</v>
      </c>
      <c r="U26" s="109"/>
    </row>
    <row r="27" spans="5:29" x14ac:dyDescent="0.25">
      <c r="E27" s="56" t="s">
        <v>179</v>
      </c>
      <c r="F27" s="138" t="s">
        <v>179</v>
      </c>
      <c r="G27" s="139"/>
      <c r="H27" s="126" t="s">
        <v>179</v>
      </c>
      <c r="I27" s="127"/>
      <c r="J27" s="128"/>
      <c r="K27" s="56" t="s">
        <v>179</v>
      </c>
      <c r="L27" s="138" t="s">
        <v>179</v>
      </c>
      <c r="M27" s="148"/>
      <c r="N27" s="138" t="s">
        <v>179</v>
      </c>
      <c r="O27" s="148"/>
      <c r="P27" s="135" t="s">
        <v>179</v>
      </c>
      <c r="Q27" s="136"/>
      <c r="R27" s="137"/>
      <c r="S27" s="83"/>
      <c r="T27" s="127"/>
      <c r="U27" s="127"/>
    </row>
    <row r="28" spans="5:29" x14ac:dyDescent="0.25">
      <c r="E28" s="90">
        <v>1</v>
      </c>
      <c r="F28" s="143">
        <v>2021</v>
      </c>
      <c r="G28" s="144"/>
      <c r="H28" s="145" t="s">
        <v>11</v>
      </c>
      <c r="I28" s="145"/>
      <c r="J28" s="145"/>
      <c r="K28" s="84">
        <v>44196</v>
      </c>
      <c r="L28" s="151">
        <v>2300</v>
      </c>
      <c r="M28" s="152"/>
      <c r="N28" s="143" t="s">
        <v>28</v>
      </c>
      <c r="O28" s="145"/>
      <c r="P28" s="143" t="s">
        <v>89</v>
      </c>
      <c r="Q28" s="145"/>
      <c r="R28" s="144"/>
      <c r="S28" s="92" t="s">
        <v>132</v>
      </c>
      <c r="T28" s="145" t="s">
        <v>133</v>
      </c>
      <c r="U28" s="145"/>
    </row>
    <row r="29" spans="5:29" x14ac:dyDescent="0.25">
      <c r="E29" s="91">
        <v>2</v>
      </c>
      <c r="F29" s="117">
        <v>2021</v>
      </c>
      <c r="G29" s="146"/>
      <c r="H29" s="117" t="s">
        <v>11</v>
      </c>
      <c r="I29" s="146"/>
      <c r="J29" s="118"/>
      <c r="K29" s="85">
        <v>44198</v>
      </c>
      <c r="L29" s="149">
        <v>750</v>
      </c>
      <c r="M29" s="150"/>
      <c r="N29" s="117" t="s">
        <v>95</v>
      </c>
      <c r="O29" s="146"/>
      <c r="P29" s="117" t="s">
        <v>2</v>
      </c>
      <c r="Q29" s="146"/>
      <c r="R29" s="118"/>
      <c r="S29" s="78" t="s">
        <v>132</v>
      </c>
      <c r="T29" s="108" t="s">
        <v>133</v>
      </c>
      <c r="U29" s="108"/>
    </row>
    <row r="30" spans="5:29" x14ac:dyDescent="0.25">
      <c r="E30" s="91">
        <v>3</v>
      </c>
      <c r="F30" s="117">
        <v>2021</v>
      </c>
      <c r="G30" s="146"/>
      <c r="H30" s="117" t="s">
        <v>11</v>
      </c>
      <c r="I30" s="146"/>
      <c r="J30" s="118"/>
      <c r="K30" s="86"/>
      <c r="L30" s="149"/>
      <c r="M30" s="150"/>
      <c r="N30" s="117"/>
      <c r="O30" s="146"/>
      <c r="P30" s="117"/>
      <c r="Q30" s="146"/>
      <c r="R30" s="118"/>
      <c r="S30" s="78" t="s">
        <v>132</v>
      </c>
      <c r="T30" s="108" t="s">
        <v>133</v>
      </c>
      <c r="U30" s="108"/>
    </row>
    <row r="31" spans="5:29" x14ac:dyDescent="0.25">
      <c r="E31" s="91">
        <v>4</v>
      </c>
      <c r="F31" s="117">
        <v>2021</v>
      </c>
      <c r="G31" s="118"/>
      <c r="H31" s="146" t="s">
        <v>12</v>
      </c>
      <c r="I31" s="146"/>
      <c r="J31" s="146"/>
      <c r="K31" s="87">
        <v>44226</v>
      </c>
      <c r="L31" s="149">
        <v>2290</v>
      </c>
      <c r="M31" s="150"/>
      <c r="N31" s="117" t="s">
        <v>28</v>
      </c>
      <c r="O31" s="146"/>
      <c r="P31" s="117" t="s">
        <v>89</v>
      </c>
      <c r="Q31" s="146"/>
      <c r="R31" s="118"/>
      <c r="S31" s="78" t="s">
        <v>132</v>
      </c>
      <c r="T31" s="108" t="s">
        <v>133</v>
      </c>
      <c r="U31" s="108"/>
    </row>
    <row r="32" spans="5:29" x14ac:dyDescent="0.25">
      <c r="E32" s="91">
        <v>5</v>
      </c>
      <c r="F32" s="117">
        <v>2021</v>
      </c>
      <c r="G32" s="118"/>
      <c r="H32" s="108" t="s">
        <v>12</v>
      </c>
      <c r="I32" s="108"/>
      <c r="J32" s="108"/>
      <c r="K32" s="88"/>
      <c r="L32" s="149"/>
      <c r="M32" s="150"/>
      <c r="N32" s="117"/>
      <c r="O32" s="146"/>
      <c r="P32" s="117"/>
      <c r="Q32" s="146"/>
      <c r="R32" s="118"/>
      <c r="S32" s="78" t="s">
        <v>132</v>
      </c>
      <c r="T32" s="108" t="s">
        <v>133</v>
      </c>
      <c r="U32" s="108"/>
    </row>
    <row r="33" spans="5:21" x14ac:dyDescent="0.25">
      <c r="E33" s="91">
        <v>6</v>
      </c>
      <c r="F33" s="117">
        <v>2021</v>
      </c>
      <c r="G33" s="118"/>
      <c r="H33" s="108" t="s">
        <v>12</v>
      </c>
      <c r="I33" s="108"/>
      <c r="J33" s="108"/>
      <c r="K33" s="88"/>
      <c r="L33" s="149"/>
      <c r="M33" s="150"/>
      <c r="N33" s="117"/>
      <c r="O33" s="146"/>
      <c r="P33" s="117"/>
      <c r="Q33" s="146"/>
      <c r="R33" s="118"/>
      <c r="S33" s="78" t="s">
        <v>132</v>
      </c>
      <c r="T33" s="108" t="s">
        <v>133</v>
      </c>
      <c r="U33" s="108"/>
    </row>
  </sheetData>
  <mergeCells count="55">
    <mergeCell ref="T29:U29"/>
    <mergeCell ref="T30:U30"/>
    <mergeCell ref="T31:U31"/>
    <mergeCell ref="T32:U32"/>
    <mergeCell ref="T28:U28"/>
    <mergeCell ref="L30:M30"/>
    <mergeCell ref="L31:M31"/>
    <mergeCell ref="L32:M32"/>
    <mergeCell ref="F26:G26"/>
    <mergeCell ref="H26:J26"/>
    <mergeCell ref="L26:M26"/>
    <mergeCell ref="L33:M33"/>
    <mergeCell ref="N33:O33"/>
    <mergeCell ref="P33:R33"/>
    <mergeCell ref="T33:U33"/>
    <mergeCell ref="P28:R28"/>
    <mergeCell ref="P29:R29"/>
    <mergeCell ref="P30:R30"/>
    <mergeCell ref="P31:R31"/>
    <mergeCell ref="P32:R32"/>
    <mergeCell ref="N28:O28"/>
    <mergeCell ref="N29:O29"/>
    <mergeCell ref="N30:O30"/>
    <mergeCell ref="N31:O31"/>
    <mergeCell ref="N32:O32"/>
    <mergeCell ref="L28:M28"/>
    <mergeCell ref="L29:M29"/>
    <mergeCell ref="F31:G31"/>
    <mergeCell ref="H31:J31"/>
    <mergeCell ref="F32:G32"/>
    <mergeCell ref="H32:J32"/>
    <mergeCell ref="F33:G33"/>
    <mergeCell ref="H33:J33"/>
    <mergeCell ref="F28:G28"/>
    <mergeCell ref="H28:J28"/>
    <mergeCell ref="F29:G29"/>
    <mergeCell ref="H29:J29"/>
    <mergeCell ref="F30:G30"/>
    <mergeCell ref="H30:J30"/>
    <mergeCell ref="E18:F18"/>
    <mergeCell ref="AB20:AC20"/>
    <mergeCell ref="F27:G27"/>
    <mergeCell ref="H27:J27"/>
    <mergeCell ref="E15:F15"/>
    <mergeCell ref="P20:Q20"/>
    <mergeCell ref="S20:T20"/>
    <mergeCell ref="V20:X20"/>
    <mergeCell ref="Z20:AA20"/>
    <mergeCell ref="P27:R27"/>
    <mergeCell ref="N27:O27"/>
    <mergeCell ref="L27:M27"/>
    <mergeCell ref="T27:U27"/>
    <mergeCell ref="T26:U26"/>
    <mergeCell ref="N26:O26"/>
    <mergeCell ref="P26:R26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FC0D-1A1A-4240-9FC5-C34F46D49AA9}">
  <dimension ref="A3:R35"/>
  <sheetViews>
    <sheetView showGridLines="0" workbookViewId="0">
      <selection activeCell="N11" sqref="N11"/>
    </sheetView>
  </sheetViews>
  <sheetFormatPr baseColWidth="10" defaultRowHeight="15" x14ac:dyDescent="0.25"/>
  <cols>
    <col min="2" max="2" width="18.42578125" bestFit="1" customWidth="1"/>
    <col min="3" max="3" width="14.42578125" bestFit="1" customWidth="1"/>
    <col min="5" max="5" width="15" bestFit="1" customWidth="1"/>
    <col min="14" max="14" width="6.140625" bestFit="1" customWidth="1"/>
    <col min="18" max="18" width="14.5703125" customWidth="1"/>
  </cols>
  <sheetData>
    <row r="3" spans="1:18" x14ac:dyDescent="0.25">
      <c r="A3" s="109" t="s">
        <v>117</v>
      </c>
      <c r="B3" s="109"/>
      <c r="N3" t="s">
        <v>113</v>
      </c>
    </row>
    <row r="5" spans="1:18" x14ac:dyDescent="0.25">
      <c r="B5" s="65"/>
      <c r="C5" s="65"/>
      <c r="D5" s="65"/>
      <c r="E5" s="65"/>
      <c r="F5" s="65"/>
      <c r="G5" s="65"/>
      <c r="N5" s="159" t="s">
        <v>116</v>
      </c>
      <c r="O5" s="108"/>
      <c r="P5" s="108"/>
      <c r="Q5" s="108"/>
    </row>
    <row r="6" spans="1:18" ht="43.5" customHeight="1" x14ac:dyDescent="0.25">
      <c r="B6" s="65"/>
      <c r="C6" s="65"/>
      <c r="D6" s="65"/>
      <c r="E6" s="65"/>
      <c r="F6" s="65"/>
      <c r="G6" s="65"/>
      <c r="N6" s="156" t="s">
        <v>118</v>
      </c>
      <c r="O6" s="157"/>
      <c r="P6" s="157"/>
      <c r="Q6" s="157"/>
      <c r="R6" s="157"/>
    </row>
    <row r="7" spans="1:18" x14ac:dyDescent="0.25">
      <c r="N7" s="36" t="s">
        <v>178</v>
      </c>
    </row>
    <row r="8" spans="1:18" x14ac:dyDescent="0.25">
      <c r="N8" s="36" t="s">
        <v>180</v>
      </c>
      <c r="P8" s="77" t="s">
        <v>181</v>
      </c>
    </row>
    <row r="9" spans="1:18" x14ac:dyDescent="0.25">
      <c r="B9" s="66"/>
      <c r="N9" s="36" t="s">
        <v>182</v>
      </c>
    </row>
    <row r="10" spans="1:18" x14ac:dyDescent="0.25">
      <c r="B10" s="66"/>
      <c r="N10" s="36" t="s">
        <v>183</v>
      </c>
    </row>
    <row r="11" spans="1:18" x14ac:dyDescent="0.25">
      <c r="B11" s="66"/>
    </row>
    <row r="12" spans="1:18" x14ac:dyDescent="0.25">
      <c r="D12" s="160" t="s">
        <v>107</v>
      </c>
      <c r="E12" s="160"/>
      <c r="F12" s="160" t="s">
        <v>108</v>
      </c>
      <c r="G12" s="160"/>
      <c r="H12" s="160" t="s">
        <v>109</v>
      </c>
      <c r="I12" s="160"/>
    </row>
    <row r="13" spans="1:18" x14ac:dyDescent="0.25">
      <c r="D13" s="160"/>
      <c r="E13" s="160"/>
      <c r="F13" s="160"/>
      <c r="G13" s="160"/>
      <c r="H13" s="160"/>
      <c r="I13" s="160"/>
    </row>
    <row r="16" spans="1:18" x14ac:dyDescent="0.25">
      <c r="D16" s="161" t="s">
        <v>46</v>
      </c>
      <c r="E16" s="13" t="s">
        <v>46</v>
      </c>
      <c r="F16" s="67">
        <v>3623</v>
      </c>
    </row>
    <row r="17" spans="4:6" x14ac:dyDescent="0.25">
      <c r="D17" s="161"/>
      <c r="E17" s="13" t="s">
        <v>110</v>
      </c>
      <c r="F17" s="67">
        <v>700</v>
      </c>
    </row>
    <row r="18" spans="4:6" x14ac:dyDescent="0.25">
      <c r="D18" s="161"/>
      <c r="E18" s="13" t="s">
        <v>111</v>
      </c>
      <c r="F18" s="67">
        <v>2000</v>
      </c>
    </row>
    <row r="19" spans="4:6" x14ac:dyDescent="0.25">
      <c r="D19" s="161"/>
      <c r="E19" s="70" t="s">
        <v>115</v>
      </c>
      <c r="F19" s="71">
        <f>SUM(F16:F18)</f>
        <v>6323</v>
      </c>
    </row>
    <row r="24" spans="4:6" x14ac:dyDescent="0.25">
      <c r="D24" s="158" t="s">
        <v>6</v>
      </c>
      <c r="E24" s="13" t="s">
        <v>27</v>
      </c>
      <c r="F24" s="67">
        <v>1000</v>
      </c>
    </row>
    <row r="25" spans="4:6" x14ac:dyDescent="0.25">
      <c r="D25" s="158"/>
      <c r="E25" s="13" t="s">
        <v>26</v>
      </c>
      <c r="F25" s="67">
        <v>300</v>
      </c>
    </row>
    <row r="26" spans="4:6" x14ac:dyDescent="0.25">
      <c r="D26" s="158"/>
      <c r="E26" s="13" t="s">
        <v>1</v>
      </c>
      <c r="F26" s="67">
        <v>200</v>
      </c>
    </row>
    <row r="27" spans="4:6" x14ac:dyDescent="0.25">
      <c r="D27" s="158"/>
      <c r="E27" s="13" t="s">
        <v>66</v>
      </c>
      <c r="F27" s="67">
        <v>200</v>
      </c>
    </row>
    <row r="28" spans="4:6" x14ac:dyDescent="0.25">
      <c r="D28" s="158"/>
      <c r="E28" s="13" t="s">
        <v>112</v>
      </c>
      <c r="F28" s="67">
        <v>500</v>
      </c>
    </row>
    <row r="29" spans="4:6" x14ac:dyDescent="0.25">
      <c r="D29" s="158"/>
      <c r="E29" s="68" t="s">
        <v>114</v>
      </c>
      <c r="F29" s="69">
        <f>SUM(F24:F28)</f>
        <v>2200</v>
      </c>
    </row>
    <row r="34" spans="2:3" x14ac:dyDescent="0.25">
      <c r="B34" t="s">
        <v>145</v>
      </c>
      <c r="C34" s="77" t="s">
        <v>143</v>
      </c>
    </row>
    <row r="35" spans="2:3" x14ac:dyDescent="0.25">
      <c r="C35" s="77" t="s">
        <v>144</v>
      </c>
    </row>
  </sheetData>
  <mergeCells count="8">
    <mergeCell ref="A3:B3"/>
    <mergeCell ref="N6:R6"/>
    <mergeCell ref="D24:D29"/>
    <mergeCell ref="N5:Q5"/>
    <mergeCell ref="H12:I13"/>
    <mergeCell ref="D12:E13"/>
    <mergeCell ref="F12:G13"/>
    <mergeCell ref="D16:D19"/>
  </mergeCells>
  <hyperlinks>
    <hyperlink ref="C34" r:id="rId1" xr:uid="{5819DA6C-D108-4E27-9C46-7D84C9738FE1}"/>
    <hyperlink ref="C35" r:id="rId2" xr:uid="{D07F8745-3B24-4161-9EEC-90A074C4963A}"/>
    <hyperlink ref="P8" r:id="rId3" location="tables-with-display-flex" xr:uid="{C29CAB85-5AAF-4175-85C1-FC90EE9F46CA}"/>
  </hyperlinks>
  <pageMargins left="0.7" right="0.7" top="0.75" bottom="0.75" header="0.3" footer="0.3"/>
  <drawing r:id="rId4"/>
  <legacy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5248-10E4-4433-AE13-D34007C37269}">
  <dimension ref="A2:U50"/>
  <sheetViews>
    <sheetView showGridLines="0" topLeftCell="A7" workbookViewId="0">
      <selection activeCell="H43" sqref="H43"/>
    </sheetView>
  </sheetViews>
  <sheetFormatPr baseColWidth="10" defaultRowHeight="15" x14ac:dyDescent="0.25"/>
  <cols>
    <col min="1" max="1" width="17" bestFit="1" customWidth="1"/>
    <col min="2" max="2" width="3.28515625" customWidth="1"/>
    <col min="3" max="3" width="18.42578125" bestFit="1" customWidth="1"/>
    <col min="4" max="4" width="14.7109375" bestFit="1" customWidth="1"/>
    <col min="5" max="5" width="11.140625" bestFit="1" customWidth="1"/>
    <col min="6" max="6" width="16.5703125" bestFit="1" customWidth="1"/>
    <col min="7" max="7" width="12.140625" bestFit="1" customWidth="1"/>
    <col min="8" max="8" width="11.140625" customWidth="1"/>
  </cols>
  <sheetData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4" spans="1:15" x14ac:dyDescent="0.25">
      <c r="C4" s="1"/>
      <c r="D4" s="1"/>
      <c r="E4" s="1"/>
      <c r="F4" s="1"/>
    </row>
    <row r="5" spans="1:15" x14ac:dyDescent="0.25">
      <c r="C5" s="1"/>
      <c r="D5" s="1"/>
      <c r="E5" s="1"/>
      <c r="F5" s="1"/>
    </row>
    <row r="6" spans="1:15" x14ac:dyDescent="0.25">
      <c r="C6" s="1"/>
      <c r="D6" s="1"/>
      <c r="E6" s="1"/>
      <c r="F6" s="1"/>
    </row>
    <row r="7" spans="1:15" x14ac:dyDescent="0.25">
      <c r="D7" t="s">
        <v>71</v>
      </c>
    </row>
    <row r="8" spans="1:15" x14ac:dyDescent="0.25">
      <c r="D8" t="s">
        <v>74</v>
      </c>
      <c r="E8" s="41" t="s">
        <v>75</v>
      </c>
      <c r="F8" t="s">
        <v>76</v>
      </c>
      <c r="G8" t="s">
        <v>72</v>
      </c>
      <c r="H8" t="s">
        <v>73</v>
      </c>
    </row>
    <row r="9" spans="1:15" x14ac:dyDescent="0.25">
      <c r="C9" t="s">
        <v>43</v>
      </c>
      <c r="D9" s="1">
        <v>1000</v>
      </c>
      <c r="E9" s="42">
        <v>44378</v>
      </c>
      <c r="F9" s="40">
        <v>44501</v>
      </c>
      <c r="G9" s="40">
        <v>44743</v>
      </c>
      <c r="H9">
        <v>12</v>
      </c>
      <c r="I9" s="44">
        <f>D9/J9</f>
        <v>125</v>
      </c>
      <c r="J9" s="41">
        <f>DATEDIF(F9,G9,"m")</f>
        <v>8</v>
      </c>
    </row>
    <row r="10" spans="1:15" x14ac:dyDescent="0.25">
      <c r="C10" t="s">
        <v>42</v>
      </c>
      <c r="D10" s="1">
        <v>300</v>
      </c>
      <c r="E10" s="42">
        <v>44562</v>
      </c>
      <c r="F10" s="43">
        <v>44562</v>
      </c>
      <c r="G10" s="40">
        <v>44927</v>
      </c>
      <c r="H10">
        <v>12</v>
      </c>
      <c r="I10" s="44">
        <f t="shared" ref="I10:I15" si="0">D10/J10</f>
        <v>25</v>
      </c>
      <c r="J10" s="41">
        <f t="shared" ref="J10:J19" si="1">DATEDIF(F10,G10,"m")</f>
        <v>12</v>
      </c>
    </row>
    <row r="11" spans="1:15" x14ac:dyDescent="0.25">
      <c r="C11" t="s">
        <v>44</v>
      </c>
      <c r="D11" s="1">
        <v>200</v>
      </c>
      <c r="E11" s="42">
        <v>44562</v>
      </c>
      <c r="F11" s="43">
        <v>44562</v>
      </c>
      <c r="G11" s="40">
        <v>44927</v>
      </c>
      <c r="H11">
        <v>12</v>
      </c>
      <c r="I11" s="44">
        <f t="shared" si="0"/>
        <v>16.666666666666668</v>
      </c>
      <c r="J11" s="41">
        <f t="shared" si="1"/>
        <v>12</v>
      </c>
    </row>
    <row r="12" spans="1:15" x14ac:dyDescent="0.25">
      <c r="C12" t="s">
        <v>45</v>
      </c>
      <c r="D12" s="1">
        <v>200</v>
      </c>
      <c r="E12" s="42">
        <v>44562</v>
      </c>
      <c r="F12" s="43">
        <v>44562</v>
      </c>
      <c r="G12" s="40">
        <v>44927</v>
      </c>
      <c r="H12">
        <v>12</v>
      </c>
      <c r="I12" s="44">
        <f t="shared" si="0"/>
        <v>16.666666666666668</v>
      </c>
      <c r="J12" s="41">
        <f t="shared" si="1"/>
        <v>12</v>
      </c>
    </row>
    <row r="13" spans="1:15" x14ac:dyDescent="0.25">
      <c r="C13" t="s">
        <v>49</v>
      </c>
      <c r="D13" s="1">
        <v>2000</v>
      </c>
      <c r="E13" s="42">
        <v>44562</v>
      </c>
      <c r="F13" s="43">
        <v>44562</v>
      </c>
      <c r="G13" s="40">
        <v>44927</v>
      </c>
      <c r="H13">
        <v>12</v>
      </c>
      <c r="I13" s="44">
        <f t="shared" si="0"/>
        <v>166.66666666666666</v>
      </c>
      <c r="J13" s="41">
        <f t="shared" si="1"/>
        <v>12</v>
      </c>
    </row>
    <row r="14" spans="1:15" x14ac:dyDescent="0.25">
      <c r="C14" t="s">
        <v>48</v>
      </c>
      <c r="D14" s="1">
        <v>200</v>
      </c>
      <c r="E14" s="42">
        <v>44562</v>
      </c>
      <c r="F14" s="43">
        <v>44562</v>
      </c>
      <c r="G14" s="40">
        <v>44927</v>
      </c>
      <c r="H14">
        <v>12</v>
      </c>
      <c r="I14" s="44">
        <f t="shared" si="0"/>
        <v>16.666666666666668</v>
      </c>
      <c r="J14" s="41">
        <f t="shared" si="1"/>
        <v>12</v>
      </c>
    </row>
    <row r="15" spans="1:15" x14ac:dyDescent="0.25">
      <c r="C15" t="s">
        <v>77</v>
      </c>
      <c r="D15" s="1">
        <v>220</v>
      </c>
      <c r="E15" s="42">
        <v>44562</v>
      </c>
      <c r="F15" s="43">
        <v>44562</v>
      </c>
      <c r="G15" s="40">
        <v>44652</v>
      </c>
      <c r="H15">
        <v>3</v>
      </c>
      <c r="I15" s="44">
        <f t="shared" si="0"/>
        <v>73.333333333333329</v>
      </c>
      <c r="J15" s="41">
        <f t="shared" si="1"/>
        <v>3</v>
      </c>
    </row>
    <row r="16" spans="1:15" x14ac:dyDescent="0.25">
      <c r="C16" t="s">
        <v>78</v>
      </c>
      <c r="D16" s="1">
        <v>220</v>
      </c>
      <c r="E16" s="42">
        <v>44652</v>
      </c>
      <c r="F16" s="43">
        <v>44652</v>
      </c>
      <c r="G16" s="40">
        <v>44743</v>
      </c>
      <c r="H16">
        <v>3</v>
      </c>
      <c r="I16" s="44">
        <f>D16/J16</f>
        <v>73.333333333333329</v>
      </c>
      <c r="J16" s="41">
        <f t="shared" si="1"/>
        <v>3</v>
      </c>
    </row>
    <row r="17" spans="2:10" x14ac:dyDescent="0.25">
      <c r="C17" t="s">
        <v>80</v>
      </c>
      <c r="D17" s="1">
        <v>220</v>
      </c>
      <c r="E17" s="42">
        <v>44743</v>
      </c>
      <c r="F17" s="43">
        <v>44743</v>
      </c>
      <c r="G17" s="40">
        <v>44835</v>
      </c>
      <c r="H17">
        <v>3</v>
      </c>
      <c r="I17" s="44">
        <f>D17/J17</f>
        <v>73.333333333333329</v>
      </c>
      <c r="J17" s="41">
        <f t="shared" si="1"/>
        <v>3</v>
      </c>
    </row>
    <row r="18" spans="2:10" x14ac:dyDescent="0.25">
      <c r="C18" t="s">
        <v>81</v>
      </c>
      <c r="D18" s="1">
        <v>220</v>
      </c>
      <c r="E18" s="42">
        <v>44835</v>
      </c>
      <c r="F18" s="43">
        <v>44835</v>
      </c>
      <c r="G18" s="40">
        <v>44927</v>
      </c>
      <c r="H18">
        <v>3</v>
      </c>
      <c r="I18" s="44">
        <f>D18/J18</f>
        <v>73.333333333333329</v>
      </c>
      <c r="J18" s="41">
        <f t="shared" si="1"/>
        <v>3</v>
      </c>
    </row>
    <row r="19" spans="2:10" x14ac:dyDescent="0.25">
      <c r="C19" t="s">
        <v>82</v>
      </c>
      <c r="D19" s="1">
        <v>500</v>
      </c>
      <c r="E19" s="42">
        <v>44562</v>
      </c>
      <c r="F19" s="40">
        <v>44562</v>
      </c>
      <c r="G19" s="40">
        <v>44927</v>
      </c>
      <c r="H19" s="45">
        <v>12</v>
      </c>
      <c r="I19" s="44">
        <f>D19/J19</f>
        <v>41.666666666666664</v>
      </c>
      <c r="J19" s="41">
        <f t="shared" si="1"/>
        <v>12</v>
      </c>
    </row>
    <row r="20" spans="2:10" x14ac:dyDescent="0.25">
      <c r="B20" s="37" t="s">
        <v>79</v>
      </c>
    </row>
    <row r="34" spans="3:21" x14ac:dyDescent="0.25">
      <c r="I34" s="23">
        <f>SUM(I9:I33)</f>
        <v>701.66666666666674</v>
      </c>
    </row>
    <row r="42" spans="3:21" x14ac:dyDescent="0.25">
      <c r="D42" t="s">
        <v>83</v>
      </c>
      <c r="E42" t="s">
        <v>84</v>
      </c>
      <c r="F42" t="s">
        <v>85</v>
      </c>
      <c r="G42" t="s">
        <v>86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  <c r="O42" t="s">
        <v>18</v>
      </c>
      <c r="P42" t="s">
        <v>19</v>
      </c>
      <c r="Q42" t="s">
        <v>20</v>
      </c>
      <c r="R42" t="s">
        <v>21</v>
      </c>
      <c r="S42" t="s">
        <v>22</v>
      </c>
      <c r="T42" t="s">
        <v>11</v>
      </c>
    </row>
    <row r="43" spans="3:21" x14ac:dyDescent="0.25">
      <c r="C43" t="s">
        <v>43</v>
      </c>
      <c r="D43" s="1">
        <v>1000</v>
      </c>
      <c r="E43" s="40">
        <v>44743</v>
      </c>
      <c r="F43" s="38">
        <v>12</v>
      </c>
      <c r="G43" t="s">
        <v>11</v>
      </c>
      <c r="H43" s="1">
        <f>$D43/$F43</f>
        <v>83.333333333333329</v>
      </c>
      <c r="I43" s="1">
        <f>$D43/$F43</f>
        <v>83.333333333333329</v>
      </c>
      <c r="J43" s="1">
        <f t="shared" ref="J43:T43" si="2">$D43/$F43</f>
        <v>83.333333333333329</v>
      </c>
      <c r="K43" s="1">
        <f t="shared" si="2"/>
        <v>83.333333333333329</v>
      </c>
      <c r="L43" s="1">
        <f t="shared" si="2"/>
        <v>83.333333333333329</v>
      </c>
      <c r="M43" s="1">
        <f t="shared" si="2"/>
        <v>83.333333333333329</v>
      </c>
      <c r="N43" s="1">
        <f t="shared" si="2"/>
        <v>83.333333333333329</v>
      </c>
      <c r="O43" s="1">
        <f t="shared" si="2"/>
        <v>83.333333333333329</v>
      </c>
      <c r="P43" s="1">
        <f t="shared" si="2"/>
        <v>83.333333333333329</v>
      </c>
      <c r="Q43" s="1">
        <f t="shared" si="2"/>
        <v>83.333333333333329</v>
      </c>
      <c r="R43" s="1">
        <f t="shared" si="2"/>
        <v>83.333333333333329</v>
      </c>
      <c r="S43" s="1">
        <f t="shared" si="2"/>
        <v>83.333333333333329</v>
      </c>
      <c r="T43" s="1">
        <f t="shared" si="2"/>
        <v>83.333333333333329</v>
      </c>
    </row>
    <row r="44" spans="3:21" x14ac:dyDescent="0.25">
      <c r="C44" t="s">
        <v>42</v>
      </c>
      <c r="D44" s="1">
        <v>300</v>
      </c>
      <c r="E44" s="40">
        <v>44927</v>
      </c>
      <c r="F44" s="38">
        <v>12</v>
      </c>
      <c r="G44" t="s">
        <v>11</v>
      </c>
      <c r="H44" s="1">
        <f t="shared" ref="H44:T48" si="3">$D44/$F44</f>
        <v>25</v>
      </c>
      <c r="I44" s="1">
        <f t="shared" si="3"/>
        <v>25</v>
      </c>
      <c r="J44" s="1">
        <f t="shared" si="3"/>
        <v>25</v>
      </c>
      <c r="K44" s="1">
        <f t="shared" si="3"/>
        <v>25</v>
      </c>
      <c r="L44" s="1">
        <f t="shared" si="3"/>
        <v>25</v>
      </c>
      <c r="M44" s="1">
        <f t="shared" si="3"/>
        <v>25</v>
      </c>
      <c r="N44" s="1">
        <f t="shared" si="3"/>
        <v>25</v>
      </c>
      <c r="O44" s="1">
        <f t="shared" si="3"/>
        <v>25</v>
      </c>
      <c r="P44" s="1">
        <f t="shared" si="3"/>
        <v>25</v>
      </c>
      <c r="Q44" s="1">
        <f t="shared" si="3"/>
        <v>25</v>
      </c>
      <c r="R44" s="1">
        <f t="shared" si="3"/>
        <v>25</v>
      </c>
      <c r="S44" s="1">
        <f t="shared" si="3"/>
        <v>25</v>
      </c>
      <c r="T44" s="1">
        <f t="shared" si="3"/>
        <v>25</v>
      </c>
    </row>
    <row r="45" spans="3:21" x14ac:dyDescent="0.25">
      <c r="C45" t="s">
        <v>44</v>
      </c>
      <c r="D45" s="1">
        <v>200</v>
      </c>
      <c r="E45" s="40">
        <v>44927</v>
      </c>
      <c r="F45" s="38">
        <v>12</v>
      </c>
      <c r="G45" t="s">
        <v>11</v>
      </c>
      <c r="H45" s="1">
        <f t="shared" si="3"/>
        <v>16.666666666666668</v>
      </c>
      <c r="I45" s="1">
        <f t="shared" si="3"/>
        <v>16.666666666666668</v>
      </c>
      <c r="J45" s="1">
        <f t="shared" si="3"/>
        <v>16.666666666666668</v>
      </c>
      <c r="K45" s="1">
        <f t="shared" si="3"/>
        <v>16.666666666666668</v>
      </c>
      <c r="L45" s="1">
        <f t="shared" si="3"/>
        <v>16.666666666666668</v>
      </c>
      <c r="M45" s="1">
        <f t="shared" si="3"/>
        <v>16.666666666666668</v>
      </c>
      <c r="N45" s="1">
        <f t="shared" si="3"/>
        <v>16.666666666666668</v>
      </c>
      <c r="O45" s="1">
        <f t="shared" si="3"/>
        <v>16.666666666666668</v>
      </c>
      <c r="P45" s="1">
        <f t="shared" si="3"/>
        <v>16.666666666666668</v>
      </c>
      <c r="Q45" s="1">
        <f t="shared" si="3"/>
        <v>16.666666666666668</v>
      </c>
      <c r="R45" s="1">
        <f t="shared" si="3"/>
        <v>16.666666666666668</v>
      </c>
      <c r="S45" s="1">
        <f t="shared" si="3"/>
        <v>16.666666666666668</v>
      </c>
      <c r="T45" s="1">
        <f t="shared" si="3"/>
        <v>16.666666666666668</v>
      </c>
    </row>
    <row r="46" spans="3:21" x14ac:dyDescent="0.25">
      <c r="C46" t="s">
        <v>45</v>
      </c>
      <c r="D46" s="1">
        <v>200</v>
      </c>
      <c r="E46" s="40">
        <v>44927</v>
      </c>
      <c r="F46" s="38">
        <v>12</v>
      </c>
      <c r="G46" t="s">
        <v>11</v>
      </c>
      <c r="H46" s="1">
        <f t="shared" si="3"/>
        <v>16.666666666666668</v>
      </c>
      <c r="I46" s="1">
        <f t="shared" si="3"/>
        <v>16.666666666666668</v>
      </c>
      <c r="J46" s="1">
        <f t="shared" si="3"/>
        <v>16.666666666666668</v>
      </c>
      <c r="K46" s="1">
        <f t="shared" si="3"/>
        <v>16.666666666666668</v>
      </c>
      <c r="L46" s="1">
        <f t="shared" si="3"/>
        <v>16.666666666666668</v>
      </c>
      <c r="M46" s="1">
        <f t="shared" si="3"/>
        <v>16.666666666666668</v>
      </c>
      <c r="N46" s="1">
        <f t="shared" si="3"/>
        <v>16.666666666666668</v>
      </c>
      <c r="O46" s="1">
        <f t="shared" si="3"/>
        <v>16.666666666666668</v>
      </c>
      <c r="P46" s="1">
        <f t="shared" si="3"/>
        <v>16.666666666666668</v>
      </c>
      <c r="Q46" s="1">
        <f t="shared" si="3"/>
        <v>16.666666666666668</v>
      </c>
      <c r="R46" s="1">
        <f t="shared" si="3"/>
        <v>16.666666666666668</v>
      </c>
      <c r="S46" s="1">
        <f t="shared" si="3"/>
        <v>16.666666666666668</v>
      </c>
      <c r="T46" s="1">
        <f t="shared" si="3"/>
        <v>16.666666666666668</v>
      </c>
    </row>
    <row r="47" spans="3:21" x14ac:dyDescent="0.25">
      <c r="C47" t="s">
        <v>82</v>
      </c>
      <c r="D47" s="1">
        <v>500</v>
      </c>
      <c r="E47" s="40">
        <v>44927</v>
      </c>
      <c r="F47" s="38">
        <v>12</v>
      </c>
      <c r="G47" t="s">
        <v>11</v>
      </c>
      <c r="H47" s="1">
        <f t="shared" si="3"/>
        <v>41.666666666666664</v>
      </c>
      <c r="I47" s="1">
        <f t="shared" si="3"/>
        <v>41.666666666666664</v>
      </c>
      <c r="J47" s="1">
        <f t="shared" si="3"/>
        <v>41.666666666666664</v>
      </c>
      <c r="K47" s="1">
        <f t="shared" si="3"/>
        <v>41.666666666666664</v>
      </c>
      <c r="L47" s="1">
        <f t="shared" si="3"/>
        <v>41.666666666666664</v>
      </c>
      <c r="M47" s="1">
        <f t="shared" si="3"/>
        <v>41.666666666666664</v>
      </c>
      <c r="N47" s="1">
        <f t="shared" si="3"/>
        <v>41.666666666666664</v>
      </c>
      <c r="O47" s="1">
        <f t="shared" si="3"/>
        <v>41.666666666666664</v>
      </c>
      <c r="P47" s="1">
        <f t="shared" si="3"/>
        <v>41.666666666666664</v>
      </c>
      <c r="Q47" s="1">
        <f t="shared" si="3"/>
        <v>41.666666666666664</v>
      </c>
      <c r="R47" s="1">
        <f t="shared" si="3"/>
        <v>41.666666666666664</v>
      </c>
      <c r="S47" s="1">
        <f t="shared" si="3"/>
        <v>41.666666666666664</v>
      </c>
      <c r="T47" s="1">
        <f t="shared" si="3"/>
        <v>41.666666666666664</v>
      </c>
    </row>
    <row r="48" spans="3:21" x14ac:dyDescent="0.25">
      <c r="C48" t="s">
        <v>87</v>
      </c>
      <c r="D48" s="1">
        <v>880</v>
      </c>
      <c r="E48" s="40">
        <v>44927</v>
      </c>
      <c r="F48" s="63">
        <v>12</v>
      </c>
      <c r="G48" t="s">
        <v>11</v>
      </c>
      <c r="H48" s="1">
        <f t="shared" si="3"/>
        <v>73.333333333333329</v>
      </c>
      <c r="I48" s="1">
        <f t="shared" si="3"/>
        <v>73.333333333333329</v>
      </c>
      <c r="J48" s="1">
        <f t="shared" si="3"/>
        <v>73.333333333333329</v>
      </c>
      <c r="K48" s="1">
        <f t="shared" si="3"/>
        <v>73.333333333333329</v>
      </c>
      <c r="L48" s="1">
        <f t="shared" si="3"/>
        <v>73.333333333333329</v>
      </c>
      <c r="M48" s="1">
        <f t="shared" si="3"/>
        <v>73.333333333333329</v>
      </c>
      <c r="N48" s="1">
        <f t="shared" si="3"/>
        <v>73.333333333333329</v>
      </c>
      <c r="O48" s="1">
        <f t="shared" si="3"/>
        <v>73.333333333333329</v>
      </c>
      <c r="P48" s="1">
        <f t="shared" si="3"/>
        <v>73.333333333333329</v>
      </c>
      <c r="Q48" s="1">
        <f t="shared" si="3"/>
        <v>73.333333333333329</v>
      </c>
      <c r="R48" s="1">
        <f t="shared" si="3"/>
        <v>73.333333333333329</v>
      </c>
      <c r="S48" s="1">
        <f t="shared" si="3"/>
        <v>73.333333333333329</v>
      </c>
      <c r="T48" s="1">
        <f t="shared" si="3"/>
        <v>73.333333333333329</v>
      </c>
    </row>
    <row r="49" spans="2:20" x14ac:dyDescent="0.25">
      <c r="B49" s="38" t="s">
        <v>79</v>
      </c>
    </row>
    <row r="50" spans="2:20" x14ac:dyDescent="0.25">
      <c r="D50" s="1">
        <f>SUM(D43:D49)</f>
        <v>3080</v>
      </c>
      <c r="E50" s="1"/>
      <c r="F50" s="1"/>
      <c r="G50" s="1"/>
      <c r="H50" s="1">
        <f t="shared" ref="H50:T50" si="4">SUM(H43:H49)</f>
        <v>256.66666666666663</v>
      </c>
      <c r="I50" s="1">
        <f t="shared" si="4"/>
        <v>256.66666666666663</v>
      </c>
      <c r="J50" s="1">
        <f t="shared" si="4"/>
        <v>256.66666666666663</v>
      </c>
      <c r="K50" s="1">
        <f t="shared" si="4"/>
        <v>256.66666666666663</v>
      </c>
      <c r="L50" s="1">
        <f t="shared" si="4"/>
        <v>256.66666666666663</v>
      </c>
      <c r="M50" s="1">
        <f t="shared" si="4"/>
        <v>256.66666666666663</v>
      </c>
      <c r="N50" s="1">
        <f t="shared" si="4"/>
        <v>256.66666666666663</v>
      </c>
      <c r="O50" s="1">
        <f t="shared" si="4"/>
        <v>256.66666666666663</v>
      </c>
      <c r="P50" s="1">
        <f t="shared" si="4"/>
        <v>256.66666666666663</v>
      </c>
      <c r="Q50" s="1">
        <f t="shared" si="4"/>
        <v>256.66666666666663</v>
      </c>
      <c r="R50" s="1">
        <f t="shared" si="4"/>
        <v>256.66666666666663</v>
      </c>
      <c r="S50" s="1">
        <f t="shared" si="4"/>
        <v>256.66666666666663</v>
      </c>
      <c r="T50" s="1">
        <f t="shared" si="4"/>
        <v>256.66666666666663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4" name="Check Box 5">
              <controlPr defaultSize="0" autoFill="0" autoLine="0" autoPict="0">
                <anchor moveWithCells="1">
                  <from>
                    <xdr:col>20</xdr:col>
                    <xdr:colOff>219075</xdr:colOff>
                    <xdr:row>42</xdr:row>
                    <xdr:rowOff>0</xdr:rowOff>
                  </from>
                  <to>
                    <xdr:col>20</xdr:col>
                    <xdr:colOff>466725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20</xdr:col>
                    <xdr:colOff>219075</xdr:colOff>
                    <xdr:row>42</xdr:row>
                    <xdr:rowOff>161925</xdr:rowOff>
                  </from>
                  <to>
                    <xdr:col>20</xdr:col>
                    <xdr:colOff>466725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20</xdr:col>
                    <xdr:colOff>228600</xdr:colOff>
                    <xdr:row>43</xdr:row>
                    <xdr:rowOff>161925</xdr:rowOff>
                  </from>
                  <to>
                    <xdr:col>20</xdr:col>
                    <xdr:colOff>476250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20</xdr:col>
                    <xdr:colOff>228600</xdr:colOff>
                    <xdr:row>44</xdr:row>
                    <xdr:rowOff>161925</xdr:rowOff>
                  </from>
                  <to>
                    <xdr:col>20</xdr:col>
                    <xdr:colOff>476250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8" name="Check Box 14">
              <controlPr defaultSize="0" autoFill="0" autoLine="0" autoPict="0">
                <anchor moveWithCells="1">
                  <from>
                    <xdr:col>20</xdr:col>
                    <xdr:colOff>219075</xdr:colOff>
                    <xdr:row>46</xdr:row>
                    <xdr:rowOff>0</xdr:rowOff>
                  </from>
                  <to>
                    <xdr:col>20</xdr:col>
                    <xdr:colOff>466725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20</xdr:col>
                    <xdr:colOff>219075</xdr:colOff>
                    <xdr:row>47</xdr:row>
                    <xdr:rowOff>0</xdr:rowOff>
                  </from>
                  <to>
                    <xdr:col>20</xdr:col>
                    <xdr:colOff>466725</xdr:colOff>
                    <xdr:row>48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41EC-D930-46E7-8F9B-30A53E029631}">
  <dimension ref="A3:J31"/>
  <sheetViews>
    <sheetView topLeftCell="A4" workbookViewId="0">
      <selection activeCell="M17" sqref="M17"/>
    </sheetView>
  </sheetViews>
  <sheetFormatPr baseColWidth="10" defaultRowHeight="15" x14ac:dyDescent="0.25"/>
  <cols>
    <col min="1" max="1" width="17" bestFit="1" customWidth="1"/>
    <col min="2" max="2" width="14.140625" bestFit="1" customWidth="1"/>
    <col min="3" max="3" width="12.140625" bestFit="1" customWidth="1"/>
    <col min="4" max="4" width="16.5703125" bestFit="1" customWidth="1"/>
    <col min="9" max="9" width="12.140625" bestFit="1" customWidth="1"/>
  </cols>
  <sheetData>
    <row r="3" spans="2:10" x14ac:dyDescent="0.25">
      <c r="F3" s="16"/>
    </row>
    <row r="5" spans="2:10" x14ac:dyDescent="0.25">
      <c r="G5" s="16"/>
      <c r="H5" s="16"/>
      <c r="I5" s="16"/>
      <c r="J5" s="16"/>
    </row>
    <row r="6" spans="2:10" x14ac:dyDescent="0.25">
      <c r="B6" t="s">
        <v>101</v>
      </c>
      <c r="C6" t="s">
        <v>103</v>
      </c>
      <c r="D6" t="s">
        <v>63</v>
      </c>
      <c r="F6" s="108" t="s">
        <v>62</v>
      </c>
      <c r="G6" s="108"/>
      <c r="H6" s="108"/>
      <c r="I6" s="108"/>
      <c r="J6" s="16"/>
    </row>
    <row r="8" spans="2:10" x14ac:dyDescent="0.25">
      <c r="G8" s="109" t="s">
        <v>63</v>
      </c>
      <c r="H8" s="109"/>
      <c r="I8" s="109" t="s">
        <v>64</v>
      </c>
      <c r="J8" s="109"/>
    </row>
    <row r="9" spans="2:10" x14ac:dyDescent="0.25">
      <c r="B9" s="60" t="s">
        <v>102</v>
      </c>
      <c r="C9" t="s">
        <v>67</v>
      </c>
      <c r="D9" t="s">
        <v>104</v>
      </c>
      <c r="G9" t="s">
        <v>67</v>
      </c>
      <c r="H9" t="s">
        <v>68</v>
      </c>
      <c r="I9" t="s">
        <v>67</v>
      </c>
      <c r="J9" t="s">
        <v>11</v>
      </c>
    </row>
    <row r="10" spans="2:10" x14ac:dyDescent="0.25">
      <c r="B10" t="s">
        <v>27</v>
      </c>
      <c r="C10" s="61">
        <v>1000</v>
      </c>
      <c r="D10" s="20"/>
      <c r="F10" t="s">
        <v>27</v>
      </c>
      <c r="G10" s="20">
        <v>1000</v>
      </c>
      <c r="H10" s="20" t="e">
        <f>SUMIF(#REF!,F10,#REF!)</f>
        <v>#REF!</v>
      </c>
      <c r="I10" s="23">
        <f t="shared" ref="I10:I15" si="0">G10/12</f>
        <v>83.333333333333329</v>
      </c>
      <c r="J10" s="20" t="e">
        <f>SUMIFS(#REF!,#REF!,Budgets!F10,#REF!,Budgets!$J$9)</f>
        <v>#REF!</v>
      </c>
    </row>
    <row r="11" spans="2:10" x14ac:dyDescent="0.25">
      <c r="B11" t="s">
        <v>26</v>
      </c>
      <c r="C11" s="61">
        <v>200</v>
      </c>
      <c r="D11" s="20"/>
      <c r="F11" t="s">
        <v>26</v>
      </c>
      <c r="G11" s="20">
        <v>200</v>
      </c>
      <c r="H11" s="20" t="e">
        <f>SUMIF(#REF!,F11,#REF!)</f>
        <v>#REF!</v>
      </c>
      <c r="I11" s="23">
        <f t="shared" si="0"/>
        <v>16.666666666666668</v>
      </c>
      <c r="J11" s="20" t="e">
        <f>SUMIFS(#REF!,#REF!,Budgets!F11,#REF!,Budgets!$J$9)</f>
        <v>#REF!</v>
      </c>
    </row>
    <row r="12" spans="2:10" x14ac:dyDescent="0.25">
      <c r="B12" t="s">
        <v>1</v>
      </c>
      <c r="C12" s="61">
        <v>200</v>
      </c>
      <c r="D12" s="20"/>
      <c r="F12" t="s">
        <v>1</v>
      </c>
      <c r="G12" s="20">
        <v>200</v>
      </c>
      <c r="H12" s="20" t="e">
        <f>SUMIF(#REF!,F12,#REF!)</f>
        <v>#REF!</v>
      </c>
      <c r="I12" s="23">
        <f t="shared" si="0"/>
        <v>16.666666666666668</v>
      </c>
      <c r="J12" s="20" t="e">
        <f>SUMIFS(#REF!,#REF!,Budgets!F12,#REF!,Budgets!$J$9)</f>
        <v>#REF!</v>
      </c>
    </row>
    <row r="13" spans="2:10" x14ac:dyDescent="0.25">
      <c r="B13" t="s">
        <v>66</v>
      </c>
      <c r="C13" s="61">
        <v>500</v>
      </c>
      <c r="D13" s="20"/>
      <c r="F13" t="s">
        <v>66</v>
      </c>
      <c r="G13" s="20">
        <v>500</v>
      </c>
      <c r="H13" s="20" t="e">
        <f>SUMIF(#REF!,F13,#REF!)</f>
        <v>#REF!</v>
      </c>
      <c r="I13" s="23">
        <f t="shared" si="0"/>
        <v>41.666666666666664</v>
      </c>
      <c r="J13" s="20" t="e">
        <f>SUMIFS(#REF!,#REF!,Budgets!F13,#REF!,Budgets!$J$9)</f>
        <v>#REF!</v>
      </c>
    </row>
    <row r="14" spans="2:10" x14ac:dyDescent="0.25">
      <c r="B14" s="17" t="s">
        <v>65</v>
      </c>
      <c r="C14" s="62">
        <v>2000</v>
      </c>
      <c r="D14" s="20"/>
      <c r="F14" s="17" t="s">
        <v>65</v>
      </c>
      <c r="G14" s="21">
        <v>2000</v>
      </c>
      <c r="H14" s="20" t="e">
        <f>SUMIF(#REF!,F14,#REF!)</f>
        <v>#REF!</v>
      </c>
      <c r="I14" s="23">
        <f t="shared" si="0"/>
        <v>166.66666666666666</v>
      </c>
      <c r="J14" s="20" t="e">
        <f>SUMIFS(#REF!,#REF!,Budgets!F14,#REF!,Budgets!$J$9)</f>
        <v>#REF!</v>
      </c>
    </row>
    <row r="15" spans="2:10" x14ac:dyDescent="0.25">
      <c r="B15" s="17" t="s">
        <v>47</v>
      </c>
      <c r="C15" s="62">
        <v>200</v>
      </c>
      <c r="D15" s="20"/>
      <c r="F15" s="17" t="s">
        <v>47</v>
      </c>
      <c r="G15" s="21">
        <v>200</v>
      </c>
      <c r="H15" s="20" t="e">
        <f>SUMIF(#REF!,F15,#REF!)</f>
        <v>#REF!</v>
      </c>
      <c r="I15" s="23">
        <f t="shared" si="0"/>
        <v>16.666666666666668</v>
      </c>
      <c r="J15" s="20" t="e">
        <f>SUMIFS(#REF!,#REF!,Budgets!F15,#REF!,Budgets!$J$9)</f>
        <v>#REF!</v>
      </c>
    </row>
    <row r="16" spans="2:10" x14ac:dyDescent="0.25">
      <c r="B16" s="18" t="s">
        <v>2</v>
      </c>
      <c r="C16" s="23">
        <v>9000</v>
      </c>
      <c r="D16" s="20"/>
      <c r="F16" s="18" t="s">
        <v>2</v>
      </c>
      <c r="G16" s="2">
        <f t="shared" ref="G16:G30" si="1">I16*12</f>
        <v>9000</v>
      </c>
      <c r="H16" s="20" t="e">
        <f>SUMIF(#REF!,F16,#REF!)</f>
        <v>#REF!</v>
      </c>
      <c r="I16" s="22">
        <v>750</v>
      </c>
      <c r="J16" s="20" t="e">
        <f>SUMIFS(#REF!,#REF!,Budgets!F16,#REF!,Budgets!$J$9)</f>
        <v>#REF!</v>
      </c>
    </row>
    <row r="17" spans="1:10" x14ac:dyDescent="0.25">
      <c r="B17" s="18" t="s">
        <v>3</v>
      </c>
      <c r="C17" s="23">
        <v>880</v>
      </c>
      <c r="D17" s="20"/>
      <c r="F17" s="18" t="s">
        <v>3</v>
      </c>
      <c r="G17" s="2">
        <f t="shared" si="1"/>
        <v>800</v>
      </c>
      <c r="H17" s="20" t="e">
        <f>SUMIF(#REF!,F17,#REF!)</f>
        <v>#REF!</v>
      </c>
      <c r="I17" s="22">
        <f>200/3</f>
        <v>66.666666666666671</v>
      </c>
      <c r="J17" s="20" t="e">
        <f>SUMIFS(#REF!,#REF!,Budgets!F17,#REF!,Budgets!$J$9)</f>
        <v>#REF!</v>
      </c>
    </row>
    <row r="18" spans="1:10" x14ac:dyDescent="0.25">
      <c r="B18" s="18" t="s">
        <v>4</v>
      </c>
      <c r="C18" s="23">
        <v>140</v>
      </c>
      <c r="D18" s="20"/>
      <c r="F18" s="18" t="s">
        <v>4</v>
      </c>
      <c r="G18" s="2">
        <f t="shared" si="1"/>
        <v>1440</v>
      </c>
      <c r="H18" s="20" t="e">
        <f>SUMIF(#REF!,F18,#REF!)</f>
        <v>#REF!</v>
      </c>
      <c r="I18" s="22">
        <v>120</v>
      </c>
      <c r="J18" s="20" t="e">
        <f>SUMIFS(#REF!,#REF!,Budgets!F18,#REF!,Budgets!$J$9)</f>
        <v>#REF!</v>
      </c>
    </row>
    <row r="19" spans="1:10" x14ac:dyDescent="0.25">
      <c r="B19" s="18" t="s">
        <v>5</v>
      </c>
      <c r="C19" s="23">
        <v>251.88</v>
      </c>
      <c r="D19" s="20"/>
      <c r="F19" s="18" t="s">
        <v>5</v>
      </c>
      <c r="G19" s="2">
        <f t="shared" si="1"/>
        <v>287.88</v>
      </c>
      <c r="H19" s="20" t="e">
        <f>SUMIF(#REF!,F19,#REF!)</f>
        <v>#REF!</v>
      </c>
      <c r="I19" s="22">
        <v>23.99</v>
      </c>
      <c r="J19" s="20" t="e">
        <f>SUMIFS(#REF!,#REF!,Budgets!F19,#REF!,Budgets!$J$9)</f>
        <v>#REF!</v>
      </c>
    </row>
    <row r="20" spans="1:10" x14ac:dyDescent="0.25">
      <c r="B20" s="18" t="s">
        <v>51</v>
      </c>
      <c r="C20" s="23">
        <v>275.88</v>
      </c>
      <c r="D20" s="20"/>
      <c r="F20" s="18" t="s">
        <v>51</v>
      </c>
      <c r="G20" s="2">
        <f t="shared" si="1"/>
        <v>251.88</v>
      </c>
      <c r="H20" s="20" t="e">
        <f>SUMIF(#REF!,F20,#REF!)</f>
        <v>#REF!</v>
      </c>
      <c r="I20" s="22">
        <v>20.99</v>
      </c>
      <c r="J20" s="20" t="e">
        <f>SUMIFS(#REF!,#REF!,Budgets!F20,#REF!,Budgets!$J$9)</f>
        <v>#REF!</v>
      </c>
    </row>
    <row r="21" spans="1:10" x14ac:dyDescent="0.25">
      <c r="B21" s="18" t="s">
        <v>52</v>
      </c>
      <c r="C21" s="23">
        <v>2760</v>
      </c>
      <c r="D21" s="20"/>
      <c r="F21" s="18" t="s">
        <v>52</v>
      </c>
      <c r="G21" s="2">
        <f t="shared" si="1"/>
        <v>2880</v>
      </c>
      <c r="H21" s="20" t="e">
        <f>SUMIF(#REF!,F21,#REF!)</f>
        <v>#REF!</v>
      </c>
      <c r="I21" s="22">
        <v>240</v>
      </c>
      <c r="J21" s="20" t="e">
        <f>SUMIFS(#REF!,#REF!,Budgets!F21,#REF!,Budgets!$J$9)</f>
        <v>#REF!</v>
      </c>
    </row>
    <row r="22" spans="1:10" x14ac:dyDescent="0.25">
      <c r="B22" s="18" t="s">
        <v>53</v>
      </c>
      <c r="C22" s="23">
        <v>144</v>
      </c>
      <c r="D22" s="20"/>
      <c r="F22" s="18" t="s">
        <v>53</v>
      </c>
      <c r="G22" s="2">
        <f t="shared" si="1"/>
        <v>119.88</v>
      </c>
      <c r="H22" s="20" t="e">
        <f>SUMIF(#REF!,F22,#REF!)</f>
        <v>#REF!</v>
      </c>
      <c r="I22" s="22">
        <v>9.99</v>
      </c>
      <c r="J22" s="20" t="e">
        <f>SUMIFS(#REF!,#REF!,Budgets!F22,#REF!,Budgets!$J$9)</f>
        <v>#REF!</v>
      </c>
    </row>
    <row r="23" spans="1:10" x14ac:dyDescent="0.25">
      <c r="B23" s="18" t="s">
        <v>54</v>
      </c>
      <c r="C23" s="23">
        <v>48</v>
      </c>
      <c r="D23" s="20"/>
      <c r="F23" s="18" t="s">
        <v>54</v>
      </c>
      <c r="G23" s="2">
        <f t="shared" si="1"/>
        <v>47.88</v>
      </c>
      <c r="H23" s="20" t="e">
        <f>SUMIF(#REF!,F23,#REF!)</f>
        <v>#REF!</v>
      </c>
      <c r="I23" s="22">
        <v>3.99</v>
      </c>
      <c r="J23" s="20" t="e">
        <f>SUMIFS(#REF!,#REF!,Budgets!F23,#REF!,Budgets!$J$9)</f>
        <v>#REF!</v>
      </c>
    </row>
    <row r="24" spans="1:10" x14ac:dyDescent="0.25">
      <c r="B24" s="18" t="s">
        <v>55</v>
      </c>
      <c r="C24" s="23">
        <v>1104</v>
      </c>
      <c r="D24" s="20"/>
      <c r="F24" s="18" t="s">
        <v>55</v>
      </c>
      <c r="G24" s="2">
        <f t="shared" si="1"/>
        <v>1116</v>
      </c>
      <c r="H24" s="20" t="e">
        <f>SUMIF(#REF!,F24,#REF!)</f>
        <v>#REF!</v>
      </c>
      <c r="I24" s="22">
        <v>93</v>
      </c>
      <c r="J24" s="20" t="e">
        <f>SUMIFS(#REF!,#REF!,Budgets!F24,#REF!,Budgets!$J$9)</f>
        <v>#REF!</v>
      </c>
    </row>
    <row r="25" spans="1:10" x14ac:dyDescent="0.25">
      <c r="B25" s="18" t="s">
        <v>41</v>
      </c>
      <c r="C25" s="23">
        <v>324</v>
      </c>
      <c r="D25" s="20"/>
      <c r="F25" s="18" t="s">
        <v>41</v>
      </c>
      <c r="G25" s="2">
        <f t="shared" si="1"/>
        <v>324</v>
      </c>
      <c r="H25" s="20" t="e">
        <f>SUMIF(#REF!,F25,#REF!)</f>
        <v>#REF!</v>
      </c>
      <c r="I25" s="22">
        <v>27</v>
      </c>
      <c r="J25" s="20" t="e">
        <f>SUMIFS(#REF!,#REF!,Budgets!F25,#REF!,Budgets!$J$9)</f>
        <v>#REF!</v>
      </c>
    </row>
    <row r="26" spans="1:10" x14ac:dyDescent="0.25">
      <c r="B26" s="18" t="s">
        <v>56</v>
      </c>
      <c r="C26" s="23">
        <v>360</v>
      </c>
      <c r="D26" s="20"/>
      <c r="F26" s="18" t="s">
        <v>56</v>
      </c>
      <c r="G26" s="2">
        <f t="shared" si="1"/>
        <v>360</v>
      </c>
      <c r="H26" s="20" t="e">
        <f>SUMIF(#REF!,F26,#REF!)</f>
        <v>#REF!</v>
      </c>
      <c r="I26" s="22">
        <v>30</v>
      </c>
      <c r="J26" s="20" t="e">
        <f>SUMIFS(#REF!,#REF!,Budgets!F26,#REF!,Budgets!$J$9)</f>
        <v>#REF!</v>
      </c>
    </row>
    <row r="27" spans="1:10" x14ac:dyDescent="0.25">
      <c r="B27" s="18" t="s">
        <v>0</v>
      </c>
      <c r="C27" s="23">
        <v>1800</v>
      </c>
      <c r="D27" s="20"/>
      <c r="F27" s="18" t="s">
        <v>0</v>
      </c>
      <c r="G27" s="2">
        <f t="shared" si="1"/>
        <v>1800</v>
      </c>
      <c r="H27" s="20" t="e">
        <f>SUMIF(#REF!,F27,#REF!)</f>
        <v>#REF!</v>
      </c>
      <c r="I27" s="22">
        <v>150</v>
      </c>
      <c r="J27" s="20" t="e">
        <f>SUMIFS(#REF!,#REF!,Budgets!F27,#REF!,Budgets!$J$9)</f>
        <v>#REF!</v>
      </c>
    </row>
    <row r="28" spans="1:10" x14ac:dyDescent="0.25">
      <c r="B28" s="18" t="s">
        <v>7</v>
      </c>
      <c r="C28" s="23">
        <v>900</v>
      </c>
      <c r="D28" s="20"/>
      <c r="F28" s="18" t="s">
        <v>7</v>
      </c>
      <c r="G28" s="2">
        <f t="shared" si="1"/>
        <v>840</v>
      </c>
      <c r="H28" s="20" t="e">
        <f>SUMIF(#REF!,F28,#REF!)</f>
        <v>#REF!</v>
      </c>
      <c r="I28" s="22">
        <v>70</v>
      </c>
      <c r="J28" s="20" t="e">
        <f>SUMIFS(#REF!,#REF!,Budgets!F28,#REF!,Budgets!$J$9)</f>
        <v>#REF!</v>
      </c>
    </row>
    <row r="29" spans="1:10" x14ac:dyDescent="0.25">
      <c r="A29" s="19"/>
      <c r="B29" s="18"/>
      <c r="C29" s="23"/>
      <c r="D29" s="20"/>
      <c r="F29" s="18" t="s">
        <v>57</v>
      </c>
      <c r="G29" s="2">
        <f t="shared" si="1"/>
        <v>171.6</v>
      </c>
      <c r="H29" s="20" t="e">
        <f>SUMIF(#REF!,F29,#REF!)</f>
        <v>#REF!</v>
      </c>
      <c r="I29" s="22">
        <f>42.9/3</f>
        <v>14.299999999999999</v>
      </c>
      <c r="J29" s="20" t="e">
        <f>SUMIFS(#REF!,#REF!,Budgets!F29,#REF!,Budgets!$J$9)</f>
        <v>#REF!</v>
      </c>
    </row>
    <row r="30" spans="1:10" x14ac:dyDescent="0.25">
      <c r="B30" s="18"/>
      <c r="C30" s="23"/>
      <c r="D30" s="20"/>
      <c r="F30" s="18" t="s">
        <v>46</v>
      </c>
      <c r="G30" s="2">
        <f t="shared" si="1"/>
        <v>2742.12</v>
      </c>
      <c r="H30" s="20" t="e">
        <f>SUMIF(#REF!,F30,#REF!)</f>
        <v>#REF!</v>
      </c>
      <c r="I30" s="22">
        <f>Settings!C6</f>
        <v>228.51</v>
      </c>
      <c r="J30" s="20" t="e">
        <f>SUMIFS(#REF!,#REF!,Budgets!F30,#REF!,Budgets!$J$9)</f>
        <v>#REF!</v>
      </c>
    </row>
    <row r="31" spans="1:10" x14ac:dyDescent="0.25">
      <c r="F31" s="19"/>
      <c r="G31" s="24">
        <f>SUM(G10:G30)</f>
        <v>26281.239999999998</v>
      </c>
      <c r="I31" s="24">
        <f>SUM(I10:I30)</f>
        <v>2190.1033333333335</v>
      </c>
      <c r="J31" s="20"/>
    </row>
  </sheetData>
  <mergeCells count="3">
    <mergeCell ref="F6:I6"/>
    <mergeCell ref="G8:H8"/>
    <mergeCell ref="I8:J8"/>
  </mergeCells>
  <dataValidations count="1">
    <dataValidation type="list" allowBlank="1" showInputMessage="1" showErrorMessage="1" sqref="J9" xr:uid="{A7489A26-FC2A-465D-B9A6-03692C335CA5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3ED9-B683-40E5-9696-42ADE38E0D76}">
  <dimension ref="A2:L21"/>
  <sheetViews>
    <sheetView workbookViewId="0">
      <selection activeCell="C36" sqref="C36"/>
    </sheetView>
  </sheetViews>
  <sheetFormatPr baseColWidth="10" defaultRowHeight="15" x14ac:dyDescent="0.25"/>
  <cols>
    <col min="1" max="1" width="22.85546875" bestFit="1" customWidth="1"/>
    <col min="2" max="2" width="13.5703125" bestFit="1" customWidth="1"/>
    <col min="3" max="3" width="13.5703125" customWidth="1"/>
    <col min="4" max="4" width="13.5703125" bestFit="1" customWidth="1"/>
    <col min="5" max="5" width="13.5703125" customWidth="1"/>
    <col min="7" max="7" width="17" bestFit="1" customWidth="1"/>
  </cols>
  <sheetData>
    <row r="2" spans="1:12" x14ac:dyDescent="0.25">
      <c r="A2" s="109" t="s">
        <v>50</v>
      </c>
      <c r="B2" s="109"/>
      <c r="C2" s="109"/>
      <c r="D2" s="109"/>
      <c r="E2" s="109"/>
      <c r="F2" s="109"/>
      <c r="G2" s="16"/>
      <c r="H2" s="16"/>
      <c r="I2" s="16"/>
      <c r="J2" s="16"/>
    </row>
    <row r="3" spans="1:12" x14ac:dyDescent="0.25">
      <c r="A3" s="4" t="s">
        <v>24</v>
      </c>
      <c r="B3" s="10"/>
      <c r="C3" s="53"/>
      <c r="D3" s="5">
        <v>2265.1</v>
      </c>
      <c r="E3" s="5">
        <f>D3*12</f>
        <v>27181.199999999997</v>
      </c>
      <c r="F3" s="25">
        <v>1</v>
      </c>
    </row>
    <row r="4" spans="1:12" x14ac:dyDescent="0.25">
      <c r="A4" s="6" t="s">
        <v>2</v>
      </c>
      <c r="B4" s="11">
        <v>750</v>
      </c>
      <c r="C4" s="54">
        <f>B4*12</f>
        <v>9000</v>
      </c>
      <c r="D4" s="7"/>
      <c r="E4" s="7"/>
      <c r="F4" s="25">
        <f>$F$3*B4/$D$3</f>
        <v>0.33111120921813608</v>
      </c>
    </row>
    <row r="5" spans="1:12" x14ac:dyDescent="0.25">
      <c r="A5" s="6" t="s">
        <v>4</v>
      </c>
      <c r="B5" s="11">
        <v>120</v>
      </c>
      <c r="C5" s="54">
        <f t="shared" ref="C5:C17" si="0">B5*12</f>
        <v>1440</v>
      </c>
      <c r="D5" s="7"/>
      <c r="E5" s="7"/>
      <c r="F5" s="25">
        <f t="shared" ref="F5:F20" si="1">$F$3*B5/$D$3</f>
        <v>5.2977793474901773E-2</v>
      </c>
      <c r="H5" s="1"/>
      <c r="I5" s="1"/>
    </row>
    <row r="6" spans="1:12" x14ac:dyDescent="0.25">
      <c r="A6" s="6" t="s">
        <v>5</v>
      </c>
      <c r="B6" s="11">
        <v>23.99</v>
      </c>
      <c r="C6" s="54">
        <f t="shared" si="0"/>
        <v>287.88</v>
      </c>
      <c r="D6" s="7"/>
      <c r="E6" s="7"/>
      <c r="F6" s="25">
        <f t="shared" si="1"/>
        <v>1.0591143878857446E-2</v>
      </c>
      <c r="H6" s="1"/>
      <c r="I6" s="1"/>
    </row>
    <row r="7" spans="1:12" x14ac:dyDescent="0.25">
      <c r="A7" s="6" t="s">
        <v>51</v>
      </c>
      <c r="B7" s="11">
        <v>20.99</v>
      </c>
      <c r="C7" s="54">
        <f t="shared" si="0"/>
        <v>251.88</v>
      </c>
      <c r="D7" s="7"/>
      <c r="E7" s="7"/>
      <c r="F7" s="25">
        <f t="shared" si="1"/>
        <v>9.2666990419849014E-3</v>
      </c>
      <c r="G7">
        <f>750+230</f>
        <v>980</v>
      </c>
      <c r="H7" s="47">
        <f>H8*G7/G8</f>
        <v>0.43265198004503114</v>
      </c>
      <c r="I7" s="1"/>
    </row>
    <row r="8" spans="1:12" x14ac:dyDescent="0.25">
      <c r="A8" s="6" t="s">
        <v>52</v>
      </c>
      <c r="B8" s="11">
        <v>230</v>
      </c>
      <c r="C8" s="54">
        <f t="shared" si="0"/>
        <v>2760</v>
      </c>
      <c r="D8" s="7"/>
      <c r="E8" s="7"/>
      <c r="F8" s="25">
        <f t="shared" si="1"/>
        <v>0.10154077082689507</v>
      </c>
      <c r="G8" s="2">
        <f>D3</f>
        <v>2265.1</v>
      </c>
      <c r="H8" s="15">
        <v>1</v>
      </c>
      <c r="I8" s="1"/>
    </row>
    <row r="9" spans="1:12" x14ac:dyDescent="0.25">
      <c r="A9" s="6" t="s">
        <v>53</v>
      </c>
      <c r="B9" s="11">
        <v>11.99</v>
      </c>
      <c r="C9" s="54">
        <f t="shared" si="0"/>
        <v>143.88</v>
      </c>
      <c r="D9" s="7"/>
      <c r="E9" s="7"/>
      <c r="F9" s="25">
        <f t="shared" si="1"/>
        <v>5.2933645313672688E-3</v>
      </c>
      <c r="H9" s="1"/>
      <c r="I9" s="1"/>
    </row>
    <row r="10" spans="1:12" x14ac:dyDescent="0.25">
      <c r="A10" s="6" t="s">
        <v>54</v>
      </c>
      <c r="B10" s="11">
        <v>3.99</v>
      </c>
      <c r="C10" s="54">
        <f t="shared" si="0"/>
        <v>47.88</v>
      </c>
      <c r="D10" s="7"/>
      <c r="E10" s="7"/>
      <c r="F10" s="25">
        <f t="shared" si="1"/>
        <v>1.7615116330404841E-3</v>
      </c>
      <c r="I10" s="1"/>
    </row>
    <row r="11" spans="1:12" x14ac:dyDescent="0.25">
      <c r="A11" s="6" t="s">
        <v>55</v>
      </c>
      <c r="B11" s="11">
        <v>93</v>
      </c>
      <c r="C11" s="54">
        <f t="shared" si="0"/>
        <v>1116</v>
      </c>
      <c r="D11" s="7"/>
      <c r="E11" s="7"/>
      <c r="F11" s="25">
        <f t="shared" si="1"/>
        <v>4.1057789943048872E-2</v>
      </c>
    </row>
    <row r="12" spans="1:12" x14ac:dyDescent="0.25">
      <c r="A12" s="6" t="s">
        <v>41</v>
      </c>
      <c r="B12" s="11">
        <v>27</v>
      </c>
      <c r="C12" s="54">
        <f t="shared" si="0"/>
        <v>324</v>
      </c>
      <c r="D12" s="7"/>
      <c r="E12" s="7"/>
      <c r="F12" s="25">
        <f t="shared" si="1"/>
        <v>1.1920003531852899E-2</v>
      </c>
      <c r="K12">
        <v>43000</v>
      </c>
      <c r="L12">
        <v>1</v>
      </c>
    </row>
    <row r="13" spans="1:12" x14ac:dyDescent="0.25">
      <c r="A13" s="6" t="s">
        <v>56</v>
      </c>
      <c r="B13" s="11">
        <v>30</v>
      </c>
      <c r="C13" s="54">
        <f t="shared" si="0"/>
        <v>360</v>
      </c>
      <c r="D13" s="7"/>
      <c r="E13" s="7"/>
      <c r="F13" s="25">
        <f t="shared" si="1"/>
        <v>1.3244448368725443E-2</v>
      </c>
      <c r="K13">
        <v>45000</v>
      </c>
      <c r="L13" s="25">
        <f>(K13*L12/K12)-100%</f>
        <v>4.6511627906976827E-2</v>
      </c>
    </row>
    <row r="14" spans="1:12" x14ac:dyDescent="0.25">
      <c r="A14" s="6" t="s">
        <v>0</v>
      </c>
      <c r="B14" s="11">
        <v>150</v>
      </c>
      <c r="C14" s="54">
        <f t="shared" si="0"/>
        <v>1800</v>
      </c>
      <c r="D14" s="7"/>
      <c r="E14" s="7"/>
      <c r="F14" s="25">
        <f t="shared" si="1"/>
        <v>6.6222241843627211E-2</v>
      </c>
    </row>
    <row r="15" spans="1:12" x14ac:dyDescent="0.25">
      <c r="A15" s="6" t="s">
        <v>7</v>
      </c>
      <c r="B15" s="11">
        <v>70</v>
      </c>
      <c r="C15" s="54">
        <f t="shared" si="0"/>
        <v>840</v>
      </c>
      <c r="D15" s="7"/>
      <c r="E15" s="7"/>
      <c r="F15" s="25">
        <f t="shared" si="1"/>
        <v>3.0903712860359367E-2</v>
      </c>
    </row>
    <row r="16" spans="1:12" x14ac:dyDescent="0.25">
      <c r="A16" s="8" t="s">
        <v>57</v>
      </c>
      <c r="B16" s="12">
        <f>42.9/3</f>
        <v>14.299999999999999</v>
      </c>
      <c r="C16" s="54">
        <f t="shared" si="0"/>
        <v>171.6</v>
      </c>
      <c r="D16" s="9"/>
      <c r="E16" s="9"/>
      <c r="F16" s="25">
        <f t="shared" si="1"/>
        <v>6.3131870557591278E-3</v>
      </c>
    </row>
    <row r="17" spans="1:6" x14ac:dyDescent="0.25">
      <c r="A17" s="8" t="s">
        <v>46</v>
      </c>
      <c r="B17" s="12">
        <f>Settings!C6</f>
        <v>228.51</v>
      </c>
      <c r="C17" s="54">
        <f t="shared" si="0"/>
        <v>2742.12</v>
      </c>
      <c r="D17" s="9"/>
      <c r="E17" s="9"/>
      <c r="F17" s="25">
        <f t="shared" si="1"/>
        <v>0.10088296322458169</v>
      </c>
    </row>
    <row r="18" spans="1:6" x14ac:dyDescent="0.25">
      <c r="A18" s="3"/>
      <c r="B18" s="48">
        <f>SUM(B4:B17)</f>
        <v>1773.77</v>
      </c>
      <c r="C18" s="48">
        <f>SUM(C4:C17)</f>
        <v>21285.239999999994</v>
      </c>
      <c r="D18" s="49">
        <f>SUM(D3:D16)</f>
        <v>2265.1</v>
      </c>
      <c r="E18" s="49">
        <f>SUM(E3:E16)</f>
        <v>27181.199999999997</v>
      </c>
      <c r="F18" s="25">
        <f>SUM(F4:F17)</f>
        <v>0.78308683943313773</v>
      </c>
    </row>
    <row r="19" spans="1:6" x14ac:dyDescent="0.25">
      <c r="A19" s="13" t="s">
        <v>58</v>
      </c>
      <c r="B19" s="57">
        <f>D18-B18</f>
        <v>491.32999999999993</v>
      </c>
      <c r="C19" s="57">
        <f>E18-C18</f>
        <v>5895.9600000000028</v>
      </c>
      <c r="D19" s="57"/>
      <c r="E19" s="55"/>
      <c r="F19" s="25">
        <f t="shared" si="1"/>
        <v>0.21691316056686236</v>
      </c>
    </row>
    <row r="20" spans="1:6" x14ac:dyDescent="0.25">
      <c r="A20" s="39" t="s">
        <v>6</v>
      </c>
      <c r="B20" s="59">
        <f>'M Provisions'!H50</f>
        <v>256.66666666666663</v>
      </c>
      <c r="C20" s="46">
        <f>B20*12</f>
        <v>3079.9999999999995</v>
      </c>
      <c r="D20" s="39"/>
      <c r="E20" s="55"/>
      <c r="F20" s="25">
        <f t="shared" si="1"/>
        <v>0.11331361382131766</v>
      </c>
    </row>
    <row r="21" spans="1:6" x14ac:dyDescent="0.25">
      <c r="A21" s="13" t="s">
        <v>59</v>
      </c>
      <c r="B21" s="57">
        <f>B19-B20</f>
        <v>234.6633333333333</v>
      </c>
      <c r="C21" s="57">
        <f>B21*12</f>
        <v>2815.9599999999996</v>
      </c>
      <c r="D21" s="58"/>
      <c r="E21" s="56"/>
    </row>
  </sheetData>
  <mergeCells count="1">
    <mergeCell ref="A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BE43-341B-48E7-8A8F-63A5247F087D}">
  <dimension ref="C3:U10"/>
  <sheetViews>
    <sheetView workbookViewId="0">
      <selection activeCell="G11" sqref="G11"/>
    </sheetView>
  </sheetViews>
  <sheetFormatPr baseColWidth="10" defaultRowHeight="15" x14ac:dyDescent="0.25"/>
  <cols>
    <col min="2" max="2" width="3.7109375" customWidth="1"/>
    <col min="3" max="3" width="15.7109375" customWidth="1"/>
    <col min="4" max="4" width="3.7109375" customWidth="1"/>
    <col min="5" max="5" width="15.7109375" customWidth="1"/>
    <col min="6" max="6" width="3.7109375" customWidth="1"/>
    <col min="7" max="7" width="15.7109375" customWidth="1"/>
    <col min="8" max="8" width="3.7109375" customWidth="1"/>
    <col min="9" max="9" width="15.7109375" customWidth="1"/>
    <col min="10" max="10" width="3.7109375" customWidth="1"/>
    <col min="11" max="11" width="15.7109375" customWidth="1"/>
    <col min="12" max="12" width="3.7109375" customWidth="1"/>
    <col min="13" max="13" width="15.85546875" customWidth="1"/>
    <col min="14" max="14" width="3.7109375" customWidth="1"/>
    <col min="15" max="15" width="15.7109375" customWidth="1"/>
    <col min="16" max="16" width="3.7109375" customWidth="1"/>
    <col min="17" max="17" width="15.7109375" customWidth="1"/>
    <col min="18" max="18" width="3.7109375" customWidth="1"/>
    <col min="19" max="19" width="15.7109375" customWidth="1"/>
    <col min="20" max="20" width="3.7109375" customWidth="1"/>
    <col min="21" max="21" width="15.7109375" customWidth="1"/>
    <col min="22" max="22" width="3.7109375" customWidth="1"/>
    <col min="23" max="23" width="15.7109375" customWidth="1"/>
    <col min="24" max="24" width="3.7109375" customWidth="1"/>
    <col min="25" max="25" width="15.7109375" customWidth="1"/>
    <col min="26" max="26" width="3.7109375" customWidth="1"/>
    <col min="27" max="27" width="15.7109375" customWidth="1"/>
    <col min="29" max="29" width="15.7109375" customWidth="1"/>
  </cols>
  <sheetData>
    <row r="3" spans="3:21" x14ac:dyDescent="0.25">
      <c r="C3" t="s">
        <v>28</v>
      </c>
      <c r="E3" t="s">
        <v>95</v>
      </c>
      <c r="G3" t="s">
        <v>96</v>
      </c>
      <c r="I3" t="s">
        <v>97</v>
      </c>
      <c r="K3" t="s">
        <v>150</v>
      </c>
      <c r="M3" t="s">
        <v>134</v>
      </c>
      <c r="O3" t="s">
        <v>151</v>
      </c>
      <c r="Q3" t="s">
        <v>152</v>
      </c>
      <c r="S3" t="s">
        <v>153</v>
      </c>
      <c r="U3" t="s">
        <v>136</v>
      </c>
    </row>
    <row r="5" spans="3:21" x14ac:dyDescent="0.25">
      <c r="C5" t="s">
        <v>89</v>
      </c>
      <c r="E5" t="s">
        <v>2</v>
      </c>
      <c r="G5" t="s">
        <v>169</v>
      </c>
      <c r="I5" t="s">
        <v>167</v>
      </c>
      <c r="K5" t="s">
        <v>41</v>
      </c>
      <c r="M5" t="s">
        <v>160</v>
      </c>
      <c r="O5" t="s">
        <v>7</v>
      </c>
      <c r="Q5" t="s">
        <v>154</v>
      </c>
      <c r="S5" t="s">
        <v>27</v>
      </c>
      <c r="U5" t="s">
        <v>46</v>
      </c>
    </row>
    <row r="6" spans="3:21" x14ac:dyDescent="0.25">
      <c r="C6" t="s">
        <v>140</v>
      </c>
      <c r="E6" t="s">
        <v>141</v>
      </c>
      <c r="G6" t="s">
        <v>5</v>
      </c>
      <c r="I6" t="s">
        <v>168</v>
      </c>
      <c r="K6" t="s">
        <v>166</v>
      </c>
      <c r="M6" t="s">
        <v>161</v>
      </c>
      <c r="O6" t="s">
        <v>157</v>
      </c>
      <c r="Q6" t="s">
        <v>155</v>
      </c>
      <c r="S6" t="s">
        <v>26</v>
      </c>
      <c r="U6" t="s">
        <v>65</v>
      </c>
    </row>
    <row r="7" spans="3:21" x14ac:dyDescent="0.25">
      <c r="C7" t="s">
        <v>2</v>
      </c>
      <c r="E7" t="s">
        <v>3</v>
      </c>
      <c r="G7" t="s">
        <v>53</v>
      </c>
      <c r="M7" t="s">
        <v>162</v>
      </c>
      <c r="O7" t="s">
        <v>158</v>
      </c>
      <c r="Q7" t="s">
        <v>156</v>
      </c>
      <c r="S7" t="s">
        <v>1</v>
      </c>
      <c r="U7" t="s">
        <v>47</v>
      </c>
    </row>
    <row r="8" spans="3:21" x14ac:dyDescent="0.25">
      <c r="C8" t="s">
        <v>148</v>
      </c>
      <c r="E8" t="s">
        <v>149</v>
      </c>
      <c r="G8" t="s">
        <v>170</v>
      </c>
      <c r="M8" t="s">
        <v>163</v>
      </c>
      <c r="O8" t="s">
        <v>159</v>
      </c>
      <c r="S8" t="s">
        <v>66</v>
      </c>
    </row>
    <row r="9" spans="3:21" x14ac:dyDescent="0.25">
      <c r="M9" t="s">
        <v>164</v>
      </c>
      <c r="O9" t="s">
        <v>2</v>
      </c>
    </row>
    <row r="10" spans="3:21" x14ac:dyDescent="0.25">
      <c r="M10" t="s">
        <v>165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037D-D549-488F-BA36-1E70E8FF4535}">
  <dimension ref="A1"/>
  <sheetViews>
    <sheetView workbookViewId="0">
      <selection activeCell="F33" sqref="F3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F836-291A-4D50-8F8E-4C5931B300E1}">
  <dimension ref="B4:U58"/>
  <sheetViews>
    <sheetView showGridLines="0" tabSelected="1" workbookViewId="0">
      <selection activeCell="L8" sqref="L8"/>
    </sheetView>
  </sheetViews>
  <sheetFormatPr baseColWidth="10" defaultRowHeight="15" x14ac:dyDescent="0.25"/>
  <cols>
    <col min="2" max="2" width="10.28515625" customWidth="1"/>
    <col min="3" max="3" width="1.28515625" customWidth="1"/>
    <col min="4" max="4" width="23.140625" bestFit="1" customWidth="1"/>
    <col min="5" max="5" width="1.7109375" customWidth="1"/>
    <col min="7" max="7" width="1.42578125" customWidth="1"/>
    <col min="8" max="8" width="10.7109375" bestFit="1" customWidth="1"/>
    <col min="9" max="9" width="21.5703125" customWidth="1"/>
    <col min="10" max="10" width="12.85546875" bestFit="1" customWidth="1"/>
    <col min="11" max="11" width="2.140625" customWidth="1"/>
    <col min="12" max="12" width="12.85546875" bestFit="1" customWidth="1"/>
    <col min="13" max="13" width="4.140625" customWidth="1"/>
    <col min="14" max="14" width="12.85546875" bestFit="1" customWidth="1"/>
    <col min="15" max="15" width="10.7109375" bestFit="1" customWidth="1"/>
    <col min="16" max="16" width="13.140625" bestFit="1" customWidth="1"/>
    <col min="17" max="17" width="20.5703125" bestFit="1" customWidth="1"/>
    <col min="20" max="20" width="21.5703125" bestFit="1" customWidth="1"/>
    <col min="21" max="21" width="12.42578125" bestFit="1" customWidth="1"/>
  </cols>
  <sheetData>
    <row r="4" spans="2:20" x14ac:dyDescent="0.25">
      <c r="C4" s="109" t="s">
        <v>200</v>
      </c>
      <c r="D4" s="109"/>
      <c r="E4" s="109"/>
      <c r="F4" s="109"/>
      <c r="G4" s="109"/>
      <c r="H4">
        <v>2021</v>
      </c>
    </row>
    <row r="5" spans="2:20" x14ac:dyDescent="0.25">
      <c r="B5" s="17"/>
      <c r="C5" s="17"/>
      <c r="D5" s="17"/>
      <c r="E5" s="17"/>
      <c r="F5" s="17"/>
      <c r="G5" s="17"/>
      <c r="P5" s="52"/>
      <c r="Q5" s="52"/>
      <c r="R5" s="52"/>
      <c r="S5" s="52"/>
      <c r="T5" s="52"/>
    </row>
    <row r="6" spans="2:20" ht="6.95" customHeight="1" x14ac:dyDescent="0.25">
      <c r="B6" s="17"/>
      <c r="C6" s="17"/>
      <c r="D6" s="17"/>
      <c r="E6" s="17"/>
      <c r="F6" s="17"/>
      <c r="G6" s="17"/>
      <c r="H6" s="17"/>
      <c r="P6" s="52"/>
      <c r="Q6" s="52"/>
      <c r="R6" s="52"/>
      <c r="S6" s="52"/>
      <c r="T6" s="52"/>
    </row>
    <row r="7" spans="2:20" x14ac:dyDescent="0.25">
      <c r="B7" s="17"/>
      <c r="C7" s="17"/>
      <c r="D7" s="17" t="s">
        <v>11</v>
      </c>
      <c r="E7" s="17"/>
      <c r="F7" s="67">
        <v>187.98</v>
      </c>
      <c r="G7" s="17"/>
      <c r="H7" s="17"/>
      <c r="I7" t="s">
        <v>196</v>
      </c>
      <c r="L7" s="67">
        <v>30292.79</v>
      </c>
      <c r="N7" s="94">
        <f>F31/L7</f>
        <v>7.7877937291348856E-2</v>
      </c>
      <c r="P7" s="52"/>
      <c r="Q7" s="80"/>
      <c r="R7" s="80"/>
      <c r="S7" s="106"/>
      <c r="T7" s="52"/>
    </row>
    <row r="8" spans="2:20" ht="8.1" customHeight="1" x14ac:dyDescent="0.25">
      <c r="B8" s="17"/>
      <c r="C8" s="17"/>
      <c r="D8" s="17"/>
      <c r="E8" s="17"/>
      <c r="F8" s="21"/>
      <c r="G8" s="17"/>
      <c r="H8" s="17"/>
      <c r="P8" s="52"/>
      <c r="Q8" s="80"/>
      <c r="R8" s="80"/>
      <c r="S8" s="106"/>
      <c r="T8" s="52"/>
    </row>
    <row r="9" spans="2:20" ht="15" customHeight="1" x14ac:dyDescent="0.25">
      <c r="B9" s="17"/>
      <c r="C9" s="17"/>
      <c r="D9" s="17" t="s">
        <v>12</v>
      </c>
      <c r="E9" s="17"/>
      <c r="F9" s="67">
        <v>198.5</v>
      </c>
      <c r="G9" s="17"/>
      <c r="H9" s="17"/>
      <c r="I9" s="108" t="s">
        <v>197</v>
      </c>
      <c r="J9" s="112">
        <v>10084</v>
      </c>
      <c r="L9" s="110">
        <f>IF(L7&gt;J9,J9,L7-J9)</f>
        <v>10084</v>
      </c>
      <c r="M9" s="111" t="s">
        <v>203</v>
      </c>
      <c r="N9" s="113">
        <f>L9*0</f>
        <v>0</v>
      </c>
      <c r="P9" s="107"/>
      <c r="Q9" s="80"/>
      <c r="R9" s="80"/>
      <c r="S9" s="106"/>
      <c r="T9" s="52"/>
    </row>
    <row r="10" spans="2:20" ht="8.1" customHeight="1" x14ac:dyDescent="0.25">
      <c r="B10" s="17"/>
      <c r="C10" s="17"/>
      <c r="D10" s="17"/>
      <c r="E10" s="17"/>
      <c r="F10" s="21"/>
      <c r="G10" s="17"/>
      <c r="H10" s="17"/>
      <c r="I10" s="108"/>
      <c r="J10" s="112"/>
      <c r="L10" s="109"/>
      <c r="M10" s="109"/>
      <c r="N10" s="108"/>
      <c r="P10" s="52"/>
      <c r="Q10" s="80"/>
      <c r="R10" s="80"/>
      <c r="S10" s="106"/>
      <c r="T10" s="52"/>
    </row>
    <row r="11" spans="2:20" x14ac:dyDescent="0.25">
      <c r="B11" s="17"/>
      <c r="C11" s="17"/>
      <c r="D11" s="17" t="s">
        <v>13</v>
      </c>
      <c r="E11" s="17"/>
      <c r="F11" s="67">
        <v>198.5</v>
      </c>
      <c r="G11" s="17"/>
      <c r="H11" s="17"/>
      <c r="I11" s="108" t="s">
        <v>198</v>
      </c>
      <c r="J11" s="112">
        <v>25710</v>
      </c>
      <c r="L11" s="110">
        <f>IF(L7&gt;(J9+J11),J11,L7-L9)</f>
        <v>20208.79</v>
      </c>
      <c r="M11" s="111" t="s">
        <v>203</v>
      </c>
      <c r="N11" s="113">
        <f>L11*11%</f>
        <v>2222.9668999999999</v>
      </c>
      <c r="P11" s="52"/>
      <c r="Q11" s="80"/>
      <c r="R11" s="80"/>
      <c r="S11" s="106"/>
      <c r="T11" s="52"/>
    </row>
    <row r="12" spans="2:20" ht="8.1" customHeight="1" x14ac:dyDescent="0.25">
      <c r="B12" s="17"/>
      <c r="C12" s="17"/>
      <c r="D12" s="17"/>
      <c r="E12" s="17"/>
      <c r="F12" s="21"/>
      <c r="G12" s="17"/>
      <c r="H12" s="17"/>
      <c r="I12" s="108"/>
      <c r="J12" s="112"/>
      <c r="L12" s="109"/>
      <c r="M12" s="109"/>
      <c r="N12" s="108"/>
      <c r="P12" s="52"/>
      <c r="Q12" s="80"/>
      <c r="R12" s="80"/>
      <c r="S12" s="106"/>
      <c r="T12" s="52"/>
    </row>
    <row r="13" spans="2:20" x14ac:dyDescent="0.25">
      <c r="B13" s="17"/>
      <c r="C13" s="17"/>
      <c r="D13" s="17" t="s">
        <v>14</v>
      </c>
      <c r="E13" s="17"/>
      <c r="F13" s="67">
        <v>198.5</v>
      </c>
      <c r="G13" s="17"/>
      <c r="H13" s="17"/>
      <c r="I13" s="108" t="s">
        <v>199</v>
      </c>
      <c r="J13" s="112">
        <v>73516</v>
      </c>
      <c r="L13" s="110">
        <f>IF(L7&gt;(J9+J11+J13),J13,L7-L9-L11)</f>
        <v>0</v>
      </c>
      <c r="M13" s="111" t="s">
        <v>203</v>
      </c>
      <c r="N13" s="113">
        <f>L13*30%</f>
        <v>0</v>
      </c>
      <c r="P13" s="52"/>
      <c r="Q13" s="80"/>
      <c r="R13" s="80"/>
      <c r="S13" s="106"/>
      <c r="T13" s="52"/>
    </row>
    <row r="14" spans="2:20" ht="8.1" customHeight="1" x14ac:dyDescent="0.25">
      <c r="B14" s="17"/>
      <c r="C14" s="17"/>
      <c r="D14" s="17"/>
      <c r="E14" s="17"/>
      <c r="F14" s="21"/>
      <c r="G14" s="17"/>
      <c r="H14" s="17"/>
      <c r="I14" s="108"/>
      <c r="J14" s="112"/>
      <c r="L14" s="109"/>
      <c r="M14" s="109"/>
      <c r="N14" s="108"/>
      <c r="P14" s="52"/>
      <c r="Q14" s="80"/>
      <c r="R14" s="80"/>
      <c r="S14" s="80"/>
      <c r="T14" s="52"/>
    </row>
    <row r="15" spans="2:20" x14ac:dyDescent="0.25">
      <c r="B15" s="17"/>
      <c r="C15" s="17"/>
      <c r="D15" s="17" t="s">
        <v>15</v>
      </c>
      <c r="E15" s="17"/>
      <c r="F15" s="67">
        <v>198.5</v>
      </c>
      <c r="G15" s="17"/>
      <c r="H15" s="17"/>
      <c r="I15" s="108" t="s">
        <v>201</v>
      </c>
      <c r="J15" s="112">
        <v>158122</v>
      </c>
      <c r="L15" s="110">
        <f>IF(L7&gt;(J9+J11+J13+J15),J15,L7-L9-L11-L13)</f>
        <v>0</v>
      </c>
      <c r="M15" s="111" t="s">
        <v>203</v>
      </c>
      <c r="N15" s="113">
        <f>L15*41%</f>
        <v>0</v>
      </c>
      <c r="P15" s="52"/>
      <c r="Q15" s="80"/>
      <c r="R15" s="80"/>
      <c r="S15" s="106"/>
      <c r="T15" s="52"/>
    </row>
    <row r="16" spans="2:20" ht="8.1" customHeight="1" x14ac:dyDescent="0.25">
      <c r="B16" s="17"/>
      <c r="C16" s="17"/>
      <c r="D16" s="17"/>
      <c r="E16" s="17"/>
      <c r="F16" s="21"/>
      <c r="G16" s="17"/>
      <c r="H16" s="17"/>
      <c r="I16" s="108"/>
      <c r="J16" s="112"/>
      <c r="L16" s="109"/>
      <c r="M16" s="109"/>
      <c r="N16" s="108"/>
      <c r="P16" s="52"/>
      <c r="Q16" s="80"/>
      <c r="R16" s="80"/>
      <c r="S16" s="80"/>
      <c r="T16" s="52"/>
    </row>
    <row r="17" spans="2:20" x14ac:dyDescent="0.25">
      <c r="B17" s="17"/>
      <c r="C17" s="17"/>
      <c r="D17" s="17" t="s">
        <v>16</v>
      </c>
      <c r="E17" s="17"/>
      <c r="F17" s="67">
        <v>198.5</v>
      </c>
      <c r="G17" s="17"/>
      <c r="H17" s="17"/>
      <c r="I17" s="108" t="s">
        <v>202</v>
      </c>
      <c r="J17" s="112"/>
      <c r="L17" s="110">
        <f>IF($L$7&gt;(J9+J11+J13+J15+J17),$L$7-L9-L11-L13-L15,0)</f>
        <v>0</v>
      </c>
      <c r="M17" s="111" t="s">
        <v>203</v>
      </c>
      <c r="N17" s="113">
        <f>L17*45%</f>
        <v>0</v>
      </c>
      <c r="P17" s="52"/>
      <c r="Q17" s="52"/>
      <c r="R17" s="52"/>
      <c r="S17" s="52"/>
      <c r="T17" s="52"/>
    </row>
    <row r="18" spans="2:20" ht="8.1" customHeight="1" x14ac:dyDescent="0.25">
      <c r="B18" s="17"/>
      <c r="C18" s="17"/>
      <c r="D18" s="17"/>
      <c r="E18" s="17"/>
      <c r="F18" s="21"/>
      <c r="G18" s="17"/>
      <c r="H18" s="17"/>
      <c r="I18" s="108"/>
      <c r="J18" s="112"/>
      <c r="L18" s="109"/>
      <c r="M18" s="109"/>
      <c r="N18" s="108"/>
      <c r="P18" s="52"/>
      <c r="Q18" s="52"/>
      <c r="R18" s="52"/>
      <c r="S18" s="52"/>
      <c r="T18" s="52"/>
    </row>
    <row r="19" spans="2:20" x14ac:dyDescent="0.25">
      <c r="B19" s="17"/>
      <c r="C19" s="17"/>
      <c r="D19" s="17" t="s">
        <v>17</v>
      </c>
      <c r="E19" s="17"/>
      <c r="F19" s="67">
        <v>198.5</v>
      </c>
      <c r="G19" s="17"/>
      <c r="H19" s="17"/>
      <c r="I19" s="109"/>
      <c r="J19" s="63"/>
      <c r="N19" s="23">
        <f>SUM(N9:N18)</f>
        <v>2222.9668999999999</v>
      </c>
      <c r="P19" s="52"/>
      <c r="Q19" s="52"/>
      <c r="R19" s="52"/>
      <c r="S19" s="52"/>
      <c r="T19" s="52"/>
    </row>
    <row r="20" spans="2:20" ht="8.1" customHeight="1" x14ac:dyDescent="0.25">
      <c r="B20" s="17"/>
      <c r="C20" s="17"/>
      <c r="D20" s="17"/>
      <c r="E20" s="17"/>
      <c r="F20" s="21"/>
      <c r="G20" s="17"/>
      <c r="H20" s="17"/>
      <c r="I20" s="109"/>
      <c r="J20" s="63"/>
      <c r="P20" s="52"/>
      <c r="Q20" s="52"/>
      <c r="R20" s="52"/>
      <c r="S20" s="52"/>
      <c r="T20" s="52"/>
    </row>
    <row r="21" spans="2:20" x14ac:dyDescent="0.25">
      <c r="B21" s="17"/>
      <c r="C21" s="17"/>
      <c r="D21" s="17" t="s">
        <v>18</v>
      </c>
      <c r="E21" s="17"/>
      <c r="F21" s="67">
        <v>187.98</v>
      </c>
      <c r="G21" s="17"/>
      <c r="H21" s="17"/>
      <c r="P21" s="52"/>
      <c r="Q21" s="52"/>
      <c r="R21" s="52"/>
      <c r="S21" s="52"/>
      <c r="T21" s="52"/>
    </row>
    <row r="22" spans="2:20" ht="8.1" customHeight="1" x14ac:dyDescent="0.25">
      <c r="B22" s="17"/>
      <c r="C22" s="17"/>
      <c r="D22" s="17"/>
      <c r="E22" s="17"/>
      <c r="F22" s="21"/>
      <c r="G22" s="17"/>
      <c r="H22" s="17"/>
      <c r="P22" s="52"/>
      <c r="Q22" s="52"/>
      <c r="R22" s="52"/>
      <c r="S22" s="52"/>
      <c r="T22" s="52"/>
    </row>
    <row r="23" spans="2:20" x14ac:dyDescent="0.25">
      <c r="B23" s="17"/>
      <c r="C23" s="17"/>
      <c r="D23" s="17" t="s">
        <v>19</v>
      </c>
      <c r="E23" s="17"/>
      <c r="F23" s="67">
        <v>203.5</v>
      </c>
      <c r="G23" s="17"/>
      <c r="H23" s="17"/>
      <c r="P23" s="52"/>
      <c r="Q23" s="52"/>
      <c r="R23" s="52"/>
      <c r="S23" s="52"/>
      <c r="T23" s="52"/>
    </row>
    <row r="24" spans="2:20" ht="8.1" customHeight="1" x14ac:dyDescent="0.25">
      <c r="B24" s="17"/>
      <c r="C24" s="17"/>
      <c r="D24" s="17"/>
      <c r="E24" s="17"/>
      <c r="F24" s="21"/>
      <c r="G24" s="17"/>
      <c r="H24" s="17"/>
      <c r="P24" s="52"/>
      <c r="Q24" s="52"/>
      <c r="R24" s="52"/>
      <c r="S24" s="52"/>
      <c r="T24" s="52"/>
    </row>
    <row r="25" spans="2:20" x14ac:dyDescent="0.25">
      <c r="B25" s="17"/>
      <c r="C25" s="17"/>
      <c r="D25" s="17" t="s">
        <v>20</v>
      </c>
      <c r="E25" s="17"/>
      <c r="F25" s="67">
        <v>212.7</v>
      </c>
      <c r="G25" s="17"/>
      <c r="H25" s="17"/>
    </row>
    <row r="26" spans="2:20" ht="8.1" customHeight="1" x14ac:dyDescent="0.25">
      <c r="B26" s="17"/>
      <c r="C26" s="17"/>
      <c r="D26" s="17"/>
      <c r="E26" s="17"/>
      <c r="F26" s="21"/>
      <c r="G26" s="17"/>
      <c r="H26" s="17"/>
    </row>
    <row r="27" spans="2:20" x14ac:dyDescent="0.25">
      <c r="B27" s="17"/>
      <c r="C27" s="17"/>
      <c r="D27" s="17" t="s">
        <v>21</v>
      </c>
      <c r="E27" s="17"/>
      <c r="F27" s="67">
        <v>187.98</v>
      </c>
      <c r="G27" s="17"/>
      <c r="H27" s="17"/>
    </row>
    <row r="28" spans="2:20" ht="8.1" customHeight="1" x14ac:dyDescent="0.25">
      <c r="B28" s="17"/>
      <c r="C28" s="17"/>
      <c r="D28" s="17"/>
      <c r="E28" s="17"/>
      <c r="F28" s="21"/>
      <c r="G28" s="17"/>
      <c r="H28" s="17"/>
    </row>
    <row r="29" spans="2:20" x14ac:dyDescent="0.25">
      <c r="B29" s="17"/>
      <c r="C29" s="17"/>
      <c r="D29" s="17" t="s">
        <v>22</v>
      </c>
      <c r="E29" s="17"/>
      <c r="F29" s="67">
        <v>188</v>
      </c>
      <c r="G29" s="17"/>
      <c r="H29" s="17"/>
    </row>
    <row r="30" spans="2:20" ht="8.1" customHeight="1" x14ac:dyDescent="0.25">
      <c r="B30" s="17"/>
      <c r="C30" s="17"/>
      <c r="D30" s="17"/>
      <c r="E30" s="17"/>
      <c r="F30" s="17"/>
      <c r="G30" s="17"/>
      <c r="H30" s="17"/>
    </row>
    <row r="31" spans="2:20" x14ac:dyDescent="0.25">
      <c r="B31" s="17"/>
      <c r="C31" s="17"/>
      <c r="D31" s="17"/>
      <c r="E31" s="17"/>
      <c r="F31" s="32">
        <f>SUM(F7:F29)</f>
        <v>2359.14</v>
      </c>
      <c r="G31" s="17"/>
      <c r="H31" s="17"/>
    </row>
    <row r="32" spans="2:20" x14ac:dyDescent="0.25">
      <c r="D32" s="17"/>
      <c r="E32" s="17"/>
      <c r="F32" s="17"/>
      <c r="G32" s="17"/>
      <c r="H32" s="17"/>
    </row>
    <row r="37" spans="14:21" x14ac:dyDescent="0.25">
      <c r="N37" s="95"/>
      <c r="O37" s="95"/>
      <c r="P37" s="96"/>
      <c r="Q37" s="95"/>
      <c r="R37" s="97"/>
      <c r="S37" s="96"/>
      <c r="T37" s="98"/>
      <c r="U37" s="99"/>
    </row>
    <row r="38" spans="14:21" x14ac:dyDescent="0.25">
      <c r="N38" s="96"/>
      <c r="O38" s="96"/>
      <c r="P38" s="96"/>
      <c r="Q38" s="96"/>
      <c r="R38" s="96"/>
      <c r="S38" s="96"/>
      <c r="T38" s="97"/>
      <c r="U38" s="96"/>
    </row>
    <row r="39" spans="14:21" x14ac:dyDescent="0.25">
      <c r="N39" s="100"/>
      <c r="O39" s="100"/>
      <c r="P39" s="96"/>
      <c r="Q39" s="95"/>
      <c r="R39" s="98"/>
      <c r="S39" s="97"/>
      <c r="T39" s="101"/>
      <c r="U39" s="97"/>
    </row>
    <row r="40" spans="14:21" x14ac:dyDescent="0.25">
      <c r="N40" s="100"/>
      <c r="O40" s="100"/>
      <c r="P40" s="96"/>
      <c r="Q40" s="95"/>
      <c r="R40" s="98"/>
      <c r="S40" s="97"/>
      <c r="T40" s="101"/>
      <c r="U40" s="97"/>
    </row>
    <row r="41" spans="14:21" x14ac:dyDescent="0.25">
      <c r="N41" s="100"/>
      <c r="O41" s="100"/>
      <c r="P41" s="96"/>
      <c r="Q41" s="95"/>
      <c r="R41" s="98"/>
      <c r="S41" s="96"/>
      <c r="T41" s="101"/>
      <c r="U41" s="97"/>
    </row>
    <row r="42" spans="14:21" x14ac:dyDescent="0.25">
      <c r="N42" s="100"/>
      <c r="O42" s="100"/>
      <c r="P42" s="96"/>
      <c r="Q42" s="102"/>
      <c r="R42" s="103"/>
      <c r="S42" s="103"/>
      <c r="T42" s="103"/>
      <c r="U42" s="97"/>
    </row>
    <row r="43" spans="14:21" x14ac:dyDescent="0.25">
      <c r="N43" s="100"/>
      <c r="O43" s="100"/>
      <c r="P43" s="96"/>
      <c r="Q43" s="97"/>
      <c r="R43" s="96"/>
      <c r="S43" s="99"/>
      <c r="T43" s="96"/>
      <c r="U43" s="96"/>
    </row>
    <row r="44" spans="14:21" x14ac:dyDescent="0.25">
      <c r="N44" s="96"/>
      <c r="O44" s="96"/>
      <c r="P44" s="96"/>
      <c r="Q44" s="97"/>
      <c r="R44" s="96"/>
      <c r="S44" s="99"/>
      <c r="T44" s="96"/>
      <c r="U44" s="96"/>
    </row>
    <row r="45" spans="14:21" x14ac:dyDescent="0.25">
      <c r="N45" s="95"/>
      <c r="O45" s="95"/>
      <c r="P45" s="96"/>
      <c r="Q45" s="96"/>
      <c r="R45" s="96"/>
      <c r="S45" s="96"/>
      <c r="T45" s="96"/>
      <c r="U45" s="96"/>
    </row>
    <row r="46" spans="14:21" x14ac:dyDescent="0.25">
      <c r="N46" s="95"/>
      <c r="O46" s="104"/>
      <c r="P46" s="96"/>
      <c r="Q46" s="96"/>
      <c r="R46" s="96"/>
      <c r="S46" s="96"/>
      <c r="T46" s="96"/>
      <c r="U46" s="96"/>
    </row>
    <row r="47" spans="14:21" x14ac:dyDescent="0.25">
      <c r="N47" s="95"/>
      <c r="O47" s="104"/>
      <c r="P47" s="96"/>
      <c r="Q47" s="96"/>
      <c r="R47" s="96"/>
      <c r="S47" s="96"/>
      <c r="T47" s="96"/>
      <c r="U47" s="96"/>
    </row>
    <row r="48" spans="14:21" x14ac:dyDescent="0.25">
      <c r="N48" s="95"/>
      <c r="O48" s="104"/>
      <c r="P48" s="96"/>
      <c r="Q48" s="96"/>
      <c r="R48" s="96"/>
      <c r="S48" s="96"/>
      <c r="T48" s="96"/>
      <c r="U48" s="96"/>
    </row>
    <row r="49" spans="14:21" x14ac:dyDescent="0.25">
      <c r="N49" s="95"/>
      <c r="O49" s="104"/>
      <c r="P49" s="96"/>
      <c r="Q49" s="96"/>
      <c r="R49" s="96"/>
      <c r="S49" s="96"/>
      <c r="T49" s="97"/>
      <c r="U49" s="96"/>
    </row>
    <row r="50" spans="14:21" x14ac:dyDescent="0.25">
      <c r="N50" s="95"/>
      <c r="O50" s="104"/>
      <c r="P50" s="96"/>
      <c r="Q50" s="96"/>
      <c r="R50" s="96"/>
      <c r="S50" s="96"/>
      <c r="T50" s="97"/>
      <c r="U50" s="96"/>
    </row>
    <row r="51" spans="14:21" x14ac:dyDescent="0.25">
      <c r="N51" s="95"/>
      <c r="O51" s="104"/>
      <c r="P51" s="96"/>
      <c r="Q51" s="96"/>
      <c r="R51" s="96"/>
      <c r="S51" s="96"/>
      <c r="T51" s="97"/>
      <c r="U51" s="96"/>
    </row>
    <row r="52" spans="14:21" x14ac:dyDescent="0.25">
      <c r="N52" s="95"/>
      <c r="O52" s="104"/>
      <c r="P52" s="96"/>
      <c r="Q52" s="96"/>
      <c r="R52" s="96"/>
      <c r="S52" s="96"/>
      <c r="T52" s="97"/>
      <c r="U52" s="96"/>
    </row>
    <row r="53" spans="14:21" x14ac:dyDescent="0.25">
      <c r="N53" s="95"/>
      <c r="O53" s="104"/>
      <c r="P53" s="96"/>
      <c r="Q53" s="96"/>
      <c r="R53" s="96"/>
      <c r="S53" s="96"/>
      <c r="T53" s="97"/>
      <c r="U53" s="96"/>
    </row>
    <row r="54" spans="14:21" x14ac:dyDescent="0.25">
      <c r="N54" s="95"/>
      <c r="O54" s="104"/>
      <c r="P54" s="96"/>
      <c r="Q54" s="96"/>
      <c r="R54" s="96"/>
      <c r="S54" s="96"/>
      <c r="T54" s="97"/>
      <c r="U54" s="96"/>
    </row>
    <row r="55" spans="14:21" x14ac:dyDescent="0.25">
      <c r="N55" s="95"/>
      <c r="O55" s="104"/>
      <c r="P55" s="96"/>
      <c r="Q55" s="96"/>
      <c r="R55" s="96"/>
      <c r="S55" s="96"/>
      <c r="T55" s="97"/>
      <c r="U55" s="96"/>
    </row>
    <row r="56" spans="14:21" x14ac:dyDescent="0.25">
      <c r="N56" s="95"/>
      <c r="O56" s="104"/>
      <c r="P56" s="96"/>
      <c r="Q56" s="96"/>
      <c r="R56" s="96"/>
      <c r="S56" s="96"/>
      <c r="T56" s="97"/>
      <c r="U56" s="96"/>
    </row>
    <row r="57" spans="14:21" x14ac:dyDescent="0.25">
      <c r="N57" s="95"/>
      <c r="O57" s="104"/>
      <c r="P57" s="96"/>
      <c r="Q57" s="96"/>
      <c r="R57" s="96"/>
      <c r="S57" s="96"/>
      <c r="T57" s="97"/>
      <c r="U57" s="96"/>
    </row>
    <row r="58" spans="14:21" x14ac:dyDescent="0.25">
      <c r="N58" s="95"/>
      <c r="O58" s="105"/>
      <c r="P58" s="96"/>
      <c r="Q58" s="96"/>
      <c r="R58" s="96"/>
      <c r="S58" s="96"/>
      <c r="T58" s="97"/>
      <c r="U58" s="96"/>
    </row>
  </sheetData>
  <mergeCells count="27">
    <mergeCell ref="J17:J18"/>
    <mergeCell ref="N9:N10"/>
    <mergeCell ref="N11:N12"/>
    <mergeCell ref="N13:N14"/>
    <mergeCell ref="N15:N16"/>
    <mergeCell ref="N17:N18"/>
    <mergeCell ref="M9:M10"/>
    <mergeCell ref="M11:M12"/>
    <mergeCell ref="M13:M14"/>
    <mergeCell ref="M15:M16"/>
    <mergeCell ref="M17:M18"/>
    <mergeCell ref="C4:G4"/>
    <mergeCell ref="I17:I18"/>
    <mergeCell ref="I19:I20"/>
    <mergeCell ref="L11:L12"/>
    <mergeCell ref="I9:I10"/>
    <mergeCell ref="I11:I12"/>
    <mergeCell ref="I13:I14"/>
    <mergeCell ref="I15:I16"/>
    <mergeCell ref="L9:L10"/>
    <mergeCell ref="L13:L14"/>
    <mergeCell ref="L15:L16"/>
    <mergeCell ref="L17:L18"/>
    <mergeCell ref="J9:J10"/>
    <mergeCell ref="J11:J12"/>
    <mergeCell ref="J13:J14"/>
    <mergeCell ref="J15:J1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DB30C-B0F2-40B7-948A-44F05C3ECE2D}">
  <dimension ref="B8:E16"/>
  <sheetViews>
    <sheetView showGridLines="0" workbookViewId="0">
      <selection activeCell="D33" sqref="D33"/>
    </sheetView>
  </sheetViews>
  <sheetFormatPr baseColWidth="10" defaultRowHeight="15" x14ac:dyDescent="0.25"/>
  <cols>
    <col min="1" max="1" width="11.42578125" customWidth="1"/>
    <col min="2" max="2" width="3" customWidth="1"/>
    <col min="3" max="4" width="15.42578125" bestFit="1" customWidth="1"/>
  </cols>
  <sheetData>
    <row r="8" spans="2:5" x14ac:dyDescent="0.25">
      <c r="C8" t="s">
        <v>184</v>
      </c>
    </row>
    <row r="10" spans="2:5" ht="15.75" thickBot="1" x14ac:dyDescent="0.3">
      <c r="B10" s="17" t="s">
        <v>70</v>
      </c>
      <c r="C10" s="93" t="s">
        <v>146</v>
      </c>
      <c r="D10" s="93"/>
      <c r="E10" s="93"/>
    </row>
    <row r="11" spans="2:5" x14ac:dyDescent="0.25">
      <c r="D11" t="s">
        <v>147</v>
      </c>
      <c r="E11" s="20">
        <v>230</v>
      </c>
    </row>
    <row r="12" spans="2:5" x14ac:dyDescent="0.25">
      <c r="C12" s="17"/>
      <c r="D12" s="17"/>
      <c r="E12" s="17"/>
    </row>
    <row r="13" spans="2:5" ht="15.75" thickBot="1" x14ac:dyDescent="0.3">
      <c r="B13" t="s">
        <v>70</v>
      </c>
      <c r="C13" s="93" t="s">
        <v>185</v>
      </c>
      <c r="D13" s="93"/>
      <c r="E13" s="93"/>
    </row>
    <row r="14" spans="2:5" x14ac:dyDescent="0.25">
      <c r="D14" t="s">
        <v>107</v>
      </c>
      <c r="E14" s="20">
        <v>1237</v>
      </c>
    </row>
    <row r="15" spans="2:5" x14ac:dyDescent="0.25">
      <c r="D15" t="s">
        <v>109</v>
      </c>
      <c r="E15" s="20">
        <v>0</v>
      </c>
    </row>
    <row r="16" spans="2:5" x14ac:dyDescent="0.25">
      <c r="D16" t="s">
        <v>108</v>
      </c>
      <c r="E16" s="20">
        <v>312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768E-DC42-4360-83ED-C16DF674E766}">
  <dimension ref="A2:I59"/>
  <sheetViews>
    <sheetView showGridLines="0" zoomScaleNormal="100" workbookViewId="0">
      <selection activeCell="M18" sqref="M18"/>
    </sheetView>
  </sheetViews>
  <sheetFormatPr baseColWidth="10" defaultRowHeight="15" x14ac:dyDescent="0.25"/>
  <cols>
    <col min="1" max="1" width="23" bestFit="1" customWidth="1"/>
    <col min="2" max="2" width="23" customWidth="1"/>
    <col min="3" max="3" width="11.85546875" bestFit="1" customWidth="1"/>
    <col min="6" max="6" width="19" bestFit="1" customWidth="1"/>
    <col min="7" max="7" width="23" bestFit="1" customWidth="1"/>
    <col min="8" max="9" width="11.85546875" bestFit="1" customWidth="1"/>
  </cols>
  <sheetData>
    <row r="2" spans="1:9" x14ac:dyDescent="0.25">
      <c r="B2" t="s">
        <v>23</v>
      </c>
      <c r="F2" s="89" t="s">
        <v>194</v>
      </c>
      <c r="G2" s="64">
        <v>2020</v>
      </c>
    </row>
    <row r="4" spans="1:9" x14ac:dyDescent="0.25">
      <c r="B4" s="89" t="s">
        <v>193</v>
      </c>
      <c r="C4" t="s">
        <v>190</v>
      </c>
      <c r="D4" s="89" t="s">
        <v>193</v>
      </c>
      <c r="E4" t="s">
        <v>191</v>
      </c>
      <c r="F4" s="89" t="s">
        <v>193</v>
      </c>
      <c r="G4" t="s">
        <v>192</v>
      </c>
    </row>
    <row r="7" spans="1:9" ht="15.75" thickBot="1" x14ac:dyDescent="0.3">
      <c r="A7" s="109"/>
      <c r="B7" s="109"/>
      <c r="C7" s="109"/>
      <c r="H7" t="s">
        <v>189</v>
      </c>
      <c r="I7" t="s">
        <v>63</v>
      </c>
    </row>
    <row r="8" spans="1:9" ht="16.5" thickTop="1" thickBot="1" x14ac:dyDescent="0.3">
      <c r="D8" s="27" t="s">
        <v>70</v>
      </c>
      <c r="E8" s="33" t="s">
        <v>69</v>
      </c>
      <c r="F8" s="33"/>
      <c r="G8" s="33"/>
      <c r="H8" s="35">
        <f>SUM(H9,H12,H16)</f>
        <v>3158</v>
      </c>
      <c r="I8" s="35">
        <f>SUM(I9,I12,I16)</f>
        <v>30058</v>
      </c>
    </row>
    <row r="9" spans="1:9" ht="15.75" thickTop="1" x14ac:dyDescent="0.25">
      <c r="D9" s="17"/>
      <c r="E9" s="27" t="s">
        <v>70</v>
      </c>
      <c r="F9" s="29" t="s">
        <v>29</v>
      </c>
      <c r="G9" s="26"/>
      <c r="H9" s="32">
        <f>SUM(H10:H11)</f>
        <v>2200</v>
      </c>
      <c r="I9" s="32">
        <f>SUM(I10:I11)</f>
        <v>26400</v>
      </c>
    </row>
    <row r="10" spans="1:9" x14ac:dyDescent="0.25">
      <c r="D10" s="17"/>
      <c r="E10" s="17"/>
      <c r="F10" s="50"/>
      <c r="G10" s="50" t="s">
        <v>89</v>
      </c>
      <c r="H10" s="51">
        <f>2200</f>
        <v>2200</v>
      </c>
      <c r="I10" s="51">
        <f>2200*12</f>
        <v>26400</v>
      </c>
    </row>
    <row r="11" spans="1:9" x14ac:dyDescent="0.25">
      <c r="D11" s="17"/>
      <c r="E11" s="17"/>
      <c r="F11" s="17"/>
      <c r="G11" s="17" t="s">
        <v>91</v>
      </c>
      <c r="H11" s="21">
        <v>0</v>
      </c>
      <c r="I11" s="21">
        <v>0</v>
      </c>
    </row>
    <row r="12" spans="1:9" x14ac:dyDescent="0.25">
      <c r="D12" s="17"/>
      <c r="E12" s="27" t="s">
        <v>70</v>
      </c>
      <c r="F12" s="17" t="s">
        <v>88</v>
      </c>
      <c r="G12" s="17"/>
      <c r="H12" s="32">
        <f>SUM(H13:H15)</f>
        <v>658</v>
      </c>
      <c r="I12" s="32">
        <f>SUM(I13:I15)</f>
        <v>658</v>
      </c>
    </row>
    <row r="13" spans="1:9" x14ac:dyDescent="0.25">
      <c r="D13" s="17"/>
      <c r="E13" s="17"/>
      <c r="F13" s="50"/>
      <c r="G13" s="50" t="s">
        <v>92</v>
      </c>
      <c r="H13" s="51">
        <f>55+55+55+35+60</f>
        <v>260</v>
      </c>
      <c r="I13" s="51">
        <f>55+55+55+35+60</f>
        <v>260</v>
      </c>
    </row>
    <row r="14" spans="1:9" x14ac:dyDescent="0.25">
      <c r="D14" s="17"/>
      <c r="E14" s="17"/>
      <c r="F14" s="17"/>
      <c r="G14" s="52" t="s">
        <v>93</v>
      </c>
      <c r="H14" s="21">
        <f>17+17+17+17+30</f>
        <v>98</v>
      </c>
      <c r="I14" s="21">
        <f>17+17+17+17+30</f>
        <v>98</v>
      </c>
    </row>
    <row r="15" spans="1:9" x14ac:dyDescent="0.25">
      <c r="D15" s="17"/>
      <c r="E15" s="17"/>
      <c r="F15" s="17"/>
      <c r="G15" s="52" t="s">
        <v>94</v>
      </c>
      <c r="H15" s="21">
        <f>300</f>
        <v>300</v>
      </c>
      <c r="I15" s="21">
        <f>300</f>
        <v>300</v>
      </c>
    </row>
    <row r="16" spans="1:9" x14ac:dyDescent="0.25">
      <c r="D16" s="17"/>
      <c r="E16" s="27" t="s">
        <v>70</v>
      </c>
      <c r="F16" s="17" t="s">
        <v>30</v>
      </c>
      <c r="G16" s="17"/>
      <c r="H16" s="32">
        <f>SUM(H17:H18)</f>
        <v>300</v>
      </c>
      <c r="I16" s="32">
        <f>SUM(I17:I18)</f>
        <v>3000</v>
      </c>
    </row>
    <row r="17" spans="4:9" x14ac:dyDescent="0.25">
      <c r="D17" s="17"/>
      <c r="E17" s="17"/>
      <c r="F17" s="50"/>
      <c r="G17" s="50" t="s">
        <v>90</v>
      </c>
      <c r="H17" s="51">
        <f>300</f>
        <v>300</v>
      </c>
      <c r="I17" s="51">
        <f>300*10</f>
        <v>3000</v>
      </c>
    </row>
    <row r="18" spans="4:9" ht="32.25" customHeight="1" thickBot="1" x14ac:dyDescent="0.3">
      <c r="H18" s="20"/>
      <c r="I18" s="20"/>
    </row>
    <row r="19" spans="4:9" ht="16.5" thickTop="1" thickBot="1" x14ac:dyDescent="0.3">
      <c r="D19" s="27" t="s">
        <v>70</v>
      </c>
      <c r="E19" s="33" t="s">
        <v>25</v>
      </c>
      <c r="F19" s="33"/>
      <c r="G19" s="33"/>
      <c r="H19" s="34">
        <f>SUM(H20+H26+H32+H36+H41)</f>
        <v>1604.98</v>
      </c>
      <c r="I19" s="34">
        <f>SUM(I20+I26+I32+I36+I41)</f>
        <v>19259.760000000002</v>
      </c>
    </row>
    <row r="20" spans="4:9" ht="16.5" thickTop="1" thickBot="1" x14ac:dyDescent="0.3">
      <c r="D20" s="17"/>
      <c r="E20" s="28" t="s">
        <v>70</v>
      </c>
      <c r="F20" s="26" t="s">
        <v>95</v>
      </c>
      <c r="G20" s="26"/>
      <c r="H20" s="31">
        <f>SUM(H21:H24)</f>
        <v>966</v>
      </c>
      <c r="I20" s="31">
        <f>SUM(I21:I24)</f>
        <v>11592</v>
      </c>
    </row>
    <row r="21" spans="4:9" x14ac:dyDescent="0.25">
      <c r="D21" s="17"/>
      <c r="E21" s="17"/>
      <c r="F21" s="29"/>
      <c r="G21" s="29" t="s">
        <v>31</v>
      </c>
      <c r="H21" s="30">
        <f>750</f>
        <v>750</v>
      </c>
      <c r="I21" s="30">
        <f>750*12</f>
        <v>9000</v>
      </c>
    </row>
    <row r="22" spans="4:9" x14ac:dyDescent="0.25">
      <c r="D22" s="17"/>
      <c r="E22" s="17"/>
      <c r="G22" t="s">
        <v>32</v>
      </c>
      <c r="H22" s="20">
        <f>120</f>
        <v>120</v>
      </c>
      <c r="I22" s="20">
        <f>120*12</f>
        <v>1440</v>
      </c>
    </row>
    <row r="23" spans="4:9" x14ac:dyDescent="0.25">
      <c r="D23" s="17"/>
      <c r="E23" s="17"/>
      <c r="G23" t="s">
        <v>33</v>
      </c>
      <c r="H23" s="20">
        <f>73</f>
        <v>73</v>
      </c>
      <c r="I23" s="20">
        <f>73*12</f>
        <v>876</v>
      </c>
    </row>
    <row r="24" spans="4:9" x14ac:dyDescent="0.25">
      <c r="D24" s="17"/>
      <c r="E24" s="17"/>
      <c r="G24" t="s">
        <v>34</v>
      </c>
      <c r="H24" s="20">
        <f>23</f>
        <v>23</v>
      </c>
      <c r="I24" s="20">
        <f>23*12</f>
        <v>276</v>
      </c>
    </row>
    <row r="25" spans="4:9" ht="29.25" customHeight="1" x14ac:dyDescent="0.25">
      <c r="D25" s="17"/>
      <c r="E25" s="17"/>
      <c r="H25" s="20"/>
      <c r="I25" s="20"/>
    </row>
    <row r="26" spans="4:9" ht="15.75" thickBot="1" x14ac:dyDescent="0.3">
      <c r="D26" s="17"/>
      <c r="E26" s="27" t="s">
        <v>70</v>
      </c>
      <c r="F26" t="s">
        <v>96</v>
      </c>
      <c r="H26" s="20">
        <f>SUM(H27:H30)</f>
        <v>59.98</v>
      </c>
      <c r="I26" s="20">
        <f>SUM(I27:I30)</f>
        <v>719.76</v>
      </c>
    </row>
    <row r="27" spans="4:9" x14ac:dyDescent="0.25">
      <c r="D27" s="17"/>
      <c r="E27" s="17"/>
      <c r="F27" s="29"/>
      <c r="G27" s="29" t="s">
        <v>37</v>
      </c>
      <c r="H27" s="30">
        <f>22.99</f>
        <v>22.99</v>
      </c>
      <c r="I27" s="30">
        <f>22.99*12</f>
        <v>275.88</v>
      </c>
    </row>
    <row r="28" spans="4:9" x14ac:dyDescent="0.25">
      <c r="D28" s="17"/>
      <c r="E28" s="17"/>
      <c r="G28" t="s">
        <v>38</v>
      </c>
      <c r="H28" s="20">
        <f>20.99</f>
        <v>20.99</v>
      </c>
      <c r="I28" s="20">
        <f>20.99*12</f>
        <v>251.88</v>
      </c>
    </row>
    <row r="29" spans="4:9" x14ac:dyDescent="0.25">
      <c r="D29" s="17"/>
      <c r="E29" s="17"/>
      <c r="G29" t="s">
        <v>39</v>
      </c>
      <c r="H29" s="20">
        <f>12</f>
        <v>12</v>
      </c>
      <c r="I29" s="20">
        <f>12*12</f>
        <v>144</v>
      </c>
    </row>
    <row r="30" spans="4:9" x14ac:dyDescent="0.25">
      <c r="D30" s="17"/>
      <c r="E30" s="17"/>
      <c r="G30" t="s">
        <v>40</v>
      </c>
      <c r="H30" s="20">
        <f>4</f>
        <v>4</v>
      </c>
      <c r="I30" s="20">
        <f>4*12</f>
        <v>48</v>
      </c>
    </row>
    <row r="31" spans="4:9" ht="27" customHeight="1" x14ac:dyDescent="0.25">
      <c r="D31" s="17"/>
      <c r="E31" s="17"/>
      <c r="H31" s="20"/>
      <c r="I31" s="20"/>
    </row>
    <row r="32" spans="4:9" ht="15.75" thickBot="1" x14ac:dyDescent="0.3">
      <c r="D32" s="17"/>
      <c r="E32" s="27" t="s">
        <v>70</v>
      </c>
      <c r="F32" t="s">
        <v>97</v>
      </c>
      <c r="H32" s="20">
        <f>H33+H34</f>
        <v>152</v>
      </c>
      <c r="I32" s="20">
        <f>I33+I34</f>
        <v>1824</v>
      </c>
    </row>
    <row r="33" spans="4:9" x14ac:dyDescent="0.25">
      <c r="D33" s="17"/>
      <c r="E33" s="17"/>
      <c r="F33" s="29"/>
      <c r="G33" s="29" t="s">
        <v>35</v>
      </c>
      <c r="H33" s="30">
        <v>92</v>
      </c>
      <c r="I33" s="30">
        <f>92*12</f>
        <v>1104</v>
      </c>
    </row>
    <row r="34" spans="4:9" x14ac:dyDescent="0.25">
      <c r="D34" s="17"/>
      <c r="E34" s="17"/>
      <c r="G34" t="s">
        <v>36</v>
      </c>
      <c r="H34" s="20">
        <v>60</v>
      </c>
      <c r="I34" s="20">
        <f>60*12</f>
        <v>720</v>
      </c>
    </row>
    <row r="35" spans="4:9" ht="40.5" customHeight="1" x14ac:dyDescent="0.25">
      <c r="D35" s="17"/>
      <c r="E35" s="17"/>
      <c r="H35" s="20"/>
      <c r="I35" s="20"/>
    </row>
    <row r="36" spans="4:9" ht="15.75" thickBot="1" x14ac:dyDescent="0.3">
      <c r="D36" s="17"/>
      <c r="E36" s="27" t="s">
        <v>70</v>
      </c>
      <c r="F36" t="s">
        <v>98</v>
      </c>
      <c r="H36" s="20">
        <f>H37+H38</f>
        <v>177</v>
      </c>
      <c r="I36" s="20">
        <f>I37+I38</f>
        <v>2124</v>
      </c>
    </row>
    <row r="37" spans="4:9" x14ac:dyDescent="0.25">
      <c r="D37" s="17"/>
      <c r="E37" s="17"/>
      <c r="F37" s="29"/>
      <c r="G37" s="29" t="s">
        <v>0</v>
      </c>
      <c r="H37" s="30">
        <f>150</f>
        <v>150</v>
      </c>
      <c r="I37" s="30">
        <f>150*12</f>
        <v>1800</v>
      </c>
    </row>
    <row r="38" spans="4:9" x14ac:dyDescent="0.25">
      <c r="D38" s="17"/>
      <c r="E38" s="17"/>
      <c r="F38" s="17"/>
      <c r="G38" s="17" t="s">
        <v>41</v>
      </c>
      <c r="H38" s="20">
        <f>27</f>
        <v>27</v>
      </c>
      <c r="I38" s="20">
        <f>27*12</f>
        <v>324</v>
      </c>
    </row>
    <row r="39" spans="4:9" x14ac:dyDescent="0.25">
      <c r="D39" s="17"/>
      <c r="E39" s="17"/>
      <c r="H39" s="20"/>
      <c r="I39" s="20"/>
    </row>
    <row r="40" spans="4:9" ht="19.5" customHeight="1" x14ac:dyDescent="0.25">
      <c r="D40" s="17"/>
      <c r="E40" s="17"/>
      <c r="H40" s="20"/>
      <c r="I40" s="20"/>
    </row>
    <row r="41" spans="4:9" ht="15.75" thickBot="1" x14ac:dyDescent="0.3">
      <c r="D41" s="17"/>
      <c r="E41" s="27" t="s">
        <v>70</v>
      </c>
      <c r="F41" t="s">
        <v>99</v>
      </c>
      <c r="H41" s="20">
        <f>H42+H43</f>
        <v>250</v>
      </c>
      <c r="I41" s="20">
        <f>I42+I43</f>
        <v>3000</v>
      </c>
    </row>
    <row r="42" spans="4:9" x14ac:dyDescent="0.25">
      <c r="D42" s="17"/>
      <c r="E42" s="17"/>
      <c r="F42" s="29"/>
      <c r="G42" s="29" t="s">
        <v>46</v>
      </c>
      <c r="H42" s="30">
        <f>220</f>
        <v>220</v>
      </c>
      <c r="I42" s="30">
        <f>220*12</f>
        <v>2640</v>
      </c>
    </row>
    <row r="43" spans="4:9" x14ac:dyDescent="0.25">
      <c r="F43" s="17"/>
      <c r="G43" s="17" t="s">
        <v>56</v>
      </c>
      <c r="H43" s="20">
        <f>30</f>
        <v>30</v>
      </c>
      <c r="I43" s="20">
        <f>30*12</f>
        <v>360</v>
      </c>
    </row>
    <row r="44" spans="4:9" x14ac:dyDescent="0.25">
      <c r="G44" t="s">
        <v>100</v>
      </c>
      <c r="H44" s="20">
        <f>14.3</f>
        <v>14.3</v>
      </c>
      <c r="I44" s="20">
        <f>14.3*12</f>
        <v>171.60000000000002</v>
      </c>
    </row>
    <row r="45" spans="4:9" ht="33.75" customHeight="1" thickBot="1" x14ac:dyDescent="0.3">
      <c r="H45" s="20"/>
      <c r="I45" s="20"/>
    </row>
    <row r="46" spans="4:9" ht="16.5" thickTop="1" thickBot="1" x14ac:dyDescent="0.3">
      <c r="D46" s="27" t="s">
        <v>70</v>
      </c>
      <c r="E46" s="33" t="s">
        <v>6</v>
      </c>
      <c r="F46" s="33"/>
      <c r="G46" s="33"/>
      <c r="H46" s="35">
        <f>H47</f>
        <v>1173.3333333333335</v>
      </c>
      <c r="I46" s="35">
        <f>I47</f>
        <v>3080</v>
      </c>
    </row>
    <row r="47" spans="4:9" ht="16.5" thickTop="1" thickBot="1" x14ac:dyDescent="0.3">
      <c r="D47" s="17"/>
      <c r="E47" s="27" t="s">
        <v>70</v>
      </c>
      <c r="F47" s="17" t="s">
        <v>153</v>
      </c>
      <c r="G47" s="26"/>
      <c r="H47" s="32">
        <f>SUM(H48:H53)</f>
        <v>1173.3333333333335</v>
      </c>
      <c r="I47" s="32">
        <f>SUM(I48:I53)</f>
        <v>3080</v>
      </c>
    </row>
    <row r="48" spans="4:9" x14ac:dyDescent="0.25">
      <c r="D48" s="17"/>
      <c r="E48" s="17"/>
      <c r="F48" s="29"/>
      <c r="G48" s="29" t="s">
        <v>27</v>
      </c>
      <c r="H48" s="30">
        <v>1000</v>
      </c>
      <c r="I48" s="30">
        <v>1000</v>
      </c>
    </row>
    <row r="49" spans="4:9" x14ac:dyDescent="0.25">
      <c r="E49" s="17"/>
      <c r="G49" t="s">
        <v>26</v>
      </c>
      <c r="H49" s="1">
        <f>300/12</f>
        <v>25</v>
      </c>
      <c r="I49" s="1">
        <v>300</v>
      </c>
    </row>
    <row r="50" spans="4:9" x14ac:dyDescent="0.25">
      <c r="G50" t="s">
        <v>186</v>
      </c>
      <c r="H50" s="1">
        <f>200/12</f>
        <v>16.666666666666668</v>
      </c>
      <c r="I50" s="1">
        <v>200</v>
      </c>
    </row>
    <row r="51" spans="4:9" x14ac:dyDescent="0.25">
      <c r="G51" t="s">
        <v>66</v>
      </c>
      <c r="H51" s="1">
        <f>200/12</f>
        <v>16.666666666666668</v>
      </c>
      <c r="I51" s="1">
        <v>200</v>
      </c>
    </row>
    <row r="52" spans="4:9" x14ac:dyDescent="0.25">
      <c r="G52" t="s">
        <v>187</v>
      </c>
      <c r="H52" s="1">
        <f>880/12</f>
        <v>73.333333333333329</v>
      </c>
      <c r="I52" s="1">
        <v>880</v>
      </c>
    </row>
    <row r="53" spans="4:9" x14ac:dyDescent="0.25">
      <c r="G53" t="s">
        <v>112</v>
      </c>
      <c r="H53" s="1">
        <f>500/12</f>
        <v>41.666666666666664</v>
      </c>
      <c r="I53" s="1">
        <v>500</v>
      </c>
    </row>
    <row r="54" spans="4:9" ht="27.75" customHeight="1" thickBot="1" x14ac:dyDescent="0.3"/>
    <row r="55" spans="4:9" ht="16.5" thickTop="1" thickBot="1" x14ac:dyDescent="0.3">
      <c r="D55" s="27" t="s">
        <v>70</v>
      </c>
      <c r="E55" s="33" t="s">
        <v>46</v>
      </c>
      <c r="F55" s="33"/>
      <c r="G55" s="33"/>
      <c r="H55" s="35">
        <f>H56</f>
        <v>403.33333333333331</v>
      </c>
      <c r="I55" s="35">
        <f>I56</f>
        <v>4840</v>
      </c>
    </row>
    <row r="56" spans="4:9" ht="16.5" thickTop="1" thickBot="1" x14ac:dyDescent="0.3">
      <c r="D56" s="17"/>
      <c r="E56" s="27" t="s">
        <v>70</v>
      </c>
      <c r="F56" s="17" t="s">
        <v>136</v>
      </c>
      <c r="G56" s="26"/>
      <c r="H56" s="32">
        <f>SUM(H57:H59)</f>
        <v>403.33333333333331</v>
      </c>
      <c r="I56" s="32">
        <f>SUM(I57:I59)</f>
        <v>4840</v>
      </c>
    </row>
    <row r="57" spans="4:9" x14ac:dyDescent="0.25">
      <c r="F57" s="29"/>
      <c r="G57" s="29" t="s">
        <v>188</v>
      </c>
      <c r="H57" s="30">
        <f>2000/12</f>
        <v>166.66666666666666</v>
      </c>
      <c r="I57" s="30">
        <v>2000</v>
      </c>
    </row>
    <row r="58" spans="4:9" x14ac:dyDescent="0.25">
      <c r="G58" t="s">
        <v>47</v>
      </c>
      <c r="H58" s="1">
        <f>200/12</f>
        <v>16.666666666666668</v>
      </c>
      <c r="I58" s="1">
        <v>200</v>
      </c>
    </row>
    <row r="59" spans="4:9" x14ac:dyDescent="0.25">
      <c r="G59" t="s">
        <v>46</v>
      </c>
      <c r="H59">
        <f>220</f>
        <v>220</v>
      </c>
      <c r="I59">
        <f>220*12</f>
        <v>2640</v>
      </c>
    </row>
  </sheetData>
  <mergeCells count="1">
    <mergeCell ref="A7:C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0AB0-A102-49A3-AACE-EA484B3D1444}">
  <dimension ref="E12:Q30"/>
  <sheetViews>
    <sheetView showGridLines="0" workbookViewId="0">
      <selection activeCell="U20" sqref="U20"/>
    </sheetView>
  </sheetViews>
  <sheetFormatPr baseColWidth="10" defaultRowHeight="15" x14ac:dyDescent="0.25"/>
  <cols>
    <col min="8" max="8" width="3.28515625" customWidth="1"/>
  </cols>
  <sheetData>
    <row r="12" spans="5:11" x14ac:dyDescent="0.25">
      <c r="E12" s="108" t="s">
        <v>195</v>
      </c>
      <c r="F12" s="108"/>
    </row>
    <row r="15" spans="5:11" x14ac:dyDescent="0.25">
      <c r="E15" s="119" t="s">
        <v>120</v>
      </c>
      <c r="F15" s="120"/>
      <c r="G15" s="123" t="s">
        <v>119</v>
      </c>
      <c r="H15" s="124"/>
      <c r="I15" s="125"/>
      <c r="J15" s="124" t="s">
        <v>121</v>
      </c>
      <c r="K15" s="125"/>
    </row>
    <row r="16" spans="5:11" x14ac:dyDescent="0.25">
      <c r="E16" s="121"/>
      <c r="F16" s="122"/>
      <c r="G16" s="126"/>
      <c r="H16" s="127"/>
      <c r="I16" s="128"/>
      <c r="J16" s="127"/>
      <c r="K16" s="128"/>
    </row>
    <row r="17" spans="5:17" x14ac:dyDescent="0.25">
      <c r="G17" s="16"/>
      <c r="H17" s="16"/>
      <c r="I17" s="16"/>
    </row>
    <row r="18" spans="5:17" x14ac:dyDescent="0.25">
      <c r="E18" s="129" t="s">
        <v>122</v>
      </c>
      <c r="F18" s="129"/>
    </row>
    <row r="20" spans="5:17" x14ac:dyDescent="0.25">
      <c r="E20" s="72" t="s">
        <v>123</v>
      </c>
      <c r="G20" s="3" t="s">
        <v>124</v>
      </c>
      <c r="H20" s="73" t="s">
        <v>127</v>
      </c>
      <c r="J20" s="13" t="s">
        <v>125</v>
      </c>
      <c r="L20" s="13" t="s">
        <v>126</v>
      </c>
      <c r="N20" s="13" t="s">
        <v>128</v>
      </c>
      <c r="P20" s="109" t="s">
        <v>129</v>
      </c>
      <c r="Q20" s="109"/>
    </row>
    <row r="24" spans="5:17" x14ac:dyDescent="0.25">
      <c r="E24" s="79" t="s">
        <v>124</v>
      </c>
      <c r="F24" s="114" t="s">
        <v>125</v>
      </c>
      <c r="G24" s="115"/>
      <c r="H24" s="116" t="s">
        <v>126</v>
      </c>
      <c r="I24" s="116"/>
      <c r="J24" s="116"/>
      <c r="K24" s="75" t="s">
        <v>130</v>
      </c>
      <c r="L24" s="74" t="s">
        <v>131</v>
      </c>
      <c r="N24" s="16"/>
      <c r="O24" s="64"/>
    </row>
    <row r="25" spans="5:17" x14ac:dyDescent="0.25">
      <c r="E25">
        <v>1</v>
      </c>
      <c r="F25" s="117" t="s">
        <v>28</v>
      </c>
      <c r="G25" s="118"/>
      <c r="H25" s="108" t="s">
        <v>24</v>
      </c>
      <c r="I25" s="108"/>
      <c r="J25" s="108"/>
      <c r="K25" s="76" t="s">
        <v>132</v>
      </c>
      <c r="L25" s="16" t="s">
        <v>133</v>
      </c>
      <c r="M25" s="16"/>
      <c r="N25" s="16"/>
    </row>
    <row r="26" spans="5:17" x14ac:dyDescent="0.25">
      <c r="E26">
        <v>2</v>
      </c>
      <c r="F26" s="117" t="s">
        <v>95</v>
      </c>
      <c r="G26" s="118"/>
      <c r="H26" s="108" t="s">
        <v>137</v>
      </c>
      <c r="I26" s="108"/>
      <c r="J26" s="108"/>
      <c r="K26" s="76" t="s">
        <v>132</v>
      </c>
      <c r="L26" s="16" t="s">
        <v>133</v>
      </c>
      <c r="M26" s="16"/>
      <c r="N26" s="16"/>
    </row>
    <row r="27" spans="5:17" x14ac:dyDescent="0.25">
      <c r="E27">
        <v>3</v>
      </c>
      <c r="F27" s="117" t="s">
        <v>134</v>
      </c>
      <c r="G27" s="118"/>
      <c r="H27" s="108" t="s">
        <v>137</v>
      </c>
      <c r="I27" s="108"/>
      <c r="J27" s="108"/>
      <c r="K27" s="76" t="s">
        <v>132</v>
      </c>
      <c r="L27" s="16" t="s">
        <v>133</v>
      </c>
      <c r="M27" s="16"/>
      <c r="N27" s="16"/>
    </row>
    <row r="28" spans="5:17" x14ac:dyDescent="0.25">
      <c r="E28">
        <v>4</v>
      </c>
      <c r="F28" s="117" t="s">
        <v>96</v>
      </c>
      <c r="G28" s="118"/>
      <c r="H28" s="108" t="s">
        <v>137</v>
      </c>
      <c r="I28" s="108"/>
      <c r="J28" s="108"/>
      <c r="K28" s="76" t="s">
        <v>132</v>
      </c>
      <c r="L28" s="16" t="s">
        <v>133</v>
      </c>
      <c r="M28" s="16"/>
      <c r="N28" s="16"/>
    </row>
    <row r="29" spans="5:17" x14ac:dyDescent="0.25">
      <c r="E29">
        <v>5</v>
      </c>
      <c r="F29" s="117" t="s">
        <v>135</v>
      </c>
      <c r="G29" s="118"/>
      <c r="H29" s="108" t="s">
        <v>138</v>
      </c>
      <c r="I29" s="108"/>
      <c r="J29" s="108"/>
      <c r="K29" s="76" t="s">
        <v>132</v>
      </c>
      <c r="L29" s="16" t="s">
        <v>133</v>
      </c>
      <c r="M29" s="16"/>
      <c r="N29" s="16"/>
    </row>
    <row r="30" spans="5:17" x14ac:dyDescent="0.25">
      <c r="E30">
        <v>6</v>
      </c>
      <c r="F30" s="117" t="s">
        <v>136</v>
      </c>
      <c r="G30" s="118"/>
      <c r="H30" s="108" t="s">
        <v>46</v>
      </c>
      <c r="I30" s="108"/>
      <c r="J30" s="108"/>
      <c r="K30" s="76" t="s">
        <v>132</v>
      </c>
      <c r="L30" s="16" t="s">
        <v>133</v>
      </c>
      <c r="M30" s="16"/>
      <c r="N30" s="16"/>
    </row>
  </sheetData>
  <mergeCells count="20">
    <mergeCell ref="E15:F16"/>
    <mergeCell ref="G15:I16"/>
    <mergeCell ref="J15:K16"/>
    <mergeCell ref="E12:F12"/>
    <mergeCell ref="H25:J25"/>
    <mergeCell ref="F25:G25"/>
    <mergeCell ref="E18:F18"/>
    <mergeCell ref="F28:G28"/>
    <mergeCell ref="F29:G29"/>
    <mergeCell ref="F30:G30"/>
    <mergeCell ref="H26:J26"/>
    <mergeCell ref="H27:J27"/>
    <mergeCell ref="H28:J28"/>
    <mergeCell ref="H29:J29"/>
    <mergeCell ref="H30:J30"/>
    <mergeCell ref="P20:Q20"/>
    <mergeCell ref="F24:G24"/>
    <mergeCell ref="H24:J24"/>
    <mergeCell ref="F26:G26"/>
    <mergeCell ref="F27:G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Settings</vt:lpstr>
      <vt:lpstr>Budgets</vt:lpstr>
      <vt:lpstr>I Prév</vt:lpstr>
      <vt:lpstr>I Label</vt:lpstr>
      <vt:lpstr>|</vt:lpstr>
      <vt:lpstr>M Impôts</vt:lpstr>
      <vt:lpstr>M Home</vt:lpstr>
      <vt:lpstr>M Résumé</vt:lpstr>
      <vt:lpstr>M Labels-Catégories</vt:lpstr>
      <vt:lpstr>M Labels-Sous-Catégorie</vt:lpstr>
      <vt:lpstr>M Labels-Compte</vt:lpstr>
      <vt:lpstr>M Transactions</vt:lpstr>
      <vt:lpstr>M Epargne</vt:lpstr>
      <vt:lpstr>M Provisions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CHAIGNE Alexandre</dc:creator>
  <cp:lastModifiedBy>Alexandre Chaigne</cp:lastModifiedBy>
  <dcterms:created xsi:type="dcterms:W3CDTF">2021-10-26T06:54:10Z</dcterms:created>
  <dcterms:modified xsi:type="dcterms:W3CDTF">2021-11-30T12:11:29Z</dcterms:modified>
</cp:coreProperties>
</file>