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is\Downloads\Luis\financieras\"/>
    </mc:Choice>
  </mc:AlternateContent>
  <bookViews>
    <workbookView xWindow="0" yWindow="0" windowWidth="20490" windowHeight="7665" firstSheet="4" activeTab="8"/>
  </bookViews>
  <sheets>
    <sheet name="Portada" sheetId="6" r:id="rId1"/>
    <sheet name="MarcoTeorico" sheetId="7" r:id="rId2"/>
    <sheet name="Objetivo" sheetId="8" r:id="rId3"/>
    <sheet name="Datos" sheetId="2" r:id="rId4"/>
    <sheet name="PE" sheetId="12" r:id="rId5"/>
    <sheet name="Punto de equilibrio" sheetId="10" r:id="rId6"/>
    <sheet name="Estado de Resultados" sheetId="3" r:id="rId7"/>
    <sheet name="Métodos de Evaluación" sheetId="5" r:id="rId8"/>
    <sheet name="Balance General" sheetId="4" r:id="rId9"/>
    <sheet name="Resultados" sheetId="9" r:id="rId10"/>
  </sheets>
  <externalReferences>
    <externalReference r:id="rId11"/>
    <externalReference r:id="rId1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8" i="12" l="1"/>
  <c r="L5" i="12"/>
  <c r="K8" i="12"/>
  <c r="J8" i="12"/>
  <c r="I8" i="12"/>
  <c r="H8" i="12"/>
  <c r="G8" i="12"/>
  <c r="F8" i="12"/>
  <c r="E8" i="12"/>
  <c r="D8" i="12"/>
  <c r="C8" i="12"/>
  <c r="K5" i="12"/>
  <c r="J5" i="12"/>
  <c r="I5" i="12"/>
  <c r="H5" i="12"/>
  <c r="G5" i="12"/>
  <c r="F5" i="12"/>
  <c r="E5" i="12"/>
  <c r="D5" i="12"/>
  <c r="C5" i="12"/>
  <c r="E43" i="12" l="1"/>
  <c r="F43" i="12"/>
  <c r="G43" i="12"/>
  <c r="H43" i="12"/>
  <c r="I43" i="12"/>
  <c r="J43" i="12"/>
  <c r="K43" i="12"/>
  <c r="L43" i="12"/>
  <c r="D43" i="12"/>
  <c r="L42" i="12"/>
  <c r="K42" i="12"/>
  <c r="J42" i="12"/>
  <c r="I42" i="12"/>
  <c r="H42" i="12"/>
  <c r="G42" i="12"/>
  <c r="F42" i="12"/>
  <c r="E42" i="12"/>
  <c r="D42" i="12"/>
  <c r="C42" i="12"/>
  <c r="C43" i="12" s="1"/>
  <c r="L41" i="12"/>
  <c r="K41" i="12"/>
  <c r="J41" i="12"/>
  <c r="I41" i="12"/>
  <c r="H41" i="12"/>
  <c r="G41" i="12"/>
  <c r="F41" i="12"/>
  <c r="E41" i="12"/>
  <c r="D41" i="12"/>
  <c r="C41" i="12"/>
  <c r="K30" i="2"/>
  <c r="K31" i="2"/>
  <c r="K33" i="2"/>
  <c r="K32" i="2"/>
  <c r="K29" i="2"/>
  <c r="K28" i="2"/>
  <c r="K27" i="2"/>
  <c r="K26" i="2"/>
  <c r="K25" i="2"/>
  <c r="K24" i="2"/>
  <c r="J33" i="2"/>
  <c r="J32" i="2"/>
  <c r="J30" i="2"/>
  <c r="J31" i="2"/>
  <c r="J29" i="2"/>
  <c r="J28" i="2"/>
  <c r="J27" i="2"/>
  <c r="J26" i="2"/>
  <c r="J25" i="2"/>
  <c r="J24" i="2"/>
  <c r="I33" i="2"/>
  <c r="I32" i="2"/>
  <c r="I31" i="2"/>
  <c r="I30" i="2"/>
  <c r="I29" i="2"/>
  <c r="I28" i="2"/>
  <c r="I27" i="2"/>
  <c r="I26" i="2"/>
  <c r="I25" i="2"/>
  <c r="I24" i="2"/>
  <c r="K68" i="12"/>
  <c r="L68" i="12" s="1"/>
  <c r="K67" i="12"/>
  <c r="K44" i="12" s="1"/>
  <c r="K66" i="12"/>
  <c r="J44" i="12" s="1"/>
  <c r="K65" i="12"/>
  <c r="I44" i="12" s="1"/>
  <c r="K64" i="12"/>
  <c r="H44" i="12" s="1"/>
  <c r="K63" i="12"/>
  <c r="G44" i="12" s="1"/>
  <c r="K62" i="12"/>
  <c r="F44" i="12" s="1"/>
  <c r="K61" i="12"/>
  <c r="E44" i="12" s="1"/>
  <c r="K60" i="12"/>
  <c r="D44" i="12" s="1"/>
  <c r="K59" i="12"/>
  <c r="C44" i="12" s="1"/>
  <c r="G63" i="12" l="1"/>
  <c r="H46" i="12"/>
  <c r="H45" i="12"/>
  <c r="H48" i="12"/>
  <c r="H47" i="12"/>
  <c r="E47" i="12"/>
  <c r="E48" i="12"/>
  <c r="E46" i="12"/>
  <c r="D61" i="12" s="1"/>
  <c r="E45" i="12"/>
  <c r="I47" i="12"/>
  <c r="I48" i="12"/>
  <c r="I46" i="12"/>
  <c r="I45" i="12"/>
  <c r="C65" i="12" s="1"/>
  <c r="F48" i="12"/>
  <c r="F47" i="12"/>
  <c r="F46" i="12"/>
  <c r="F45" i="12"/>
  <c r="J48" i="12"/>
  <c r="J45" i="12"/>
  <c r="C66" i="12" s="1"/>
  <c r="J46" i="12"/>
  <c r="J47" i="12"/>
  <c r="D47" i="12"/>
  <c r="D45" i="12"/>
  <c r="D46" i="12"/>
  <c r="D48" i="12"/>
  <c r="C48" i="12"/>
  <c r="C45" i="12"/>
  <c r="C47" i="12"/>
  <c r="C46" i="12"/>
  <c r="G46" i="12"/>
  <c r="G45" i="12"/>
  <c r="G48" i="12"/>
  <c r="G47" i="12"/>
  <c r="K47" i="12"/>
  <c r="K46" i="12"/>
  <c r="K48" i="12"/>
  <c r="F67" i="12" s="1"/>
  <c r="K45" i="12"/>
  <c r="L44" i="12"/>
  <c r="G62" i="12"/>
  <c r="G64" i="12"/>
  <c r="J62" i="12"/>
  <c r="I66" i="12"/>
  <c r="G60" i="12"/>
  <c r="G66" i="12"/>
  <c r="J61" i="12"/>
  <c r="J63" i="12"/>
  <c r="G68" i="12"/>
  <c r="G61" i="12"/>
  <c r="I59" i="12"/>
  <c r="G67" i="12"/>
  <c r="I65" i="12"/>
  <c r="G65" i="12"/>
  <c r="I60" i="12"/>
  <c r="I63" i="12"/>
  <c r="C60" i="12"/>
  <c r="F64" i="12"/>
  <c r="G59" i="12"/>
  <c r="I62" i="12"/>
  <c r="I64" i="12"/>
  <c r="J66" i="12"/>
  <c r="J59" i="12"/>
  <c r="I61" i="12"/>
  <c r="J65" i="12"/>
  <c r="E61" i="12"/>
  <c r="E65" i="12"/>
  <c r="F65" i="12"/>
  <c r="D65" i="12"/>
  <c r="E67" i="12"/>
  <c r="M68" i="12"/>
  <c r="H68" i="12"/>
  <c r="J60" i="12"/>
  <c r="J64" i="12"/>
  <c r="H59" i="12"/>
  <c r="L59" i="12"/>
  <c r="M59" i="12" s="1"/>
  <c r="N59" i="12" s="1"/>
  <c r="H60" i="12"/>
  <c r="L60" i="12"/>
  <c r="M60" i="12" s="1"/>
  <c r="N60" i="12" s="1"/>
  <c r="H61" i="12"/>
  <c r="L61" i="12"/>
  <c r="M61" i="12" s="1"/>
  <c r="N61" i="12" s="1"/>
  <c r="H62" i="12"/>
  <c r="L62" i="12"/>
  <c r="M62" i="12" s="1"/>
  <c r="N62" i="12" s="1"/>
  <c r="H63" i="12"/>
  <c r="L63" i="12"/>
  <c r="M63" i="12" s="1"/>
  <c r="N63" i="12" s="1"/>
  <c r="H64" i="12"/>
  <c r="L64" i="12"/>
  <c r="M64" i="12" s="1"/>
  <c r="N64" i="12" s="1"/>
  <c r="H65" i="12"/>
  <c r="L65" i="12"/>
  <c r="M65" i="12" s="1"/>
  <c r="N65" i="12" s="1"/>
  <c r="H66" i="12"/>
  <c r="L66" i="12"/>
  <c r="M66" i="12" s="1"/>
  <c r="N66" i="12" s="1"/>
  <c r="H67" i="12"/>
  <c r="L67" i="12"/>
  <c r="M67" i="12" s="1"/>
  <c r="L46" i="12" l="1"/>
  <c r="L45" i="12"/>
  <c r="C68" i="12" s="1"/>
  <c r="L48" i="12"/>
  <c r="F68" i="12" s="1"/>
  <c r="L47" i="12"/>
  <c r="E68" i="12" s="1"/>
  <c r="D68" i="12"/>
  <c r="C59" i="12"/>
  <c r="E62" i="12"/>
  <c r="C61" i="12"/>
  <c r="C64" i="12"/>
  <c r="E64" i="12"/>
  <c r="D67" i="12"/>
  <c r="F63" i="12"/>
  <c r="C67" i="12"/>
  <c r="D62" i="12"/>
  <c r="F59" i="12"/>
  <c r="D64" i="12"/>
  <c r="E60" i="12"/>
  <c r="F62" i="12"/>
  <c r="D60" i="12"/>
  <c r="C63" i="12"/>
  <c r="D66" i="12"/>
  <c r="F61" i="12"/>
  <c r="F60" i="12"/>
  <c r="E66" i="12"/>
  <c r="E63" i="12"/>
  <c r="C62" i="12"/>
  <c r="E59" i="12"/>
  <c r="D59" i="12"/>
  <c r="I67" i="12"/>
  <c r="N67" i="12"/>
  <c r="J67" i="12" s="1"/>
  <c r="D63" i="12"/>
  <c r="F66" i="12"/>
  <c r="I68" i="12"/>
  <c r="N68" i="12"/>
  <c r="J68" i="12" s="1"/>
  <c r="E10" i="10" l="1"/>
  <c r="F10" i="10"/>
  <c r="G10" i="10"/>
  <c r="H10" i="10"/>
  <c r="I10" i="10"/>
  <c r="J10" i="10"/>
  <c r="K10" i="10"/>
  <c r="L10" i="10"/>
  <c r="D11" i="10"/>
  <c r="E11" i="10"/>
  <c r="F11" i="10"/>
  <c r="G11" i="10"/>
  <c r="H11" i="10"/>
  <c r="I11" i="10"/>
  <c r="J11" i="10"/>
  <c r="K11" i="10"/>
  <c r="L11" i="10"/>
  <c r="C11" i="10"/>
  <c r="C10" i="10"/>
  <c r="H11" i="2" l="1"/>
  <c r="L7" i="9" l="1"/>
  <c r="K8" i="9"/>
  <c r="I8" i="9"/>
  <c r="G8" i="9"/>
  <c r="K7" i="9"/>
  <c r="I7" i="9"/>
  <c r="G7" i="9"/>
  <c r="I49" i="5"/>
  <c r="H44" i="5"/>
  <c r="O44" i="5" s="1"/>
  <c r="G48" i="5"/>
  <c r="G42" i="5" s="1"/>
  <c r="G50" i="5"/>
  <c r="G44" i="5" s="1"/>
  <c r="Z27" i="5"/>
  <c r="U10" i="5"/>
  <c r="U9" i="5"/>
  <c r="U8" i="5"/>
  <c r="U7" i="5"/>
  <c r="H12" i="4"/>
  <c r="M12" i="4" s="1"/>
  <c r="R12" i="4" s="1"/>
  <c r="W12" i="4" s="1"/>
  <c r="AB12" i="4" s="1"/>
  <c r="C6" i="4"/>
  <c r="C11" i="4"/>
  <c r="C25" i="4" s="1"/>
  <c r="H25" i="4" s="1"/>
  <c r="M25" i="4" s="1"/>
  <c r="R25" i="4" s="1"/>
  <c r="W25" i="4" s="1"/>
  <c r="C10" i="4"/>
  <c r="H9" i="4" s="1"/>
  <c r="M9" i="4" s="1"/>
  <c r="R9" i="4" s="1"/>
  <c r="W9" i="4" s="1"/>
  <c r="AB9" i="4" s="1"/>
  <c r="C9" i="4"/>
  <c r="C22" i="4" l="1"/>
  <c r="H22" i="4" s="1"/>
  <c r="M22" i="4" s="1"/>
  <c r="R22" i="4" s="1"/>
  <c r="W22" i="4" s="1"/>
  <c r="H10" i="4"/>
  <c r="M10" i="4" s="1"/>
  <c r="R10" i="4" s="1"/>
  <c r="W10" i="4" s="1"/>
  <c r="AB10" i="4" s="1"/>
  <c r="C23" i="4"/>
  <c r="H23" i="4" s="1"/>
  <c r="M23" i="4" s="1"/>
  <c r="R23" i="4" s="1"/>
  <c r="W23" i="4" s="1"/>
  <c r="E10" i="4"/>
  <c r="J10" i="4" s="1"/>
  <c r="L44" i="5"/>
  <c r="P44" i="5"/>
  <c r="I44" i="5"/>
  <c r="M44" i="5"/>
  <c r="Q44" i="5"/>
  <c r="J44" i="5"/>
  <c r="N44" i="5"/>
  <c r="K44" i="5"/>
  <c r="H42" i="5"/>
  <c r="O42" i="5" s="1"/>
  <c r="P42" i="5"/>
  <c r="M42" i="5"/>
  <c r="N42" i="5"/>
  <c r="L42" i="5"/>
  <c r="I42" i="5"/>
  <c r="K42" i="5"/>
  <c r="U12" i="5"/>
  <c r="Q42" i="5" l="1"/>
  <c r="J42" i="5"/>
  <c r="Y20" i="4" l="1"/>
  <c r="T20" i="4"/>
  <c r="O20" i="4"/>
  <c r="J20" i="4" l="1"/>
  <c r="E20" i="4"/>
  <c r="G20" i="2" l="1"/>
  <c r="G19" i="2"/>
  <c r="G18" i="2"/>
  <c r="G17" i="2"/>
  <c r="B17" i="3" s="1"/>
  <c r="U23" i="5" s="1"/>
  <c r="G15" i="2"/>
  <c r="G14" i="2"/>
  <c r="G13" i="2"/>
  <c r="G12" i="2"/>
  <c r="G11" i="2"/>
  <c r="G7" i="2"/>
  <c r="G5" i="2"/>
  <c r="C13" i="4"/>
  <c r="C7" i="4"/>
  <c r="E14" i="4"/>
  <c r="D12" i="2"/>
  <c r="H13" i="4" s="1"/>
  <c r="C26" i="4" s="1"/>
  <c r="D10" i="2"/>
  <c r="G10" i="2" l="1"/>
  <c r="B13" i="3" s="1"/>
  <c r="U22" i="5" s="1"/>
  <c r="H24" i="2"/>
  <c r="D10" i="10" s="1"/>
  <c r="C12" i="10"/>
  <c r="H11" i="4"/>
  <c r="C24" i="4" s="1"/>
  <c r="C27" i="4" s="1"/>
  <c r="B5" i="3"/>
  <c r="U16" i="5" s="1"/>
  <c r="C15" i="10"/>
  <c r="G8" i="2"/>
  <c r="B12" i="3"/>
  <c r="C19" i="10"/>
  <c r="E25" i="10" s="1"/>
  <c r="W26" i="4"/>
  <c r="R26" i="4"/>
  <c r="M26" i="4"/>
  <c r="B8" i="3"/>
  <c r="B9" i="3"/>
  <c r="B10" i="3"/>
  <c r="B18" i="3"/>
  <c r="U24" i="5" s="1"/>
  <c r="B11" i="3"/>
  <c r="H24" i="4"/>
  <c r="M24" i="4"/>
  <c r="R24" i="4"/>
  <c r="W24" i="4"/>
  <c r="R11" i="4"/>
  <c r="W11" i="4"/>
  <c r="M13" i="4"/>
  <c r="H26" i="4" s="1"/>
  <c r="R13" i="4"/>
  <c r="W13" i="4"/>
  <c r="AB13" i="4" s="1"/>
  <c r="H14" i="4"/>
  <c r="M11" i="4"/>
  <c r="M14" i="4" s="1"/>
  <c r="B6" i="3"/>
  <c r="B15" i="3"/>
  <c r="C15" i="3" s="1"/>
  <c r="D15" i="3" s="1"/>
  <c r="E15" i="3" s="1"/>
  <c r="F15" i="3" s="1"/>
  <c r="G15" i="3" s="1"/>
  <c r="H15" i="3" s="1"/>
  <c r="C14" i="4"/>
  <c r="H31" i="5"/>
  <c r="H26" i="5"/>
  <c r="H20" i="2"/>
  <c r="H19" i="2"/>
  <c r="H18" i="2"/>
  <c r="H17" i="2"/>
  <c r="H15" i="2"/>
  <c r="D19" i="10" s="1"/>
  <c r="E26" i="10" s="1"/>
  <c r="H14" i="2"/>
  <c r="H13" i="2"/>
  <c r="H12" i="2"/>
  <c r="H7" i="2"/>
  <c r="H5" i="2"/>
  <c r="C13" i="10" l="1"/>
  <c r="C14" i="10"/>
  <c r="H10" i="2"/>
  <c r="C13" i="3" s="1"/>
  <c r="V22" i="5" s="1"/>
  <c r="H25" i="2"/>
  <c r="D12" i="10"/>
  <c r="D14" i="10" s="1"/>
  <c r="C16" i="10"/>
  <c r="C25" i="10" s="1"/>
  <c r="R27" i="4"/>
  <c r="W27" i="4"/>
  <c r="D15" i="10"/>
  <c r="C17" i="10"/>
  <c r="D25" i="10" s="1"/>
  <c r="B25" i="10"/>
  <c r="M27" i="4"/>
  <c r="H27" i="4"/>
  <c r="B7" i="3"/>
  <c r="U20" i="5"/>
  <c r="B14" i="3"/>
  <c r="W14" i="4"/>
  <c r="AB11" i="4"/>
  <c r="AB14" i="4" s="1"/>
  <c r="I15" i="3"/>
  <c r="J15" i="3" s="1"/>
  <c r="K15" i="3" s="1"/>
  <c r="R14" i="4"/>
  <c r="C5" i="3"/>
  <c r="V16" i="5" s="1"/>
  <c r="I5" i="2"/>
  <c r="C11" i="3"/>
  <c r="I14" i="2"/>
  <c r="I19" i="2"/>
  <c r="J19" i="2" s="1"/>
  <c r="K19" i="2" s="1"/>
  <c r="L19" i="2" s="1"/>
  <c r="M19" i="2" s="1"/>
  <c r="N19" i="2" s="1"/>
  <c r="O19" i="2" s="1"/>
  <c r="P19" i="2" s="1"/>
  <c r="I11" i="2"/>
  <c r="C8" i="3"/>
  <c r="I15" i="2"/>
  <c r="E19" i="10" s="1"/>
  <c r="E27" i="10" s="1"/>
  <c r="C12" i="3"/>
  <c r="I20" i="2"/>
  <c r="J20" i="2" s="1"/>
  <c r="C10" i="3"/>
  <c r="I13" i="2"/>
  <c r="C18" i="3"/>
  <c r="V24" i="5" s="1"/>
  <c r="I18" i="2"/>
  <c r="H8" i="2"/>
  <c r="I7" i="2"/>
  <c r="C9" i="3"/>
  <c r="I12" i="2"/>
  <c r="I17" i="2"/>
  <c r="C17" i="3"/>
  <c r="V23" i="5" s="1"/>
  <c r="D13" i="10" l="1"/>
  <c r="I10" i="2"/>
  <c r="D13" i="3" s="1"/>
  <c r="W22" i="5" s="1"/>
  <c r="H26" i="2"/>
  <c r="E12" i="10"/>
  <c r="C18" i="10"/>
  <c r="C20" i="10" s="1"/>
  <c r="B26" i="10"/>
  <c r="D16" i="10"/>
  <c r="C26" i="10" s="1"/>
  <c r="E15" i="10"/>
  <c r="B27" i="10" s="1"/>
  <c r="D17" i="10"/>
  <c r="B16" i="3"/>
  <c r="B19" i="3" s="1"/>
  <c r="B20" i="3" s="1"/>
  <c r="U26" i="5" s="1"/>
  <c r="U21" i="5"/>
  <c r="C14" i="3"/>
  <c r="V21" i="5" s="1"/>
  <c r="D18" i="3"/>
  <c r="W24" i="5" s="1"/>
  <c r="J18" i="2"/>
  <c r="D5" i="3"/>
  <c r="W16" i="5" s="1"/>
  <c r="J5" i="2"/>
  <c r="D17" i="3"/>
  <c r="W23" i="5" s="1"/>
  <c r="J17" i="2"/>
  <c r="J7" i="2"/>
  <c r="I8" i="2"/>
  <c r="D12" i="3"/>
  <c r="J15" i="2"/>
  <c r="F19" i="10" s="1"/>
  <c r="E28" i="10" s="1"/>
  <c r="C6" i="3"/>
  <c r="D9" i="3"/>
  <c r="J12" i="2"/>
  <c r="J13" i="2"/>
  <c r="D10" i="3"/>
  <c r="D11" i="3"/>
  <c r="J14" i="2"/>
  <c r="M20" i="2"/>
  <c r="N20" i="2" s="1"/>
  <c r="O20" i="2" s="1"/>
  <c r="P20" i="2" s="1"/>
  <c r="K20" i="2"/>
  <c r="L20" i="2" s="1"/>
  <c r="D8" i="3"/>
  <c r="J11" i="2"/>
  <c r="J10" i="2" l="1"/>
  <c r="E13" i="3" s="1"/>
  <c r="X22" i="5" s="1"/>
  <c r="H27" i="2"/>
  <c r="F12" i="10"/>
  <c r="E16" i="10"/>
  <c r="C27" i="10" s="1"/>
  <c r="E14" i="10"/>
  <c r="E13" i="10"/>
  <c r="D18" i="10"/>
  <c r="D20" i="10" s="1"/>
  <c r="D26" i="10"/>
  <c r="F15" i="10"/>
  <c r="B28" i="10" s="1"/>
  <c r="U28" i="5"/>
  <c r="U32" i="5" s="1"/>
  <c r="E17" i="10"/>
  <c r="D27" i="10" s="1"/>
  <c r="C7" i="3"/>
  <c r="V20" i="5"/>
  <c r="B21" i="3"/>
  <c r="C7" i="5" s="1"/>
  <c r="D14" i="3"/>
  <c r="W21" i="5" s="1"/>
  <c r="K14" i="2"/>
  <c r="E11" i="3"/>
  <c r="K13" i="2"/>
  <c r="E10" i="3"/>
  <c r="K15" i="2"/>
  <c r="G19" i="10" s="1"/>
  <c r="E29" i="10" s="1"/>
  <c r="E12" i="3"/>
  <c r="K12" i="2"/>
  <c r="E9" i="3"/>
  <c r="K17" i="2"/>
  <c r="L17" i="2" s="1"/>
  <c r="E17" i="3"/>
  <c r="X23" i="5" s="1"/>
  <c r="K18" i="2"/>
  <c r="E18" i="3"/>
  <c r="X24" i="5" s="1"/>
  <c r="C16" i="3"/>
  <c r="C19" i="3" s="1"/>
  <c r="E5" i="3"/>
  <c r="X16" i="5" s="1"/>
  <c r="K5" i="2"/>
  <c r="K10" i="2" s="1"/>
  <c r="K7" i="2"/>
  <c r="J8" i="2"/>
  <c r="D6" i="3"/>
  <c r="E8" i="3"/>
  <c r="K11" i="2"/>
  <c r="F16" i="10" l="1"/>
  <c r="F13" i="3"/>
  <c r="Y22" i="5" s="1"/>
  <c r="H28" i="2"/>
  <c r="G12" i="10"/>
  <c r="F14" i="10"/>
  <c r="F13" i="10"/>
  <c r="E18" i="10"/>
  <c r="E20" i="10" s="1"/>
  <c r="C28" i="10"/>
  <c r="G15" i="10"/>
  <c r="B29" i="10" s="1"/>
  <c r="F17" i="10"/>
  <c r="D28" i="10" s="1"/>
  <c r="D7" i="3"/>
  <c r="D16" i="3" s="1"/>
  <c r="D19" i="3" s="1"/>
  <c r="D20" i="3" s="1"/>
  <c r="W20" i="5"/>
  <c r="J11" i="4"/>
  <c r="J15" i="4" s="1"/>
  <c r="O10" i="4" s="1"/>
  <c r="L5" i="2"/>
  <c r="F5" i="3"/>
  <c r="C20" i="3"/>
  <c r="E14" i="3"/>
  <c r="X21" i="5" s="1"/>
  <c r="L18" i="2"/>
  <c r="F18" i="3"/>
  <c r="Y24" i="5" s="1"/>
  <c r="L12" i="2"/>
  <c r="G9" i="3" s="1"/>
  <c r="F9" i="3"/>
  <c r="L13" i="2"/>
  <c r="G10" i="3" s="1"/>
  <c r="F10" i="3"/>
  <c r="L11" i="2"/>
  <c r="G8" i="3" s="1"/>
  <c r="F8" i="3"/>
  <c r="F17" i="3"/>
  <c r="Y23" i="5" s="1"/>
  <c r="L15" i="2"/>
  <c r="F12" i="3"/>
  <c r="L14" i="2"/>
  <c r="G11" i="3" s="1"/>
  <c r="F11" i="3"/>
  <c r="E6" i="3"/>
  <c r="L7" i="2"/>
  <c r="K8" i="2"/>
  <c r="G14" i="10" l="1"/>
  <c r="G13" i="10"/>
  <c r="L10" i="2"/>
  <c r="H29" i="2"/>
  <c r="H12" i="10"/>
  <c r="H17" i="10" s="1"/>
  <c r="F18" i="10"/>
  <c r="F20" i="10" s="1"/>
  <c r="G12" i="3"/>
  <c r="H19" i="10"/>
  <c r="E30" i="10" s="1"/>
  <c r="G17" i="10"/>
  <c r="D29" i="10" s="1"/>
  <c r="H15" i="10"/>
  <c r="B30" i="10" s="1"/>
  <c r="G16" i="10"/>
  <c r="C21" i="3"/>
  <c r="C8" i="5" s="1"/>
  <c r="I8" i="5" s="1"/>
  <c r="M11" i="5" s="1"/>
  <c r="V26" i="5"/>
  <c r="V28" i="5" s="1"/>
  <c r="V32" i="5" s="1"/>
  <c r="F6" i="3"/>
  <c r="Y16" i="5"/>
  <c r="E7" i="3"/>
  <c r="X20" i="5"/>
  <c r="D21" i="3"/>
  <c r="C9" i="5" s="1"/>
  <c r="W26" i="5"/>
  <c r="W28" i="5" s="1"/>
  <c r="W32" i="5" s="1"/>
  <c r="E16" i="3"/>
  <c r="E19" i="3" s="1"/>
  <c r="E20" i="3" s="1"/>
  <c r="M5" i="2"/>
  <c r="G13" i="3"/>
  <c r="Z22" i="5" s="1"/>
  <c r="G5" i="3"/>
  <c r="O11" i="4"/>
  <c r="F14" i="3"/>
  <c r="M15" i="2"/>
  <c r="I19" i="10" s="1"/>
  <c r="E31" i="10" s="1"/>
  <c r="M11" i="2"/>
  <c r="H8" i="3" s="1"/>
  <c r="M12" i="2"/>
  <c r="H9" i="3" s="1"/>
  <c r="M14" i="2"/>
  <c r="H11" i="3" s="1"/>
  <c r="M17" i="2"/>
  <c r="H17" i="3" s="1"/>
  <c r="AA23" i="5" s="1"/>
  <c r="M13" i="2"/>
  <c r="H10" i="3" s="1"/>
  <c r="M18" i="2"/>
  <c r="H18" i="3" s="1"/>
  <c r="AA24" i="5" s="1"/>
  <c r="M7" i="2"/>
  <c r="L8" i="2"/>
  <c r="H8" i="5"/>
  <c r="H6" i="4"/>
  <c r="H16" i="10" l="1"/>
  <c r="M10" i="2"/>
  <c r="H30" i="2"/>
  <c r="I12" i="10"/>
  <c r="H14" i="10"/>
  <c r="H13" i="10"/>
  <c r="D30" i="10"/>
  <c r="C29" i="10"/>
  <c r="G18" i="10"/>
  <c r="G20" i="10" s="1"/>
  <c r="C30" i="10"/>
  <c r="H18" i="10"/>
  <c r="H20" i="10" s="1"/>
  <c r="M6" i="4"/>
  <c r="R6" i="4" s="1"/>
  <c r="R7" i="4" s="1"/>
  <c r="R15" i="4" s="1"/>
  <c r="I15" i="10"/>
  <c r="B31" i="10" s="1"/>
  <c r="T11" i="4"/>
  <c r="F7" i="3"/>
  <c r="F16" i="3" s="1"/>
  <c r="F19" i="3" s="1"/>
  <c r="F20" i="3" s="1"/>
  <c r="Y20" i="5"/>
  <c r="G6" i="3"/>
  <c r="Z16" i="5"/>
  <c r="E21" i="3"/>
  <c r="Y11" i="4" s="1"/>
  <c r="X26" i="5"/>
  <c r="X28" i="5" s="1"/>
  <c r="X32" i="5" s="1"/>
  <c r="H12" i="5"/>
  <c r="F7" i="9" s="1"/>
  <c r="Y21" i="5"/>
  <c r="I41" i="5"/>
  <c r="I9" i="5"/>
  <c r="J9" i="5" s="1"/>
  <c r="H41" i="5"/>
  <c r="M8" i="2"/>
  <c r="N7" i="2"/>
  <c r="N5" i="2"/>
  <c r="H13" i="3"/>
  <c r="AA22" i="5" s="1"/>
  <c r="H5" i="3"/>
  <c r="G17" i="3"/>
  <c r="Z23" i="5" s="1"/>
  <c r="G18" i="3"/>
  <c r="Z24" i="5" s="1"/>
  <c r="I16" i="5"/>
  <c r="I17" i="5" s="1"/>
  <c r="G14" i="3"/>
  <c r="N13" i="2"/>
  <c r="I10" i="3" s="1"/>
  <c r="N14" i="2"/>
  <c r="I11" i="3" s="1"/>
  <c r="N11" i="2"/>
  <c r="I8" i="3" s="1"/>
  <c r="N18" i="2"/>
  <c r="I18" i="3" s="1"/>
  <c r="AB24" i="5" s="1"/>
  <c r="N17" i="2"/>
  <c r="I17" i="3" s="1"/>
  <c r="AB23" i="5" s="1"/>
  <c r="N12" i="2"/>
  <c r="I9" i="3" s="1"/>
  <c r="N15" i="2"/>
  <c r="H12" i="3"/>
  <c r="H16" i="5"/>
  <c r="H17" i="5" s="1"/>
  <c r="H7" i="4"/>
  <c r="H15" i="4" s="1"/>
  <c r="O15" i="4"/>
  <c r="T10" i="4" s="1"/>
  <c r="C10" i="5" l="1"/>
  <c r="I13" i="10"/>
  <c r="I14" i="10"/>
  <c r="N10" i="2"/>
  <c r="I13" i="3" s="1"/>
  <c r="AB22" i="5" s="1"/>
  <c r="H31" i="2"/>
  <c r="J12" i="10"/>
  <c r="T15" i="4"/>
  <c r="Y10" i="4" s="1"/>
  <c r="Y15" i="4" s="1"/>
  <c r="AD10" i="4" s="1"/>
  <c r="W6" i="4"/>
  <c r="W7" i="4" s="1"/>
  <c r="W15" i="4" s="1"/>
  <c r="M7" i="4"/>
  <c r="M15" i="4" s="1"/>
  <c r="I17" i="10"/>
  <c r="D31" i="10" s="1"/>
  <c r="I16" i="10"/>
  <c r="I12" i="3"/>
  <c r="J19" i="10"/>
  <c r="E32" i="10" s="1"/>
  <c r="J15" i="10"/>
  <c r="B32" i="10" s="1"/>
  <c r="I12" i="5"/>
  <c r="J12" i="5" s="1"/>
  <c r="J7" i="9" s="1"/>
  <c r="Z21" i="5"/>
  <c r="H6" i="3"/>
  <c r="AA16" i="5"/>
  <c r="M20" i="5"/>
  <c r="F21" i="3"/>
  <c r="Y26" i="5"/>
  <c r="Y28" i="5" s="1"/>
  <c r="Y32" i="5" s="1"/>
  <c r="G7" i="3"/>
  <c r="G16" i="3" s="1"/>
  <c r="G19" i="3" s="1"/>
  <c r="Z20" i="5"/>
  <c r="H43" i="5"/>
  <c r="H45" i="5"/>
  <c r="I43" i="5"/>
  <c r="I45" i="5"/>
  <c r="O5" i="2"/>
  <c r="I5" i="3"/>
  <c r="O7" i="2"/>
  <c r="N8" i="2"/>
  <c r="H14" i="3"/>
  <c r="J8" i="5"/>
  <c r="O15" i="2"/>
  <c r="O17" i="2"/>
  <c r="J17" i="3" s="1"/>
  <c r="AC23" i="5" s="1"/>
  <c r="O18" i="2"/>
  <c r="J18" i="3" s="1"/>
  <c r="AC24" i="5" s="1"/>
  <c r="O14" i="2"/>
  <c r="J11" i="3" s="1"/>
  <c r="O12" i="2"/>
  <c r="J9" i="3" s="1"/>
  <c r="O11" i="2"/>
  <c r="J8" i="3" s="1"/>
  <c r="O13" i="2"/>
  <c r="J10" i="3" s="1"/>
  <c r="I18" i="5"/>
  <c r="J18" i="5" s="1"/>
  <c r="J17" i="10" l="1"/>
  <c r="H7" i="9"/>
  <c r="O10" i="2"/>
  <c r="H32" i="2"/>
  <c r="K12" i="10"/>
  <c r="J14" i="10"/>
  <c r="J13" i="10"/>
  <c r="AB6" i="4"/>
  <c r="AB7" i="4" s="1"/>
  <c r="AB15" i="4" s="1"/>
  <c r="J16" i="10"/>
  <c r="C32" i="10" s="1"/>
  <c r="G20" i="3"/>
  <c r="Z26" i="5" s="1"/>
  <c r="Z28" i="5" s="1"/>
  <c r="Z32" i="5" s="1"/>
  <c r="K15" i="10"/>
  <c r="B33" i="10" s="1"/>
  <c r="J12" i="3"/>
  <c r="K19" i="10"/>
  <c r="E33" i="10" s="1"/>
  <c r="C31" i="10"/>
  <c r="I18" i="10"/>
  <c r="I20" i="10" s="1"/>
  <c r="D32" i="10"/>
  <c r="J18" i="10"/>
  <c r="J20" i="10" s="1"/>
  <c r="I14" i="3"/>
  <c r="AB21" i="5" s="1"/>
  <c r="C11" i="5"/>
  <c r="L8" i="5" s="1"/>
  <c r="AD11" i="4"/>
  <c r="AD15" i="4" s="1"/>
  <c r="E23" i="4" s="1"/>
  <c r="L8" i="9"/>
  <c r="H21" i="5"/>
  <c r="F8" i="9" s="1"/>
  <c r="H7" i="3"/>
  <c r="H16" i="3" s="1"/>
  <c r="H19" i="3" s="1"/>
  <c r="AA20" i="5"/>
  <c r="AA21" i="5"/>
  <c r="I6" i="3"/>
  <c r="AB16" i="5"/>
  <c r="J16" i="5"/>
  <c r="J17" i="5" s="1"/>
  <c r="K18" i="5" s="1"/>
  <c r="J41" i="5"/>
  <c r="P7" i="2"/>
  <c r="O8" i="2"/>
  <c r="P8" i="2" s="1"/>
  <c r="J5" i="3"/>
  <c r="P5" i="2"/>
  <c r="J13" i="3"/>
  <c r="AC22" i="5" s="1"/>
  <c r="K9" i="5"/>
  <c r="P14" i="2"/>
  <c r="K11" i="3" s="1"/>
  <c r="P17" i="2"/>
  <c r="K17" i="3" s="1"/>
  <c r="AD23" i="5" s="1"/>
  <c r="P11" i="2"/>
  <c r="K8" i="3" s="1"/>
  <c r="P13" i="2"/>
  <c r="K10" i="3" s="1"/>
  <c r="P12" i="2"/>
  <c r="K9" i="3" s="1"/>
  <c r="P18" i="2"/>
  <c r="K18" i="3" s="1"/>
  <c r="AD24" i="5" s="1"/>
  <c r="P15" i="2"/>
  <c r="K13" i="10" l="1"/>
  <c r="K14" i="10"/>
  <c r="P10" i="2"/>
  <c r="H33" i="2"/>
  <c r="L12" i="10"/>
  <c r="I21" i="5"/>
  <c r="H8" i="9" s="1"/>
  <c r="G21" i="3"/>
  <c r="C12" i="5" s="1"/>
  <c r="C19" i="4" s="1"/>
  <c r="C20" i="4" s="1"/>
  <c r="C28" i="4" s="1"/>
  <c r="K12" i="3"/>
  <c r="L19" i="10"/>
  <c r="E34" i="10" s="1"/>
  <c r="L15" i="10"/>
  <c r="L16" i="10" s="1"/>
  <c r="C34" i="10" s="1"/>
  <c r="K17" i="10"/>
  <c r="D33" i="10" s="1"/>
  <c r="K16" i="10"/>
  <c r="H20" i="3"/>
  <c r="AA26" i="5" s="1"/>
  <c r="AA28" i="5" s="1"/>
  <c r="AA32" i="5" s="1"/>
  <c r="J6" i="3"/>
  <c r="AC16" i="5"/>
  <c r="L16" i="5"/>
  <c r="L17" i="5" s="1"/>
  <c r="L41" i="5"/>
  <c r="I7" i="3"/>
  <c r="I16" i="3" s="1"/>
  <c r="I19" i="3" s="1"/>
  <c r="I20" i="3" s="1"/>
  <c r="AB26" i="5" s="1"/>
  <c r="AB20" i="5"/>
  <c r="J43" i="5"/>
  <c r="J45" i="5"/>
  <c r="K13" i="3"/>
  <c r="K5" i="3"/>
  <c r="J14" i="3"/>
  <c r="K8" i="5"/>
  <c r="J21" i="5" l="1"/>
  <c r="J8" i="9" s="1"/>
  <c r="L13" i="10"/>
  <c r="L14" i="10"/>
  <c r="AB28" i="5"/>
  <c r="AB32" i="5" s="1"/>
  <c r="E24" i="4"/>
  <c r="E28" i="4" s="1"/>
  <c r="J23" i="4" s="1"/>
  <c r="M8" i="5"/>
  <c r="I21" i="3"/>
  <c r="C14" i="5" s="1"/>
  <c r="O8" i="5" s="1"/>
  <c r="C33" i="10"/>
  <c r="K18" i="10"/>
  <c r="K20" i="10" s="1"/>
  <c r="L17" i="10"/>
  <c r="B34" i="10"/>
  <c r="L43" i="5"/>
  <c r="L45" i="5"/>
  <c r="K6" i="3"/>
  <c r="AD16" i="5"/>
  <c r="J7" i="3"/>
  <c r="J16" i="3" s="1"/>
  <c r="J19" i="3" s="1"/>
  <c r="J20" i="3" s="1"/>
  <c r="AC26" i="5" s="1"/>
  <c r="AC20" i="5"/>
  <c r="K14" i="3"/>
  <c r="AD21" i="5" s="1"/>
  <c r="AD22" i="5"/>
  <c r="H21" i="3"/>
  <c r="AC21" i="5"/>
  <c r="K16" i="5"/>
  <c r="K17" i="5" s="1"/>
  <c r="L18" i="5" s="1"/>
  <c r="M18" i="5" s="1"/>
  <c r="K41" i="5"/>
  <c r="L9" i="5"/>
  <c r="M9" i="5" s="1"/>
  <c r="N9" i="5" l="1"/>
  <c r="O24" i="4"/>
  <c r="M16" i="5"/>
  <c r="M17" i="5" s="1"/>
  <c r="N18" i="5" s="1"/>
  <c r="M41" i="5"/>
  <c r="J21" i="3"/>
  <c r="C15" i="5" s="1"/>
  <c r="P8" i="5" s="1"/>
  <c r="L18" i="10"/>
  <c r="L20" i="10" s="1"/>
  <c r="D34" i="10"/>
  <c r="K7" i="3"/>
  <c r="K16" i="3" s="1"/>
  <c r="K19" i="3" s="1"/>
  <c r="AD20" i="5"/>
  <c r="AC28" i="5"/>
  <c r="AC32" i="5" s="1"/>
  <c r="C13" i="5"/>
  <c r="N8" i="5" s="1"/>
  <c r="O9" i="5" s="1"/>
  <c r="P9" i="5" s="1"/>
  <c r="H19" i="4"/>
  <c r="J24" i="4"/>
  <c r="J28" i="4" s="1"/>
  <c r="O23" i="4" s="1"/>
  <c r="O28" i="4" s="1"/>
  <c r="T23" i="4" s="1"/>
  <c r="K43" i="5"/>
  <c r="K45" i="5"/>
  <c r="O16" i="5"/>
  <c r="O17" i="5" s="1"/>
  <c r="O41" i="5"/>
  <c r="T24" i="4"/>
  <c r="M45" i="5" l="1"/>
  <c r="M43" i="5"/>
  <c r="M19" i="4"/>
  <c r="H20" i="4"/>
  <c r="H28" i="4" s="1"/>
  <c r="N16" i="5"/>
  <c r="N17" i="5" s="1"/>
  <c r="O18" i="5" s="1"/>
  <c r="P18" i="5" s="1"/>
  <c r="N41" i="5"/>
  <c r="K20" i="3"/>
  <c r="AD26" i="5" s="1"/>
  <c r="AD28" i="5" s="1"/>
  <c r="AD32" i="5" s="1"/>
  <c r="Y34" i="5" s="1"/>
  <c r="K21" i="3"/>
  <c r="O43" i="5"/>
  <c r="O45" i="5"/>
  <c r="P16" i="5"/>
  <c r="P17" i="5" s="1"/>
  <c r="Q17" i="5" s="1"/>
  <c r="H35" i="5" s="1"/>
  <c r="P41" i="5"/>
  <c r="T28" i="4"/>
  <c r="Y23" i="4" s="1"/>
  <c r="Q9" i="5"/>
  <c r="H25" i="5" s="1"/>
  <c r="J25" i="5" s="1"/>
  <c r="Q18" i="5" l="1"/>
  <c r="C16" i="5"/>
  <c r="Q8" i="5" s="1"/>
  <c r="Y24" i="4"/>
  <c r="Y28" i="4"/>
  <c r="N45" i="5"/>
  <c r="N43" i="5"/>
  <c r="M20" i="4"/>
  <c r="M28" i="4" s="1"/>
  <c r="R19" i="4"/>
  <c r="F9" i="9"/>
  <c r="K25" i="5"/>
  <c r="L9" i="9" s="1"/>
  <c r="F11" i="9"/>
  <c r="I35" i="5"/>
  <c r="L11" i="9" s="1"/>
  <c r="P43" i="5"/>
  <c r="P45" i="5"/>
  <c r="H30" i="5"/>
  <c r="J30" i="5" s="1"/>
  <c r="W19" i="4" l="1"/>
  <c r="W20" i="4" s="1"/>
  <c r="W28" i="4" s="1"/>
  <c r="R20" i="4"/>
  <c r="R28" i="4" s="1"/>
  <c r="F10" i="9"/>
  <c r="K30" i="5"/>
  <c r="L10" i="9" s="1"/>
  <c r="Q41" i="5"/>
  <c r="Q16" i="5"/>
  <c r="Q43" i="5" l="1"/>
  <c r="H48" i="5" s="1"/>
  <c r="Q45" i="5"/>
  <c r="H50" i="5" s="1"/>
  <c r="I48" i="5" l="1"/>
  <c r="I51" i="5" s="1"/>
  <c r="H51" i="5"/>
  <c r="L49" i="5" l="1"/>
  <c r="M49" i="5" s="1"/>
  <c r="L12" i="9" s="1"/>
  <c r="F12" i="9" l="1"/>
</calcChain>
</file>

<file path=xl/sharedStrings.xml><?xml version="1.0" encoding="utf-8"?>
<sst xmlns="http://schemas.openxmlformats.org/spreadsheetml/2006/main" count="424" uniqueCount="178">
  <si>
    <t>Ventas Pronosticadas</t>
  </si>
  <si>
    <t>Crecimiento Anual</t>
  </si>
  <si>
    <t>Terreno</t>
  </si>
  <si>
    <t>Construcción</t>
  </si>
  <si>
    <t>Vida Útil</t>
  </si>
  <si>
    <t>años</t>
  </si>
  <si>
    <t>Maquinaria</t>
  </si>
  <si>
    <t>Valor de Rescate</t>
  </si>
  <si>
    <t>Valor de Subcontratacion</t>
  </si>
  <si>
    <t>COSTOS</t>
  </si>
  <si>
    <t>Costo de Materia prima A</t>
  </si>
  <si>
    <t>Costo de Materia prima B</t>
  </si>
  <si>
    <t>Costo de Materiales</t>
  </si>
  <si>
    <t>Costo de Mano de Obra</t>
  </si>
  <si>
    <t>Costo de Mantenimiento</t>
  </si>
  <si>
    <t>Gastos Administrativos</t>
  </si>
  <si>
    <t>Gastos de Venta</t>
  </si>
  <si>
    <t>Valor de Recuperacion del equipo</t>
  </si>
  <si>
    <t>Capital de trabajo requerido</t>
  </si>
  <si>
    <t>Valor inicial</t>
  </si>
  <si>
    <t>Incremento Anuel Esperado</t>
  </si>
  <si>
    <t>Impuestos sobre la Renta</t>
  </si>
  <si>
    <t>Límite inferior</t>
  </si>
  <si>
    <t>Límite Superior</t>
  </si>
  <si>
    <t>Couta Fija (pesos)</t>
  </si>
  <si>
    <t>Tasa de Impuestos</t>
  </si>
  <si>
    <t>Ventas</t>
  </si>
  <si>
    <t>Depreciación</t>
  </si>
  <si>
    <t>Utilidad Bruta</t>
  </si>
  <si>
    <t>Gastos de Administración</t>
  </si>
  <si>
    <t>Impuestos</t>
  </si>
  <si>
    <t>Utilidad del ejercicio</t>
  </si>
  <si>
    <t>Precio Producto</t>
  </si>
  <si>
    <t>Precio Prducto</t>
  </si>
  <si>
    <t>Tasa mínima de Aceptación</t>
  </si>
  <si>
    <t>Año</t>
  </si>
  <si>
    <t>FNE</t>
  </si>
  <si>
    <t>Suma de FNE</t>
  </si>
  <si>
    <t>Años</t>
  </si>
  <si>
    <t>Meses</t>
  </si>
  <si>
    <t>1. Periodo de Recuperación</t>
  </si>
  <si>
    <t>2. Periodo de Recuperación Descontados</t>
  </si>
  <si>
    <t>FNE DESCONTADOS</t>
  </si>
  <si>
    <t>SUMA DE FLUJOS</t>
  </si>
  <si>
    <t>Tiempo Inicial</t>
  </si>
  <si>
    <t>dias</t>
  </si>
  <si>
    <t>meses</t>
  </si>
  <si>
    <t>3. RAP</t>
  </si>
  <si>
    <t>Tiempo de Vida</t>
  </si>
  <si>
    <t>RAP=</t>
  </si>
  <si>
    <t>=</t>
  </si>
  <si>
    <t>4. IR</t>
  </si>
  <si>
    <t>IR=</t>
  </si>
  <si>
    <t>5.  VPN</t>
  </si>
  <si>
    <t>VPN=</t>
  </si>
  <si>
    <t>Depresiación</t>
  </si>
  <si>
    <t>Activos Circulantes</t>
  </si>
  <si>
    <t>Capital Contable</t>
  </si>
  <si>
    <t>Total</t>
  </si>
  <si>
    <t>Activos Fijos</t>
  </si>
  <si>
    <t>Maquinaria y Equipo</t>
  </si>
  <si>
    <t>Total de activos fijos</t>
  </si>
  <si>
    <t>Infraestructura</t>
  </si>
  <si>
    <t>Terrreno</t>
  </si>
  <si>
    <t>Total de Pasivos y Capital</t>
  </si>
  <si>
    <t>Total de Pasivos</t>
  </si>
  <si>
    <t>Pasivos</t>
  </si>
  <si>
    <t>Capital</t>
  </si>
  <si>
    <t>Total de activos</t>
  </si>
  <si>
    <t>Capital de Trabajo</t>
  </si>
  <si>
    <t>Infrestructura</t>
  </si>
  <si>
    <t>Dep. Acumulada</t>
  </si>
  <si>
    <t>Ventas sin IVA</t>
  </si>
  <si>
    <t>Ventas Netas</t>
  </si>
  <si>
    <t>Total de COSTOS</t>
  </si>
  <si>
    <t>Utilidad Antes de Impuestos</t>
  </si>
  <si>
    <t>Costos de Producción Extra</t>
  </si>
  <si>
    <t>Proveedores</t>
  </si>
  <si>
    <t>Dias</t>
  </si>
  <si>
    <t>Marco Teórico</t>
  </si>
  <si>
    <t>Con utilidad</t>
  </si>
  <si>
    <t>Objetivo</t>
  </si>
  <si>
    <t>Crear un simulador sobre el punto de equilibrio, que permita apoyar la planeación financiera, para lo cual se realizan diferentes simulaciones utilizando los datos provistos en la documentación de la practica 4. Así como ordenar de a manera de resultado si es conveniente invertir en un proyecto y saber si éste te generará ganancias despúes de cierto tiempo.</t>
  </si>
  <si>
    <t xml:space="preserve">DATOS </t>
  </si>
  <si>
    <t>Año 2018</t>
  </si>
  <si>
    <t>GASTOS</t>
  </si>
  <si>
    <t>ESTADOS DE RESULTADOS</t>
  </si>
  <si>
    <t>Balance General Año 1</t>
  </si>
  <si>
    <t>Balance General Año 2</t>
  </si>
  <si>
    <t>Balance General Año 3</t>
  </si>
  <si>
    <t>Balance General Año 4</t>
  </si>
  <si>
    <t>Balance General Año 5</t>
  </si>
  <si>
    <t>Balance General Año 6</t>
  </si>
  <si>
    <t>Balance General Año 7</t>
  </si>
  <si>
    <t>Balance General Año 8</t>
  </si>
  <si>
    <t>Balance General Año 9</t>
  </si>
  <si>
    <t>Balance General Año 10</t>
  </si>
  <si>
    <t>Balance General Año 0</t>
  </si>
  <si>
    <t>BALANCES GENERALES</t>
  </si>
  <si>
    <t>MÉTODOS PARA LA EVALUACIÓN DE PROYECTOS</t>
  </si>
  <si>
    <t>6. TIR</t>
  </si>
  <si>
    <t>TIR=</t>
  </si>
  <si>
    <t>FLUJOS NETOS DE EFECTIVO</t>
  </si>
  <si>
    <t>PRESUPUESTOS DE INVERSIÓN</t>
  </si>
  <si>
    <t xml:space="preserve">Terreno </t>
  </si>
  <si>
    <t xml:space="preserve">Infraestructura </t>
  </si>
  <si>
    <t>Inversión Terreno</t>
  </si>
  <si>
    <t xml:space="preserve">Capital de Trabajo </t>
  </si>
  <si>
    <t>TOTAL</t>
  </si>
  <si>
    <t>INGRESOS</t>
  </si>
  <si>
    <t>AÑOS</t>
  </si>
  <si>
    <t>VENTAS TOTALES</t>
  </si>
  <si>
    <t>EGRESOS</t>
  </si>
  <si>
    <t>IVA</t>
  </si>
  <si>
    <t>Costo de producción</t>
  </si>
  <si>
    <t>Costo de subcont.</t>
  </si>
  <si>
    <t>Gastos administrativos</t>
  </si>
  <si>
    <t>Gastos de venta</t>
  </si>
  <si>
    <t>Gastos finacnieros</t>
  </si>
  <si>
    <t>Pago de Maquinaria</t>
  </si>
  <si>
    <t>Totales</t>
  </si>
  <si>
    <t>FLUJOS NETOS DE EFECTIVO ANUALES</t>
  </si>
  <si>
    <t>SUMA FNE=</t>
  </si>
  <si>
    <t>INTERPOLACIÓN</t>
  </si>
  <si>
    <t>R</t>
  </si>
  <si>
    <t>RESULTADOS</t>
  </si>
  <si>
    <t xml:space="preserve">MÉTODO </t>
  </si>
  <si>
    <t>PERIODO DE RECUPERACIÓN</t>
  </si>
  <si>
    <t>SUMA FNE DESCONTADOS</t>
  </si>
  <si>
    <t>RENDIMIENTO ANUAL PROMEDIO</t>
  </si>
  <si>
    <t>ÍNDICE DE RENTABILIDAD</t>
  </si>
  <si>
    <t>VALOR PRESENTE NETO</t>
  </si>
  <si>
    <t>TASA INTERNA DE RETORNO</t>
  </si>
  <si>
    <t>RESULTADO</t>
  </si>
  <si>
    <t>PR=</t>
  </si>
  <si>
    <t>AÑO</t>
  </si>
  <si>
    <t>COSTOS FIJOS</t>
  </si>
  <si>
    <t>Costos fijos</t>
  </si>
  <si>
    <t xml:space="preserve">INGRESO TOTAL </t>
  </si>
  <si>
    <t>Q</t>
  </si>
  <si>
    <t>INGRESO</t>
  </si>
  <si>
    <t>COSTOS VARIABLES</t>
  </si>
  <si>
    <t>MARGEN DE CONTRIBUCIÓN</t>
  </si>
  <si>
    <t xml:space="preserve">COSTOS FIJOS </t>
  </si>
  <si>
    <t>UTILIDAD</t>
  </si>
  <si>
    <t>PUNTO DE EQUILIBRIO</t>
  </si>
  <si>
    <t xml:space="preserve">UNIDADES </t>
  </si>
  <si>
    <t xml:space="preserve">COSTOS TOTALES </t>
  </si>
  <si>
    <t>PE EN VALOR</t>
  </si>
  <si>
    <t>PE MONETARIO</t>
  </si>
  <si>
    <t>Año 1</t>
  </si>
  <si>
    <t>Año 2</t>
  </si>
  <si>
    <t>Año 3</t>
  </si>
  <si>
    <t>Año 4</t>
  </si>
  <si>
    <t>Año 5</t>
  </si>
  <si>
    <t>Año 6</t>
  </si>
  <si>
    <t>Año 7</t>
  </si>
  <si>
    <t>Año 8</t>
  </si>
  <si>
    <t>Año 9</t>
  </si>
  <si>
    <t>Año 10</t>
  </si>
  <si>
    <t>+P</t>
  </si>
  <si>
    <t>-v</t>
  </si>
  <si>
    <t>=MC</t>
  </si>
  <si>
    <t>-F</t>
  </si>
  <si>
    <t>=X(200)</t>
  </si>
  <si>
    <t>=X(300)</t>
  </si>
  <si>
    <t>=X(400)</t>
  </si>
  <si>
    <t>=X(500)</t>
  </si>
  <si>
    <t>Ingresos totales</t>
  </si>
  <si>
    <t>Costos totales</t>
  </si>
  <si>
    <t>Unidades</t>
  </si>
  <si>
    <t>Precio p</t>
  </si>
  <si>
    <t>Costo variable (V)</t>
  </si>
  <si>
    <t>Costo fijo (F)</t>
  </si>
  <si>
    <t>Año2</t>
  </si>
  <si>
    <t>Año1</t>
  </si>
  <si>
    <t>Q =</t>
  </si>
  <si>
    <t>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</si>
</sst>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quot;$&quot;* #,##0.00_);_(&quot;$&quot;* \(#,##0.00\);_(&quot;$&quot;* &quot;-&quot;??_);_(@_)"/>
    <numFmt numFmtId="165" formatCode="&quot;$&quot;#,##0.00"/>
  </numFmts>
  <fonts count="28">
    <font>
      <sz val="11"/>
      <color theme="1"/>
      <name val="Calibri"/>
      <family val="2"/>
      <scheme val="minor"/>
    </font>
    <font>
      <sz val="11"/>
      <color theme="1"/>
      <name val="Calibri"/>
      <family val="2"/>
      <scheme val="minor"/>
    </font>
    <font>
      <sz val="18"/>
      <color theme="0" tint="-0.14999847407452621"/>
      <name val="Soberana Titular"/>
      <family val="3"/>
    </font>
    <font>
      <sz val="16"/>
      <color theme="0" tint="-0.14999847407452621"/>
      <name val="Soberana Titular"/>
      <family val="3"/>
    </font>
    <font>
      <sz val="14"/>
      <color theme="1" tint="4.9989318521683403E-2"/>
      <name val="Soberana Texto"/>
      <family val="3"/>
    </font>
    <font>
      <sz val="11"/>
      <color theme="1"/>
      <name val="Soberana Texto"/>
      <family val="3"/>
    </font>
    <font>
      <b/>
      <sz val="11"/>
      <color theme="1"/>
      <name val="Calibri"/>
      <family val="2"/>
      <scheme val="minor"/>
    </font>
    <font>
      <sz val="11"/>
      <color theme="0"/>
      <name val="Calibri"/>
      <family val="2"/>
      <scheme val="minor"/>
    </font>
    <font>
      <sz val="24"/>
      <color theme="1"/>
      <name val="Soberana Titular"/>
      <family val="3"/>
    </font>
    <font>
      <sz val="16"/>
      <color theme="0"/>
      <name val="Soberana Texto"/>
      <family val="3"/>
    </font>
    <font>
      <sz val="12"/>
      <color theme="1"/>
      <name val="Calibri"/>
      <family val="2"/>
      <scheme val="minor"/>
    </font>
    <font>
      <sz val="12"/>
      <color theme="0"/>
      <name val="Calibri"/>
      <family val="2"/>
      <scheme val="minor"/>
    </font>
    <font>
      <sz val="14"/>
      <color theme="0"/>
      <name val="Calibri"/>
      <family val="2"/>
      <scheme val="minor"/>
    </font>
    <font>
      <sz val="24"/>
      <color theme="0"/>
      <name val="Calibri"/>
      <family val="2"/>
      <scheme val="minor"/>
    </font>
    <font>
      <i/>
      <u/>
      <sz val="11"/>
      <color theme="1"/>
      <name val="Calibri"/>
      <family val="2"/>
      <scheme val="minor"/>
    </font>
    <font>
      <sz val="16"/>
      <color theme="0"/>
      <name val="Calibri"/>
      <family val="2"/>
      <scheme val="minor"/>
    </font>
    <font>
      <sz val="12"/>
      <color theme="1"/>
      <name val="Arial"/>
      <family val="2"/>
    </font>
    <font>
      <sz val="10"/>
      <color theme="1"/>
      <name val="Tw Cen MT"/>
      <family val="2"/>
    </font>
    <font>
      <sz val="36"/>
      <color theme="1"/>
      <name val="Tw Cen MT"/>
      <family val="2"/>
    </font>
    <font>
      <sz val="26"/>
      <color theme="0"/>
      <name val="Calibri"/>
      <family val="2"/>
      <scheme val="minor"/>
    </font>
    <font>
      <b/>
      <sz val="18"/>
      <color theme="1"/>
      <name val="Arial"/>
      <family val="2"/>
    </font>
    <font>
      <sz val="11"/>
      <color theme="1"/>
      <name val="Arial"/>
      <family val="2"/>
    </font>
    <font>
      <sz val="11"/>
      <color theme="1"/>
      <name val="Century Gothic"/>
      <family val="2"/>
    </font>
    <font>
      <b/>
      <sz val="11"/>
      <color theme="1"/>
      <name val="Century Gothic"/>
      <family val="2"/>
    </font>
    <font>
      <sz val="11"/>
      <name val="Century Gothic"/>
      <family val="2"/>
    </font>
    <font>
      <sz val="11"/>
      <color theme="0"/>
      <name val="Century Gothic"/>
      <family val="2"/>
    </font>
    <font>
      <sz val="11"/>
      <color theme="0"/>
      <name val="Arial"/>
      <family val="2"/>
    </font>
    <font>
      <b/>
      <sz val="18"/>
      <color theme="0"/>
      <name val="Arial"/>
      <family val="2"/>
    </font>
  </fonts>
  <fills count="12">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rgb="FF000000"/>
      </left>
      <right style="thin">
        <color rgb="FF000000"/>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theme="2" tint="-0.89999084444715716"/>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0" fillId="2" borderId="0" xfId="0" applyFill="1" applyBorder="1"/>
    <xf numFmtId="0" fontId="0" fillId="2" borderId="0" xfId="0" applyFill="1"/>
    <xf numFmtId="0" fontId="0" fillId="9" borderId="0" xfId="0" applyFill="1"/>
    <xf numFmtId="0" fontId="0" fillId="5" borderId="0" xfId="0" applyFill="1"/>
    <xf numFmtId="0" fontId="0" fillId="9" borderId="0" xfId="0" applyFill="1" applyBorder="1"/>
    <xf numFmtId="0" fontId="0" fillId="9" borderId="0" xfId="0" applyFill="1" applyAlignment="1"/>
    <xf numFmtId="0" fontId="0" fillId="5" borderId="1" xfId="0" applyFill="1" applyBorder="1"/>
    <xf numFmtId="0" fontId="7" fillId="5" borderId="1" xfId="0" applyFont="1" applyFill="1" applyBorder="1" applyAlignment="1">
      <alignment horizontal="center" vertical="center"/>
    </xf>
    <xf numFmtId="0" fontId="0" fillId="4" borderId="1" xfId="0" applyFill="1" applyBorder="1"/>
    <xf numFmtId="0" fontId="0" fillId="3" borderId="1" xfId="0" applyFill="1" applyBorder="1"/>
    <xf numFmtId="0" fontId="0" fillId="6" borderId="1" xfId="0" applyFont="1" applyFill="1" applyBorder="1" applyAlignment="1">
      <alignment horizontal="center"/>
    </xf>
    <xf numFmtId="44" fontId="0" fillId="4" borderId="1" xfId="1" applyFont="1" applyFill="1" applyBorder="1"/>
    <xf numFmtId="9" fontId="0" fillId="4" borderId="1" xfId="2" applyFont="1" applyFill="1" applyBorder="1"/>
    <xf numFmtId="0" fontId="0" fillId="4" borderId="1" xfId="0" applyFill="1" applyBorder="1" applyAlignment="1">
      <alignment horizontal="center"/>
    </xf>
    <xf numFmtId="44" fontId="0" fillId="4" borderId="3" xfId="1" applyFont="1" applyFill="1" applyBorder="1"/>
    <xf numFmtId="44" fontId="0" fillId="4" borderId="1" xfId="0" applyNumberFormat="1" applyFill="1" applyBorder="1"/>
    <xf numFmtId="0" fontId="0" fillId="4" borderId="2" xfId="0" applyFill="1" applyBorder="1"/>
    <xf numFmtId="0" fontId="0" fillId="4" borderId="5" xfId="0" applyFill="1" applyBorder="1" applyAlignment="1">
      <alignment horizontal="left"/>
    </xf>
    <xf numFmtId="44" fontId="0" fillId="4" borderId="4" xfId="1" applyFont="1" applyFill="1" applyBorder="1"/>
    <xf numFmtId="0" fontId="0" fillId="4" borderId="5" xfId="0" applyFill="1" applyBorder="1"/>
    <xf numFmtId="0" fontId="7" fillId="5" borderId="1" xfId="0" applyFont="1" applyFill="1" applyBorder="1" applyAlignment="1">
      <alignment horizontal="center"/>
    </xf>
    <xf numFmtId="0" fontId="0" fillId="3" borderId="1" xfId="0" applyFill="1" applyBorder="1" applyAlignment="1">
      <alignment horizontal="center"/>
    </xf>
    <xf numFmtId="0" fontId="0" fillId="8" borderId="1" xfId="0" applyFill="1" applyBorder="1"/>
    <xf numFmtId="44" fontId="0" fillId="8" borderId="1" xfId="0" applyNumberFormat="1" applyFill="1" applyBorder="1"/>
    <xf numFmtId="2" fontId="0" fillId="4" borderId="1" xfId="0" applyNumberFormat="1" applyFill="1" applyBorder="1"/>
    <xf numFmtId="2" fontId="0" fillId="4" borderId="1" xfId="1" applyNumberFormat="1" applyFont="1" applyFill="1" applyBorder="1"/>
    <xf numFmtId="0" fontId="0" fillId="4" borderId="7" xfId="0" applyFill="1" applyBorder="1"/>
    <xf numFmtId="0" fontId="2" fillId="9" borderId="0" xfId="0" applyFont="1" applyFill="1" applyBorder="1" applyAlignment="1">
      <alignment horizontal="center"/>
    </xf>
    <xf numFmtId="0" fontId="3" fillId="9" borderId="0" xfId="0" applyFont="1" applyFill="1" applyAlignment="1">
      <alignment horizontal="center"/>
    </xf>
    <xf numFmtId="44" fontId="0" fillId="4" borderId="1" xfId="0" applyNumberFormat="1" applyFill="1" applyBorder="1" applyAlignment="1">
      <alignment horizontal="center"/>
    </xf>
    <xf numFmtId="9" fontId="0" fillId="4" borderId="1" xfId="0" applyNumberFormat="1" applyFill="1" applyBorder="1"/>
    <xf numFmtId="44" fontId="0" fillId="4" borderId="1" xfId="1" applyFont="1" applyFill="1" applyBorder="1" applyAlignment="1"/>
    <xf numFmtId="44" fontId="0" fillId="4" borderId="1" xfId="0" applyNumberFormat="1" applyFill="1" applyBorder="1" applyAlignment="1"/>
    <xf numFmtId="0" fontId="0" fillId="4" borderId="6" xfId="0" applyFill="1" applyBorder="1"/>
    <xf numFmtId="0" fontId="0" fillId="3" borderId="2" xfId="0" applyFill="1" applyBorder="1"/>
    <xf numFmtId="0" fontId="0" fillId="3" borderId="2" xfId="0" applyFill="1" applyBorder="1" applyAlignment="1">
      <alignment horizontal="center"/>
    </xf>
    <xf numFmtId="0" fontId="0" fillId="3" borderId="6" xfId="0" applyFill="1" applyBorder="1" applyAlignment="1">
      <alignment horizontal="center"/>
    </xf>
    <xf numFmtId="44" fontId="0" fillId="8" borderId="1" xfId="1" applyFont="1" applyFill="1" applyBorder="1"/>
    <xf numFmtId="44" fontId="0" fillId="9" borderId="0" xfId="1" applyFont="1" applyFill="1" applyBorder="1"/>
    <xf numFmtId="44" fontId="0" fillId="9" borderId="0" xfId="0" applyNumberFormat="1" applyFill="1" applyBorder="1"/>
    <xf numFmtId="44" fontId="0" fillId="9" borderId="8" xfId="1" applyFont="1" applyFill="1" applyBorder="1"/>
    <xf numFmtId="44" fontId="0" fillId="9" borderId="0" xfId="0" applyNumberFormat="1" applyFill="1"/>
    <xf numFmtId="164" fontId="0" fillId="9" borderId="0" xfId="0" applyNumberFormat="1" applyFill="1"/>
    <xf numFmtId="0" fontId="14" fillId="8" borderId="1" xfId="0" applyFont="1" applyFill="1" applyBorder="1" applyAlignment="1">
      <alignment horizontal="center"/>
    </xf>
    <xf numFmtId="0" fontId="6" fillId="8" borderId="1" xfId="0" applyFont="1" applyFill="1" applyBorder="1"/>
    <xf numFmtId="44" fontId="6" fillId="8" borderId="1" xfId="1" applyFont="1" applyFill="1" applyBorder="1"/>
    <xf numFmtId="9" fontId="0" fillId="9" borderId="0" xfId="2" applyFont="1" applyFill="1"/>
    <xf numFmtId="0" fontId="10" fillId="5" borderId="0" xfId="0" applyFont="1" applyFill="1"/>
    <xf numFmtId="0" fontId="0" fillId="8" borderId="1"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44" fontId="0" fillId="8" borderId="1" xfId="0" applyNumberFormat="1" applyFill="1" applyBorder="1" applyAlignment="1">
      <alignment horizontal="center"/>
    </xf>
    <xf numFmtId="44" fontId="0" fillId="8" borderId="1" xfId="1" applyFont="1" applyFill="1" applyBorder="1" applyAlignment="1">
      <alignment horizontal="center"/>
    </xf>
    <xf numFmtId="44" fontId="0" fillId="4" borderId="17" xfId="0" applyNumberFormat="1" applyFill="1" applyBorder="1"/>
    <xf numFmtId="44" fontId="0" fillId="4" borderId="10" xfId="0" applyNumberFormat="1" applyFill="1" applyBorder="1"/>
    <xf numFmtId="0" fontId="0" fillId="4" borderId="2" xfId="0" applyFill="1" applyBorder="1" applyAlignment="1">
      <alignment horizontal="right"/>
    </xf>
    <xf numFmtId="44" fontId="0" fillId="4" borderId="5" xfId="0" applyNumberFormat="1" applyFill="1" applyBorder="1"/>
    <xf numFmtId="0" fontId="16" fillId="3" borderId="7" xfId="0" applyFont="1" applyFill="1" applyBorder="1"/>
    <xf numFmtId="0" fontId="0" fillId="4" borderId="15" xfId="0" applyFill="1" applyBorder="1"/>
    <xf numFmtId="0" fontId="16" fillId="3" borderId="1" xfId="0" applyFont="1" applyFill="1" applyBorder="1" applyAlignment="1">
      <alignment horizontal="center" vertical="center"/>
    </xf>
    <xf numFmtId="44" fontId="0" fillId="4" borderId="1" xfId="1" applyNumberFormat="1" applyFont="1" applyFill="1" applyBorder="1"/>
    <xf numFmtId="0" fontId="0" fillId="4" borderId="1" xfId="1" applyNumberFormat="1" applyFont="1" applyFill="1" applyBorder="1"/>
    <xf numFmtId="10" fontId="0" fillId="3" borderId="4" xfId="0" applyNumberFormat="1" applyFill="1" applyBorder="1" applyAlignment="1">
      <alignment vertical="center"/>
    </xf>
    <xf numFmtId="0" fontId="0" fillId="3" borderId="1" xfId="0" applyFill="1" applyBorder="1" applyAlignment="1">
      <alignment horizontal="center" vertical="center"/>
    </xf>
    <xf numFmtId="10" fontId="0" fillId="4" borderId="1" xfId="0" applyNumberFormat="1" applyFill="1" applyBorder="1"/>
    <xf numFmtId="10" fontId="0" fillId="3" borderId="1" xfId="0" applyNumberFormat="1" applyFill="1" applyBorder="1"/>
    <xf numFmtId="10" fontId="0" fillId="4" borderId="5" xfId="0" applyNumberFormat="1" applyFill="1" applyBorder="1"/>
    <xf numFmtId="0" fontId="7" fillId="10" borderId="1" xfId="0" applyFont="1" applyFill="1" applyBorder="1" applyAlignment="1">
      <alignment horizontal="center"/>
    </xf>
    <xf numFmtId="10" fontId="0" fillId="4" borderId="14" xfId="1" applyNumberFormat="1" applyFont="1" applyFill="1" applyBorder="1" applyAlignment="1">
      <alignment horizontal="center" vertical="center"/>
    </xf>
    <xf numFmtId="10" fontId="0" fillId="4" borderId="16" xfId="1" applyNumberFormat="1" applyFont="1" applyFill="1" applyBorder="1" applyAlignment="1">
      <alignment horizontal="center" vertical="center"/>
    </xf>
    <xf numFmtId="0" fontId="0" fillId="4" borderId="14" xfId="0" applyFill="1" applyBorder="1" applyAlignment="1">
      <alignment vertical="center"/>
    </xf>
    <xf numFmtId="0" fontId="0" fillId="4" borderId="16" xfId="0" applyFill="1" applyBorder="1" applyAlignment="1">
      <alignment vertical="center"/>
    </xf>
    <xf numFmtId="0" fontId="0" fillId="4" borderId="11" xfId="0" applyFill="1" applyBorder="1"/>
    <xf numFmtId="0" fontId="0" fillId="4" borderId="13" xfId="0" applyFill="1" applyBorder="1"/>
    <xf numFmtId="0" fontId="0" fillId="4" borderId="14" xfId="0" applyFill="1" applyBorder="1"/>
    <xf numFmtId="0" fontId="7" fillId="10" borderId="6" xfId="0" applyFont="1" applyFill="1" applyBorder="1" applyAlignment="1">
      <alignment horizontal="center" vertical="center"/>
    </xf>
    <xf numFmtId="1" fontId="0" fillId="4" borderId="12" xfId="0" applyNumberFormat="1" applyFill="1" applyBorder="1"/>
    <xf numFmtId="1" fontId="0" fillId="4" borderId="2" xfId="0" applyNumberFormat="1" applyFill="1" applyBorder="1"/>
    <xf numFmtId="1" fontId="0" fillId="4" borderId="11" xfId="0" applyNumberFormat="1" applyFill="1" applyBorder="1"/>
    <xf numFmtId="1" fontId="0" fillId="4" borderId="13" xfId="0" applyNumberFormat="1" applyFill="1" applyBorder="1"/>
    <xf numFmtId="0" fontId="0" fillId="9" borderId="0" xfId="0" applyFill="1" applyBorder="1" applyAlignment="1">
      <alignment horizontal="right"/>
    </xf>
    <xf numFmtId="0" fontId="5" fillId="9" borderId="0" xfId="0" applyFont="1" applyFill="1" applyBorder="1" applyAlignment="1"/>
    <xf numFmtId="0" fontId="12" fillId="5" borderId="1" xfId="0" applyFont="1" applyFill="1" applyBorder="1" applyAlignment="1">
      <alignment horizontal="center"/>
    </xf>
    <xf numFmtId="0" fontId="17" fillId="6" borderId="18" xfId="0" applyFont="1" applyFill="1" applyBorder="1"/>
    <xf numFmtId="0" fontId="17" fillId="6" borderId="21" xfId="0" applyFont="1" applyFill="1" applyBorder="1"/>
    <xf numFmtId="0" fontId="17" fillId="6" borderId="23" xfId="0" applyFont="1" applyFill="1" applyBorder="1"/>
    <xf numFmtId="44" fontId="17" fillId="2" borderId="0" xfId="0" applyNumberFormat="1" applyFont="1" applyFill="1" applyBorder="1"/>
    <xf numFmtId="44" fontId="17" fillId="2" borderId="22" xfId="0" applyNumberFormat="1" applyFont="1" applyFill="1" applyBorder="1"/>
    <xf numFmtId="44" fontId="17" fillId="2" borderId="24" xfId="0" applyNumberFormat="1" applyFont="1" applyFill="1" applyBorder="1"/>
    <xf numFmtId="44" fontId="17" fillId="2" borderId="25" xfId="0" applyNumberFormat="1" applyFont="1" applyFill="1" applyBorder="1"/>
    <xf numFmtId="0" fontId="17" fillId="2" borderId="0" xfId="0" applyFont="1" applyFill="1" applyBorder="1"/>
    <xf numFmtId="2" fontId="17" fillId="2" borderId="19" xfId="0" applyNumberFormat="1" applyFont="1" applyFill="1" applyBorder="1"/>
    <xf numFmtId="2" fontId="17" fillId="2" borderId="20" xfId="0" applyNumberFormat="1" applyFont="1" applyFill="1" applyBorder="1"/>
    <xf numFmtId="44" fontId="0" fillId="2" borderId="0" xfId="0" applyNumberFormat="1" applyFill="1" applyBorder="1"/>
    <xf numFmtId="0" fontId="0" fillId="2" borderId="0" xfId="0" applyFill="1" applyBorder="1" applyAlignment="1">
      <alignment wrapText="1"/>
    </xf>
    <xf numFmtId="0" fontId="0" fillId="2" borderId="0" xfId="0" applyNumberFormat="1" applyFill="1" applyBorder="1"/>
    <xf numFmtId="0" fontId="17" fillId="6" borderId="18" xfId="0" applyFont="1" applyFill="1" applyBorder="1" applyAlignment="1">
      <alignment horizontal="left" vertical="center"/>
    </xf>
    <xf numFmtId="44" fontId="17" fillId="6" borderId="19" xfId="0" applyNumberFormat="1" applyFont="1" applyFill="1" applyBorder="1"/>
    <xf numFmtId="44" fontId="17" fillId="6" borderId="20" xfId="0" applyNumberFormat="1" applyFont="1" applyFill="1" applyBorder="1"/>
    <xf numFmtId="0" fontId="17" fillId="2" borderId="21" xfId="0" applyFont="1" applyFill="1" applyBorder="1" applyAlignment="1">
      <alignment horizontal="left" vertical="center"/>
    </xf>
    <xf numFmtId="2" fontId="0" fillId="2" borderId="21" xfId="0" applyNumberFormat="1" applyFill="1" applyBorder="1" applyAlignment="1">
      <alignment horizontal="left" vertical="center"/>
    </xf>
    <xf numFmtId="44" fontId="0" fillId="2" borderId="22" xfId="0" applyNumberFormat="1" applyFill="1" applyBorder="1"/>
    <xf numFmtId="2" fontId="17" fillId="2" borderId="21" xfId="0" applyNumberFormat="1" applyFont="1" applyFill="1" applyBorder="1" applyAlignment="1">
      <alignment horizontal="left" vertical="center"/>
    </xf>
    <xf numFmtId="2" fontId="0" fillId="2" borderId="23" xfId="0" applyNumberFormat="1" applyFill="1" applyBorder="1" applyAlignment="1">
      <alignment horizontal="left" vertical="center"/>
    </xf>
    <xf numFmtId="44" fontId="0" fillId="2" borderId="24" xfId="0" applyNumberFormat="1" applyFill="1" applyBorder="1"/>
    <xf numFmtId="44" fontId="0" fillId="2" borderId="25" xfId="0" applyNumberFormat="1" applyFill="1" applyBorder="1"/>
    <xf numFmtId="0" fontId="17" fillId="2" borderId="27" xfId="0" applyFont="1" applyFill="1" applyBorder="1" applyAlignment="1">
      <alignment horizontal="center"/>
    </xf>
    <xf numFmtId="0" fontId="17" fillId="2" borderId="26" xfId="0" applyFont="1" applyFill="1" applyBorder="1" applyAlignment="1">
      <alignment horizontal="center"/>
    </xf>
    <xf numFmtId="0" fontId="17" fillId="6" borderId="18" xfId="0" applyFont="1" applyFill="1" applyBorder="1" applyAlignment="1">
      <alignment horizontal="center"/>
    </xf>
    <xf numFmtId="0" fontId="21" fillId="9" borderId="0" xfId="0" applyFont="1" applyFill="1" applyAlignment="1">
      <alignment horizontal="center" vertical="center"/>
    </xf>
    <xf numFmtId="0" fontId="22" fillId="9" borderId="0" xfId="0" applyFont="1" applyFill="1" applyAlignment="1">
      <alignment horizontal="center" vertical="center"/>
    </xf>
    <xf numFmtId="0" fontId="0" fillId="9" borderId="0" xfId="0" applyFill="1" applyBorder="1" applyAlignment="1">
      <alignment vertical="center"/>
    </xf>
    <xf numFmtId="44" fontId="21" fillId="9" borderId="0" xfId="0" applyNumberFormat="1" applyFont="1" applyFill="1" applyAlignment="1">
      <alignment horizontal="center" vertical="center"/>
    </xf>
    <xf numFmtId="0" fontId="21" fillId="5" borderId="0" xfId="0" applyFont="1" applyFill="1" applyAlignment="1">
      <alignment horizontal="center" vertical="center"/>
    </xf>
    <xf numFmtId="44" fontId="22" fillId="4" borderId="1" xfId="0" applyNumberFormat="1" applyFont="1" applyFill="1" applyBorder="1" applyAlignment="1">
      <alignment horizontal="center" vertical="center"/>
    </xf>
    <xf numFmtId="165" fontId="22" fillId="4" borderId="1" xfId="0" applyNumberFormat="1" applyFont="1" applyFill="1" applyBorder="1" applyAlignment="1">
      <alignment horizontal="center" vertical="center"/>
    </xf>
    <xf numFmtId="0" fontId="21" fillId="9" borderId="1" xfId="0" applyFont="1" applyFill="1" applyBorder="1" applyAlignment="1">
      <alignment horizontal="center" vertical="center"/>
    </xf>
    <xf numFmtId="0" fontId="22" fillId="3" borderId="1" xfId="0"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left" vertical="center"/>
    </xf>
    <xf numFmtId="0" fontId="25" fillId="5" borderId="1" xfId="0" applyFont="1" applyFill="1" applyBorder="1" applyAlignment="1">
      <alignment horizontal="center" vertical="center"/>
    </xf>
    <xf numFmtId="0" fontId="25" fillId="5" borderId="3" xfId="0" applyFont="1" applyFill="1" applyBorder="1" applyAlignment="1">
      <alignment horizontal="center" vertical="center"/>
    </xf>
    <xf numFmtId="0" fontId="26" fillId="5" borderId="1" xfId="0" applyFont="1" applyFill="1" applyBorder="1" applyAlignment="1">
      <alignment horizontal="center" vertical="center"/>
    </xf>
    <xf numFmtId="0" fontId="7" fillId="5" borderId="3" xfId="0" applyFont="1" applyFill="1" applyBorder="1" applyAlignment="1">
      <alignment horizontal="center"/>
    </xf>
    <xf numFmtId="0" fontId="25" fillId="5" borderId="1" xfId="0" applyFont="1" applyFill="1" applyBorder="1" applyAlignment="1">
      <alignment horizontal="center"/>
    </xf>
    <xf numFmtId="0" fontId="24" fillId="5" borderId="1" xfId="0" applyFont="1" applyFill="1" applyBorder="1" applyAlignment="1">
      <alignment horizontal="center"/>
    </xf>
    <xf numFmtId="4" fontId="24" fillId="4" borderId="1" xfId="0" applyNumberFormat="1" applyFont="1" applyFill="1" applyBorder="1" applyAlignment="1">
      <alignment horizontal="center"/>
    </xf>
    <xf numFmtId="44" fontId="24" fillId="4" borderId="1" xfId="1" applyFont="1" applyFill="1" applyBorder="1" applyAlignment="1">
      <alignment horizontal="center"/>
    </xf>
    <xf numFmtId="0" fontId="20" fillId="5" borderId="0" xfId="0" applyFont="1" applyFill="1" applyAlignment="1">
      <alignment vertical="center"/>
    </xf>
    <xf numFmtId="0" fontId="0" fillId="9" borderId="0" xfId="0" applyFill="1" applyBorder="1" applyAlignment="1">
      <alignment horizontal="center"/>
    </xf>
    <xf numFmtId="0" fontId="2" fillId="9" borderId="0" xfId="0" applyFont="1" applyFill="1" applyBorder="1" applyAlignment="1">
      <alignment horizontal="center"/>
    </xf>
    <xf numFmtId="0" fontId="3" fillId="9" borderId="0" xfId="0" applyFont="1" applyFill="1" applyAlignment="1">
      <alignment horizontal="center"/>
    </xf>
    <xf numFmtId="0" fontId="4" fillId="9" borderId="0" xfId="0" applyFont="1" applyFill="1" applyBorder="1" applyAlignment="1">
      <alignment horizontal="left"/>
    </xf>
    <xf numFmtId="0" fontId="0" fillId="9" borderId="0" xfId="0" applyFill="1" applyBorder="1" applyAlignment="1">
      <alignment horizontal="right"/>
    </xf>
    <xf numFmtId="0" fontId="8" fillId="5" borderId="0" xfId="0" applyFont="1" applyFill="1" applyAlignment="1">
      <alignment horizontal="center" vertical="center"/>
    </xf>
    <xf numFmtId="0" fontId="9" fillId="7" borderId="0" xfId="0" applyFont="1" applyFill="1" applyAlignment="1">
      <alignment horizontal="center" vertical="center" wrapText="1"/>
    </xf>
    <xf numFmtId="0" fontId="0" fillId="9" borderId="0" xfId="0" applyFill="1" applyAlignment="1">
      <alignment horizontal="center"/>
    </xf>
    <xf numFmtId="0" fontId="7" fillId="5" borderId="2" xfId="0" applyFont="1" applyFill="1" applyBorder="1" applyAlignment="1">
      <alignment horizontal="center"/>
    </xf>
    <xf numFmtId="0" fontId="7" fillId="5" borderId="11" xfId="0" applyFont="1" applyFill="1" applyBorder="1" applyAlignment="1">
      <alignment horizontal="center"/>
    </xf>
    <xf numFmtId="0" fontId="7" fillId="5" borderId="5" xfId="0" applyFont="1" applyFill="1" applyBorder="1" applyAlignment="1">
      <alignment horizontal="center"/>
    </xf>
    <xf numFmtId="0" fontId="19" fillId="5" borderId="0" xfId="0" applyFont="1" applyFill="1" applyAlignment="1">
      <alignment horizontal="center"/>
    </xf>
    <xf numFmtId="0" fontId="0" fillId="4" borderId="1" xfId="0" applyFill="1" applyBorder="1" applyAlignment="1">
      <alignment horizontal="center"/>
    </xf>
    <xf numFmtId="9" fontId="0" fillId="4" borderId="1" xfId="2" applyFont="1" applyFill="1" applyBorder="1" applyAlignment="1">
      <alignment horizontal="center"/>
    </xf>
    <xf numFmtId="44" fontId="0" fillId="4" borderId="1" xfId="1" applyFont="1" applyFill="1" applyBorder="1" applyAlignment="1">
      <alignment horizontal="left" vertical="center"/>
    </xf>
    <xf numFmtId="0" fontId="7" fillId="5" borderId="1" xfId="0" applyFont="1" applyFill="1" applyBorder="1" applyAlignment="1">
      <alignment horizontal="center"/>
    </xf>
    <xf numFmtId="0" fontId="23" fillId="9" borderId="0" xfId="0" applyFont="1" applyFill="1" applyAlignment="1">
      <alignment horizontal="center" vertical="center"/>
    </xf>
    <xf numFmtId="0" fontId="27" fillId="5" borderId="0" xfId="0" applyFont="1" applyFill="1" applyAlignment="1">
      <alignment horizontal="center" vertical="center"/>
    </xf>
    <xf numFmtId="0" fontId="25" fillId="5" borderId="1" xfId="0" applyFont="1" applyFill="1" applyBorder="1" applyAlignment="1">
      <alignment horizontal="center" vertical="center"/>
    </xf>
    <xf numFmtId="0" fontId="23" fillId="4" borderId="1" xfId="0" applyFont="1" applyFill="1" applyBorder="1" applyAlignment="1">
      <alignment horizontal="center" vertical="center"/>
    </xf>
    <xf numFmtId="2" fontId="23" fillId="4" borderId="1" xfId="0" applyNumberFormat="1" applyFont="1" applyFill="1" applyBorder="1" applyAlignment="1">
      <alignment horizontal="center" vertical="center"/>
    </xf>
    <xf numFmtId="44" fontId="23" fillId="4" borderId="1" xfId="0" applyNumberFormat="1" applyFont="1" applyFill="1" applyBorder="1" applyAlignment="1">
      <alignment horizontal="center" vertical="center"/>
    </xf>
    <xf numFmtId="44" fontId="0" fillId="2" borderId="0" xfId="0" applyNumberFormat="1" applyFill="1" applyBorder="1" applyAlignment="1">
      <alignment horizontal="center"/>
    </xf>
    <xf numFmtId="0" fontId="0" fillId="2" borderId="0" xfId="0" applyFill="1" applyBorder="1" applyAlignment="1">
      <alignment horizontal="center"/>
    </xf>
    <xf numFmtId="0" fontId="18" fillId="11" borderId="0" xfId="0" applyFont="1" applyFill="1" applyAlignment="1">
      <alignment horizontal="center"/>
    </xf>
    <xf numFmtId="0" fontId="13" fillId="5" borderId="0" xfId="0" applyFont="1" applyFill="1" applyAlignment="1">
      <alignment horizontal="center"/>
    </xf>
    <xf numFmtId="0" fontId="12" fillId="5" borderId="1" xfId="0" applyFont="1" applyFill="1" applyBorder="1" applyAlignment="1">
      <alignment horizontal="center"/>
    </xf>
    <xf numFmtId="0" fontId="11" fillId="5" borderId="0" xfId="0" applyFont="1" applyFill="1" applyAlignment="1">
      <alignment horizontal="center"/>
    </xf>
    <xf numFmtId="44" fontId="0" fillId="4" borderId="1" xfId="0" applyNumberFormat="1" applyFill="1" applyBorder="1" applyAlignment="1">
      <alignment horizontal="center"/>
    </xf>
    <xf numFmtId="0" fontId="15" fillId="5" borderId="1" xfId="0" applyFont="1" applyFill="1" applyBorder="1" applyAlignment="1">
      <alignment horizontal="center"/>
    </xf>
    <xf numFmtId="0" fontId="12" fillId="5" borderId="3" xfId="0" applyFont="1" applyFill="1" applyBorder="1" applyAlignment="1">
      <alignment horizontal="center"/>
    </xf>
    <xf numFmtId="0" fontId="0" fillId="4" borderId="12" xfId="0" applyFill="1" applyBorder="1" applyAlignment="1">
      <alignment horizontal="right" vertical="center"/>
    </xf>
    <xf numFmtId="0" fontId="0" fillId="4" borderId="9" xfId="0" applyFill="1" applyBorder="1" applyAlignment="1">
      <alignment horizontal="right" vertical="center"/>
    </xf>
    <xf numFmtId="0" fontId="0" fillId="4" borderId="13" xfId="0" applyFill="1" applyBorder="1" applyAlignment="1">
      <alignment horizontal="center" vertical="center"/>
    </xf>
    <xf numFmtId="0" fontId="0" fillId="4" borderId="10" xfId="0" applyFill="1" applyBorder="1" applyAlignment="1">
      <alignment horizontal="center" vertical="center"/>
    </xf>
    <xf numFmtId="0" fontId="12" fillId="5" borderId="0" xfId="0" applyFont="1" applyFill="1" applyAlignment="1">
      <alignment horizontal="center"/>
    </xf>
    <xf numFmtId="0" fontId="11" fillId="5" borderId="0" xfId="0" applyFont="1" applyFill="1" applyAlignment="1">
      <alignment horizontal="center" vertical="center"/>
    </xf>
    <xf numFmtId="0" fontId="12" fillId="5" borderId="0" xfId="0" applyFont="1" applyFill="1" applyAlignment="1">
      <alignment horizontal="center" vertical="center"/>
    </xf>
    <xf numFmtId="0" fontId="7" fillId="5" borderId="2"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5" xfId="0" applyFont="1" applyFill="1" applyBorder="1" applyAlignment="1">
      <alignment horizontal="center" vertical="center"/>
    </xf>
    <xf numFmtId="0" fontId="0" fillId="4" borderId="13" xfId="0" applyFill="1" applyBorder="1" applyAlignment="1">
      <alignment horizontal="left" vertical="center"/>
    </xf>
    <xf numFmtId="0" fontId="0" fillId="4" borderId="10" xfId="0" applyFill="1" applyBorder="1" applyAlignment="1">
      <alignment horizontal="left" vertical="center"/>
    </xf>
    <xf numFmtId="0" fontId="11" fillId="5" borderId="1" xfId="0" applyFont="1" applyFill="1" applyBorder="1" applyAlignment="1">
      <alignment horizontal="center"/>
    </xf>
    <xf numFmtId="0" fontId="11" fillId="5" borderId="2" xfId="0" applyFont="1" applyFill="1" applyBorder="1" applyAlignment="1">
      <alignment horizontal="center"/>
    </xf>
    <xf numFmtId="0" fontId="11" fillId="5" borderId="11" xfId="0" applyFont="1" applyFill="1" applyBorder="1" applyAlignment="1">
      <alignment horizontal="center"/>
    </xf>
    <xf numFmtId="0" fontId="11" fillId="5" borderId="5" xfId="0" applyFont="1" applyFill="1" applyBorder="1" applyAlignment="1">
      <alignment horizontal="center"/>
    </xf>
    <xf numFmtId="10" fontId="0" fillId="4" borderId="4" xfId="0" applyNumberFormat="1" applyFill="1" applyBorder="1" applyAlignment="1">
      <alignment horizontal="center"/>
    </xf>
    <xf numFmtId="0" fontId="0" fillId="4" borderId="4" xfId="0" applyFill="1" applyBorder="1" applyAlignment="1">
      <alignment horizontal="center"/>
    </xf>
    <xf numFmtId="2" fontId="0" fillId="4" borderId="1" xfId="0" applyNumberFormat="1" applyFill="1" applyBorder="1" applyAlignment="1">
      <alignment horizontal="center"/>
    </xf>
    <xf numFmtId="10" fontId="0" fillId="4" borderId="1" xfId="0" applyNumberFormat="1" applyFill="1" applyBorder="1" applyAlignment="1">
      <alignment horizontal="center"/>
    </xf>
    <xf numFmtId="0" fontId="0" fillId="5" borderId="0" xfId="0" applyFill="1" applyAlignment="1">
      <alignment horizontal="center"/>
    </xf>
    <xf numFmtId="44" fontId="0" fillId="4" borderId="1" xfId="1" applyFont="1" applyFill="1" applyBorder="1" applyAlignment="1">
      <alignment horizontal="center"/>
    </xf>
  </cellXfs>
  <cellStyles count="3">
    <cellStyle name="Moneda" xfId="1" builtinId="4"/>
    <cellStyle name="Normal" xfId="0" builtinId="0"/>
    <cellStyle name="Porcentaje" xfId="2" builtinId="5"/>
  </cellStyles>
  <dxfs count="9">
    <dxf>
      <font>
        <strike val="0"/>
        <outline val="0"/>
        <shadow val="0"/>
        <u val="none"/>
        <vertAlign val="baseline"/>
        <sz val="11"/>
        <color auto="1"/>
        <name val="Century Gothic"/>
        <scheme val="none"/>
      </font>
      <numFmt numFmtId="4" formatCode="#,##0.00"/>
      <fill>
        <patternFill patternType="solid">
          <fgColor indexed="64"/>
          <bgColor theme="5" tint="0.79998168889431442"/>
        </patternFill>
      </fill>
      <alignment horizontal="center" textRotation="0" wrapText="0" indent="0" justifyLastLine="0" shrinkToFit="0" readingOrder="0"/>
    </dxf>
    <dxf>
      <font>
        <strike val="0"/>
        <outline val="0"/>
        <shadow val="0"/>
        <u val="none"/>
        <vertAlign val="baseline"/>
        <sz val="11"/>
        <color auto="1"/>
        <name val="Century Gothic"/>
        <scheme val="none"/>
      </font>
      <numFmt numFmtId="4" formatCode="#,##0.00"/>
      <fill>
        <patternFill patternType="solid">
          <fgColor indexed="64"/>
          <bgColor theme="5" tint="0.79998168889431442"/>
        </patternFill>
      </fill>
      <alignment horizontal="center" textRotation="0" wrapText="0" indent="0" justifyLastLine="0" shrinkToFit="0" readingOrder="0"/>
    </dxf>
    <dxf>
      <font>
        <strike val="0"/>
        <outline val="0"/>
        <shadow val="0"/>
        <u val="none"/>
        <vertAlign val="baseline"/>
        <sz val="11"/>
        <color auto="1"/>
        <name val="Century Gothic"/>
        <scheme val="none"/>
      </font>
      <fill>
        <patternFill patternType="solid">
          <fgColor indexed="64"/>
          <bgColor theme="5" tint="0.79998168889431442"/>
        </patternFill>
      </fill>
      <alignment horizontal="center" textRotation="0" wrapText="0" indent="0" justifyLastLine="0" shrinkToFit="0" readingOrder="0"/>
    </dxf>
    <dxf>
      <font>
        <strike val="0"/>
        <outline val="0"/>
        <shadow val="0"/>
        <u val="none"/>
        <vertAlign val="baseline"/>
        <sz val="11"/>
        <color theme="0"/>
        <name val="Century Gothic"/>
        <scheme val="none"/>
      </font>
      <fill>
        <patternFill patternType="solid">
          <fgColor indexed="64"/>
          <bgColor theme="5"/>
        </patternFill>
      </fill>
      <alignment horizontal="center" textRotation="0" wrapText="0" indent="0" justifyLastLine="0" shrinkToFit="0" readingOrder="0"/>
    </dxf>
    <dxf>
      <font>
        <strike val="0"/>
        <outline val="0"/>
        <shadow val="0"/>
        <u val="none"/>
        <vertAlign val="baseline"/>
        <sz val="11"/>
        <color auto="1"/>
        <name val="Century Gothic"/>
        <scheme val="none"/>
      </font>
      <numFmt numFmtId="4" formatCode="#,##0.00"/>
      <fill>
        <patternFill patternType="solid">
          <fgColor indexed="64"/>
          <bgColor theme="5" tint="0.79998168889431442"/>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entury Gothic"/>
        <scheme val="none"/>
      </font>
      <numFmt numFmtId="4" formatCode="#,##0.00"/>
      <fill>
        <patternFill patternType="solid">
          <fgColor indexed="64"/>
          <bgColor theme="5" tint="0.79998168889431442"/>
        </patternFill>
      </fil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entury Gothic"/>
        <scheme val="none"/>
      </font>
      <fill>
        <patternFill patternType="solid">
          <fgColor indexed="64"/>
          <bgColor theme="5"/>
        </patternFill>
      </fill>
      <alignment horizont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entury Gothic"/>
        <scheme val="none"/>
      </font>
      <alignment horizontal="center" textRotation="0" wrapText="0" indent="0" justifyLastLine="0" shrinkToFit="0" readingOrder="0"/>
    </dxf>
    <dxf>
      <font>
        <strike val="0"/>
        <outline val="0"/>
        <shadow val="0"/>
        <u val="none"/>
        <vertAlign val="baseline"/>
        <sz val="11"/>
        <color theme="0"/>
        <name val="Century Gothic"/>
        <scheme val="none"/>
      </font>
      <fill>
        <patternFill patternType="solid">
          <fgColor indexed="64"/>
          <bgColor theme="5"/>
        </patternFill>
      </fill>
      <alignment horizont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PE!$G$59:$J$59</c:f>
              <c:numCache>
                <c:formatCode>"$"#,##0.00</c:formatCode>
                <c:ptCount val="4"/>
                <c:pt idx="0">
                  <c:v>210300</c:v>
                </c:pt>
                <c:pt idx="1">
                  <c:v>240300</c:v>
                </c:pt>
                <c:pt idx="2">
                  <c:v>270300</c:v>
                </c:pt>
                <c:pt idx="3">
                  <c:v>300300</c:v>
                </c:pt>
              </c:numCache>
            </c:numRef>
          </c:yVal>
          <c:smooth val="0"/>
          <c:extLst>
            <c:ext xmlns:c16="http://schemas.microsoft.com/office/drawing/2014/chart" uri="{C3380CC4-5D6E-409C-BE32-E72D297353CC}">
              <c16:uniqueId val="{00000000-29CC-4569-8639-FF1D00A086CD}"/>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PE!$C$59:$F$59</c:f>
              <c:numCache>
                <c:formatCode>_("$"* #,##0.00_);_("$"* \(#,##0.00\);_("$"* "-"??_);_(@_)</c:formatCode>
                <c:ptCount val="4"/>
                <c:pt idx="0">
                  <c:v>109700</c:v>
                </c:pt>
                <c:pt idx="1">
                  <c:v>239700</c:v>
                </c:pt>
                <c:pt idx="2">
                  <c:v>369700</c:v>
                </c:pt>
                <c:pt idx="3">
                  <c:v>499700</c:v>
                </c:pt>
              </c:numCache>
            </c:numRef>
          </c:yVal>
          <c:smooth val="0"/>
          <c:extLst>
            <c:ext xmlns:c16="http://schemas.microsoft.com/office/drawing/2014/chart" uri="{C3380CC4-5D6E-409C-BE32-E72D297353CC}">
              <c16:uniqueId val="{00000001-29CC-4569-8639-FF1D00A086CD}"/>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PE!$F$5:$F$7</c:f>
              <c:numCache>
                <c:formatCode>0.00</c:formatCode>
                <c:ptCount val="3"/>
                <c:pt idx="0">
                  <c:v>345.32795322904758</c:v>
                </c:pt>
              </c:numCache>
            </c:numRef>
          </c:xVal>
          <c:yVal>
            <c:numRef>
              <c:f>PE!$F$8:$F$10</c:f>
              <c:numCache>
                <c:formatCode>General</c:formatCode>
                <c:ptCount val="3"/>
                <c:pt idx="0" formatCode="_(&quot;$&quot;* #,##0.00_);_(&quot;$&quot;* \(#,##0.00\);_(&quot;$&quot;* &quot;-&quot;??_);_(@_)">
                  <c:v>319808.21748542099</c:v>
                </c:pt>
              </c:numCache>
            </c:numRef>
          </c:yVal>
          <c:smooth val="0"/>
          <c:extLst>
            <c:ext xmlns:c16="http://schemas.microsoft.com/office/drawing/2014/chart" uri="{C3380CC4-5D6E-409C-BE32-E72D297353CC}">
              <c16:uniqueId val="{00000002-29CC-4569-8639-FF1D00A086CD}"/>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PE!$K$59:$N$59</c:f>
              <c:numCache>
                <c:formatCode>"$"#,##0.00</c:formatCode>
                <c:ptCount val="4"/>
                <c:pt idx="0">
                  <c:v>150300</c:v>
                </c:pt>
                <c:pt idx="1">
                  <c:v>150300</c:v>
                </c:pt>
                <c:pt idx="2">
                  <c:v>150300</c:v>
                </c:pt>
                <c:pt idx="3">
                  <c:v>150300</c:v>
                </c:pt>
              </c:numCache>
            </c:numRef>
          </c:yVal>
          <c:smooth val="0"/>
          <c:extLst>
            <c:ext xmlns:c16="http://schemas.microsoft.com/office/drawing/2014/chart" uri="{C3380CC4-5D6E-409C-BE32-E72D297353CC}">
              <c16:uniqueId val="{00000003-29CC-4569-8639-FF1D00A086CD}"/>
            </c:ext>
          </c:extLst>
        </c:ser>
        <c:dLbls>
          <c:showLegendKey val="0"/>
          <c:showVal val="0"/>
          <c:showCatName val="0"/>
          <c:showSerName val="0"/>
          <c:showPercent val="0"/>
          <c:showBubbleSize val="0"/>
        </c:dLbls>
        <c:axId val="-1293100576"/>
        <c:axId val="-1293098944"/>
      </c:scatterChart>
      <c:valAx>
        <c:axId val="-1293100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(Q)</a:t>
                </a:r>
                <a:endParaRPr lang="es-MX"/>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098944"/>
        <c:crosses val="autoZero"/>
        <c:crossBetween val="midCat"/>
      </c:valAx>
      <c:valAx>
        <c:axId val="-12930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1005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PE!$G$68:$J$68</c:f>
              <c:numCache>
                <c:formatCode>"$"#,##0.00</c:formatCode>
                <c:ptCount val="4"/>
                <c:pt idx="0">
                  <c:v>420256.37015672424</c:v>
                </c:pt>
                <c:pt idx="1">
                  <c:v>480226.50896985724</c:v>
                </c:pt>
                <c:pt idx="2">
                  <c:v>540196.64778299024</c:v>
                </c:pt>
                <c:pt idx="3">
                  <c:v>600166.78659612313</c:v>
                </c:pt>
              </c:numCache>
            </c:numRef>
          </c:yVal>
          <c:smooth val="0"/>
          <c:extLst>
            <c:ext xmlns:c16="http://schemas.microsoft.com/office/drawing/2014/chart" uri="{C3380CC4-5D6E-409C-BE32-E72D297353CC}">
              <c16:uniqueId val="{00000000-DC0C-4E62-BC56-C3698DD7B595}"/>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PE!$C$68:$F$68</c:f>
              <c:numCache>
                <c:formatCode>_("$"* #,##0.00_);_("$"* \(#,##0.00\);_("$"* "-"??_);_(@_)</c:formatCode>
                <c:ptCount val="4"/>
                <c:pt idx="0">
                  <c:v>76168.658956400614</c:v>
                </c:pt>
                <c:pt idx="1">
                  <c:v>264411.03469982999</c:v>
                </c:pt>
                <c:pt idx="2">
                  <c:v>452653.41044325952</c:v>
                </c:pt>
                <c:pt idx="3">
                  <c:v>640895.78618668905</c:v>
                </c:pt>
              </c:numCache>
            </c:numRef>
          </c:yVal>
          <c:smooth val="0"/>
          <c:extLst>
            <c:ext xmlns:c16="http://schemas.microsoft.com/office/drawing/2014/chart" uri="{C3380CC4-5D6E-409C-BE32-E72D297353CC}">
              <c16:uniqueId val="{00000001-DC0C-4E62-BC56-C3698DD7B595}"/>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PE!$F$29:$F$31</c:f>
              <c:numCache>
                <c:formatCode>General</c:formatCode>
                <c:ptCount val="3"/>
              </c:numCache>
            </c:numRef>
          </c:xVal>
          <c:yVal>
            <c:numRef>
              <c:f>PE!$F$32:$F$34</c:f>
              <c:numCache>
                <c:formatCode>General</c:formatCode>
                <c:ptCount val="3"/>
              </c:numCache>
            </c:numRef>
          </c:yVal>
          <c:smooth val="0"/>
          <c:extLst>
            <c:ext xmlns:c16="http://schemas.microsoft.com/office/drawing/2014/chart" uri="{C3380CC4-5D6E-409C-BE32-E72D297353CC}">
              <c16:uniqueId val="{00000002-DC0C-4E62-BC56-C3698DD7B595}"/>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PE!$K$68:$N$68</c:f>
              <c:numCache>
                <c:formatCode>"$"#,##0.00</c:formatCode>
                <c:ptCount val="4"/>
                <c:pt idx="0">
                  <c:v>300316.09253045835</c:v>
                </c:pt>
                <c:pt idx="1">
                  <c:v>300316.09253045835</c:v>
                </c:pt>
                <c:pt idx="2">
                  <c:v>300316.09253045835</c:v>
                </c:pt>
                <c:pt idx="3">
                  <c:v>300316.09253045835</c:v>
                </c:pt>
              </c:numCache>
            </c:numRef>
          </c:yVal>
          <c:smooth val="0"/>
          <c:extLst>
            <c:ext xmlns:c16="http://schemas.microsoft.com/office/drawing/2014/chart" uri="{C3380CC4-5D6E-409C-BE32-E72D297353CC}">
              <c16:uniqueId val="{00000003-DC0C-4E62-BC56-C3698DD7B595}"/>
            </c:ext>
          </c:extLst>
        </c:ser>
        <c:dLbls>
          <c:showLegendKey val="0"/>
          <c:showVal val="0"/>
          <c:showCatName val="0"/>
          <c:showSerName val="0"/>
          <c:showPercent val="0"/>
          <c:showBubbleSize val="0"/>
        </c:dLbls>
        <c:axId val="-1778136000"/>
        <c:axId val="-1778139264"/>
      </c:scatterChart>
      <c:valAx>
        <c:axId val="-1778136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8139264"/>
        <c:crosses val="autoZero"/>
        <c:crossBetween val="midCat"/>
      </c:valAx>
      <c:valAx>
        <c:axId val="-17781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81360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val>
            <c:numRef>
              <c:f>'Punto de equilibrio'!$B$25:$B$34</c:f>
              <c:numCache>
                <c:formatCode>0.00</c:formatCode>
                <c:ptCount val="10"/>
                <c:pt idx="0">
                  <c:v>10000</c:v>
                </c:pt>
                <c:pt idx="1">
                  <c:v>10500</c:v>
                </c:pt>
                <c:pt idx="2">
                  <c:v>11025</c:v>
                </c:pt>
                <c:pt idx="3">
                  <c:v>11576.25</c:v>
                </c:pt>
                <c:pt idx="4">
                  <c:v>12155.0625</c:v>
                </c:pt>
                <c:pt idx="5">
                  <c:v>12762.815624999999</c:v>
                </c:pt>
                <c:pt idx="6">
                  <c:v>13400.956406249999</c:v>
                </c:pt>
                <c:pt idx="7">
                  <c:v>14071.0042265625</c:v>
                </c:pt>
                <c:pt idx="8">
                  <c:v>14774.554437890625</c:v>
                </c:pt>
                <c:pt idx="9">
                  <c:v>15513.282159785156</c:v>
                </c:pt>
              </c:numCache>
            </c:numRef>
          </c:val>
          <c:smooth val="0"/>
          <c:extLst>
            <c:ext xmlns:c15="http://schemas.microsoft.com/office/drawing/2012/chart" uri="{02D57815-91ED-43cb-92C2-25804820EDAC}">
              <c15:filteredSeriesTitle>
                <c15:tx>
                  <c:v>Unidades</c:v>
                </c15:tx>
              </c15:filteredSeriesTitle>
            </c:ext>
            <c:ext xmlns:c16="http://schemas.microsoft.com/office/drawing/2014/chart" uri="{C3380CC4-5D6E-409C-BE32-E72D297353CC}">
              <c16:uniqueId val="{00000005-67E5-4AB5-963E-54D8901EA2A1}"/>
            </c:ext>
          </c:extLst>
        </c:ser>
        <c:ser>
          <c:idx val="1"/>
          <c:order val="1"/>
          <c:spPr>
            <a:ln w="28575" cap="rnd">
              <a:solidFill>
                <a:schemeClr val="accent2"/>
              </a:solidFill>
              <a:round/>
            </a:ln>
            <a:effectLst/>
          </c:spPr>
          <c:marker>
            <c:symbol val="none"/>
          </c:marker>
          <c:val>
            <c:numRef>
              <c:f>'Punto de equilibrio'!$C$25:$C$34</c:f>
              <c:numCache>
                <c:formatCode>_("$"* #,##0.00_);_("$"* \(#,##0.00\);_("$"* "-"??_);_(@_)</c:formatCode>
                <c:ptCount val="10"/>
                <c:pt idx="0">
                  <c:v>10000</c:v>
                </c:pt>
                <c:pt idx="1">
                  <c:v>105000000</c:v>
                </c:pt>
                <c:pt idx="2">
                  <c:v>8820000</c:v>
                </c:pt>
                <c:pt idx="3">
                  <c:v>3472875</c:v>
                </c:pt>
                <c:pt idx="4">
                  <c:v>1826905893.75</c:v>
                </c:pt>
                <c:pt idx="5">
                  <c:v>0</c:v>
                </c:pt>
                <c:pt idx="6">
                  <c:v>0</c:v>
                </c:pt>
                <c:pt idx="7">
                  <c:v>0</c:v>
                </c:pt>
                <c:pt idx="8">
                  <c:v>0</c:v>
                </c:pt>
                <c:pt idx="9">
                  <c:v>0</c:v>
                </c:pt>
              </c:numCache>
            </c:numRef>
          </c:val>
          <c:smooth val="0"/>
          <c:extLst>
            <c:ext xmlns:c15="http://schemas.microsoft.com/office/drawing/2012/chart" uri="{02D57815-91ED-43cb-92C2-25804820EDAC}">
              <c15:filteredSeriesTitle>
                <c15:tx>
                  <c:v>ingreso</c:v>
                </c15:tx>
              </c15:filteredSeriesTitle>
            </c:ext>
            <c:ext xmlns:c16="http://schemas.microsoft.com/office/drawing/2014/chart" uri="{C3380CC4-5D6E-409C-BE32-E72D297353CC}">
              <c16:uniqueId val="{00000006-67E5-4AB5-963E-54D8901EA2A1}"/>
            </c:ext>
          </c:extLst>
        </c:ser>
        <c:dLbls>
          <c:showLegendKey val="0"/>
          <c:showVal val="0"/>
          <c:showCatName val="0"/>
          <c:showSerName val="0"/>
          <c:showPercent val="0"/>
          <c:showBubbleSize val="0"/>
        </c:dLbls>
        <c:smooth val="0"/>
        <c:axId val="690219024"/>
        <c:axId val="690216400"/>
      </c:lineChart>
      <c:catAx>
        <c:axId val="690219024"/>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0216400"/>
        <c:crosses val="autoZero"/>
        <c:auto val="1"/>
        <c:lblAlgn val="ctr"/>
        <c:lblOffset val="100"/>
        <c:noMultiLvlLbl val="0"/>
      </c:catAx>
      <c:valAx>
        <c:axId val="690216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021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PE!$G$60:$J$60</c:f>
              <c:numCache>
                <c:formatCode>"$"#,##0.00</c:formatCode>
                <c:ptCount val="4"/>
                <c:pt idx="0">
                  <c:v>227115</c:v>
                </c:pt>
                <c:pt idx="1">
                  <c:v>259515</c:v>
                </c:pt>
                <c:pt idx="2">
                  <c:v>291915</c:v>
                </c:pt>
                <c:pt idx="3">
                  <c:v>324315</c:v>
                </c:pt>
              </c:numCache>
            </c:numRef>
          </c:yVal>
          <c:smooth val="0"/>
          <c:extLst>
            <c:ext xmlns:c16="http://schemas.microsoft.com/office/drawing/2014/chart" uri="{C3380CC4-5D6E-409C-BE32-E72D297353CC}">
              <c16:uniqueId val="{00000000-B914-49E9-A6C0-3A5574F35955}"/>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PE!$C$60:$F$60</c:f>
              <c:numCache>
                <c:formatCode>_("$"* #,##0.00_);_("$"* \(#,##0.00\);_("$"* "-"??_);_(@_)</c:formatCode>
                <c:ptCount val="4"/>
                <c:pt idx="0">
                  <c:v>108885</c:v>
                </c:pt>
                <c:pt idx="1">
                  <c:v>244485</c:v>
                </c:pt>
                <c:pt idx="2">
                  <c:v>380085</c:v>
                </c:pt>
                <c:pt idx="3">
                  <c:v>515685</c:v>
                </c:pt>
              </c:numCache>
            </c:numRef>
          </c:yVal>
          <c:smooth val="0"/>
          <c:extLst>
            <c:ext xmlns:c16="http://schemas.microsoft.com/office/drawing/2014/chart" uri="{C3380CC4-5D6E-409C-BE32-E72D297353CC}">
              <c16:uniqueId val="{00000001-B914-49E9-A6C0-3A5574F35955}"/>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PE!$L$5:$L$7</c:f>
              <c:numCache>
                <c:formatCode>0.00</c:formatCode>
                <c:ptCount val="3"/>
                <c:pt idx="0">
                  <c:v>468.24800084160216</c:v>
                </c:pt>
              </c:numCache>
            </c:numRef>
          </c:xVal>
          <c:yVal>
            <c:numRef>
              <c:f>PE!$L$8:$L$10</c:f>
              <c:numCache>
                <c:formatCode>General</c:formatCode>
                <c:ptCount val="3"/>
                <c:pt idx="0" formatCode="_(&quot;$&quot;* #,##0.00_);_(&quot;$&quot;* \(#,##0.00\);_(&quot;$&quot;* &quot;-&quot;??_);_(@_)">
                  <c:v>581125.06862488715</c:v>
                </c:pt>
              </c:numCache>
            </c:numRef>
          </c:yVal>
          <c:smooth val="0"/>
          <c:extLst>
            <c:ext xmlns:c16="http://schemas.microsoft.com/office/drawing/2014/chart" uri="{C3380CC4-5D6E-409C-BE32-E72D297353CC}">
              <c16:uniqueId val="{00000002-B914-49E9-A6C0-3A5574F35955}"/>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PE!$K$59:$N$59</c:f>
              <c:numCache>
                <c:formatCode>"$"#,##0.00</c:formatCode>
                <c:ptCount val="4"/>
                <c:pt idx="0">
                  <c:v>150300</c:v>
                </c:pt>
                <c:pt idx="1">
                  <c:v>150300</c:v>
                </c:pt>
                <c:pt idx="2">
                  <c:v>150300</c:v>
                </c:pt>
                <c:pt idx="3">
                  <c:v>150300</c:v>
                </c:pt>
              </c:numCache>
            </c:numRef>
          </c:yVal>
          <c:smooth val="0"/>
          <c:extLst>
            <c:ext xmlns:c16="http://schemas.microsoft.com/office/drawing/2014/chart" uri="{C3380CC4-5D6E-409C-BE32-E72D297353CC}">
              <c16:uniqueId val="{00000003-B914-49E9-A6C0-3A5574F35955}"/>
            </c:ext>
          </c:extLst>
        </c:ser>
        <c:dLbls>
          <c:showLegendKey val="0"/>
          <c:showVal val="0"/>
          <c:showCatName val="0"/>
          <c:showSerName val="0"/>
          <c:showPercent val="0"/>
          <c:showBubbleSize val="0"/>
        </c:dLbls>
        <c:axId val="-1293101120"/>
        <c:axId val="-1304689696"/>
      </c:scatterChart>
      <c:valAx>
        <c:axId val="-129310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689696"/>
        <c:crosses val="autoZero"/>
        <c:crossBetween val="midCat"/>
      </c:valAx>
      <c:valAx>
        <c:axId val="-130468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1011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PE!$G$61:$J$61</c:f>
              <c:numCache>
                <c:formatCode>"$"#,##0.00</c:formatCode>
                <c:ptCount val="4"/>
                <c:pt idx="0">
                  <c:v>245274.75</c:v>
                </c:pt>
                <c:pt idx="1">
                  <c:v>280266.75</c:v>
                </c:pt>
                <c:pt idx="2">
                  <c:v>315258.75</c:v>
                </c:pt>
                <c:pt idx="3">
                  <c:v>350250.75</c:v>
                </c:pt>
              </c:numCache>
            </c:numRef>
          </c:yVal>
          <c:smooth val="0"/>
          <c:extLst>
            <c:ext xmlns:c16="http://schemas.microsoft.com/office/drawing/2014/chart" uri="{C3380CC4-5D6E-409C-BE32-E72D297353CC}">
              <c16:uniqueId val="{00000000-8414-40CE-B00E-A8FB8A19E603}"/>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PE!$C$61:$F$61</c:f>
              <c:numCache>
                <c:formatCode>_("$"* #,##0.00_);_("$"* \(#,##0.00\);_("$"* "-"??_);_(@_)</c:formatCode>
                <c:ptCount val="4"/>
                <c:pt idx="0">
                  <c:v>107525.24999999999</c:v>
                </c:pt>
                <c:pt idx="1">
                  <c:v>248933.24999999997</c:v>
                </c:pt>
                <c:pt idx="2">
                  <c:v>390341.25</c:v>
                </c:pt>
                <c:pt idx="3">
                  <c:v>531749.25</c:v>
                </c:pt>
              </c:numCache>
            </c:numRef>
          </c:yVal>
          <c:smooth val="0"/>
          <c:extLst>
            <c:ext xmlns:c16="http://schemas.microsoft.com/office/drawing/2014/chart" uri="{C3380CC4-5D6E-409C-BE32-E72D297353CC}">
              <c16:uniqueId val="{00000001-8414-40CE-B00E-A8FB8A19E603}"/>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PE!$R$5:$R$7</c:f>
              <c:numCache>
                <c:formatCode>General</c:formatCode>
                <c:ptCount val="3"/>
              </c:numCache>
            </c:numRef>
          </c:xVal>
          <c:yVal>
            <c:numRef>
              <c:f>PE!$R$8:$R$10</c:f>
              <c:numCache>
                <c:formatCode>General</c:formatCode>
                <c:ptCount val="3"/>
              </c:numCache>
            </c:numRef>
          </c:yVal>
          <c:smooth val="0"/>
          <c:extLst>
            <c:ext xmlns:c16="http://schemas.microsoft.com/office/drawing/2014/chart" uri="{C3380CC4-5D6E-409C-BE32-E72D297353CC}">
              <c16:uniqueId val="{00000002-8414-40CE-B00E-A8FB8A19E603}"/>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PE!$K$61:$N$61</c:f>
              <c:numCache>
                <c:formatCode>"$"#,##0.00</c:formatCode>
                <c:ptCount val="4"/>
                <c:pt idx="0">
                  <c:v>175290.75</c:v>
                </c:pt>
                <c:pt idx="1">
                  <c:v>175290.75</c:v>
                </c:pt>
                <c:pt idx="2">
                  <c:v>175290.75</c:v>
                </c:pt>
                <c:pt idx="3">
                  <c:v>175290.75</c:v>
                </c:pt>
              </c:numCache>
            </c:numRef>
          </c:yVal>
          <c:smooth val="0"/>
          <c:extLst>
            <c:ext xmlns:c16="http://schemas.microsoft.com/office/drawing/2014/chart" uri="{C3380CC4-5D6E-409C-BE32-E72D297353CC}">
              <c16:uniqueId val="{00000003-8414-40CE-B00E-A8FB8A19E603}"/>
            </c:ext>
          </c:extLst>
        </c:ser>
        <c:dLbls>
          <c:showLegendKey val="0"/>
          <c:showVal val="0"/>
          <c:showCatName val="0"/>
          <c:showSerName val="0"/>
          <c:showPercent val="0"/>
          <c:showBubbleSize val="0"/>
        </c:dLbls>
        <c:axId val="-1304696224"/>
        <c:axId val="-1304703296"/>
      </c:scatterChart>
      <c:valAx>
        <c:axId val="-1304696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3296"/>
        <c:crosses val="autoZero"/>
        <c:crossBetween val="midCat"/>
      </c:valAx>
      <c:valAx>
        <c:axId val="-130470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6962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PE!$G$62:$J$62</c:f>
              <c:numCache>
                <c:formatCode>"$"#,##0.00</c:formatCode>
                <c:ptCount val="4"/>
                <c:pt idx="0">
                  <c:v>264886.8075</c:v>
                </c:pt>
                <c:pt idx="1">
                  <c:v>302678.16749999998</c:v>
                </c:pt>
                <c:pt idx="2">
                  <c:v>340469.52749999997</c:v>
                </c:pt>
                <c:pt idx="3">
                  <c:v>378260.88749999995</c:v>
                </c:pt>
              </c:numCache>
            </c:numRef>
          </c:yVal>
          <c:smooth val="0"/>
          <c:extLst>
            <c:ext xmlns:c16="http://schemas.microsoft.com/office/drawing/2014/chart" uri="{C3380CC4-5D6E-409C-BE32-E72D297353CC}">
              <c16:uniqueId val="{00000000-8BD7-49DE-833B-9281CA88308A}"/>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PE!$C$62:$F$62</c:f>
              <c:numCache>
                <c:formatCode>_("$"* #,##0.00_);_("$"* \(#,##0.00\);_("$"* "-"??_);_(@_)</c:formatCode>
                <c:ptCount val="4"/>
                <c:pt idx="0">
                  <c:v>105553.19250000002</c:v>
                </c:pt>
                <c:pt idx="1">
                  <c:v>252981.83250000002</c:v>
                </c:pt>
                <c:pt idx="2">
                  <c:v>400410.47250000003</c:v>
                </c:pt>
                <c:pt idx="3">
                  <c:v>547839.11250000005</c:v>
                </c:pt>
              </c:numCache>
            </c:numRef>
          </c:yVal>
          <c:smooth val="0"/>
          <c:extLst>
            <c:ext xmlns:c16="http://schemas.microsoft.com/office/drawing/2014/chart" uri="{C3380CC4-5D6E-409C-BE32-E72D297353CC}">
              <c16:uniqueId val="{00000001-8BD7-49DE-833B-9281CA88308A}"/>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PE!$F$13:$F$15</c:f>
              <c:numCache>
                <c:formatCode>General</c:formatCode>
                <c:ptCount val="3"/>
              </c:numCache>
            </c:numRef>
          </c:xVal>
          <c:yVal>
            <c:numRef>
              <c:f>PE!$F$16:$F$18</c:f>
              <c:numCache>
                <c:formatCode>General</c:formatCode>
                <c:ptCount val="3"/>
              </c:numCache>
            </c:numRef>
          </c:yVal>
          <c:smooth val="0"/>
          <c:extLst>
            <c:ext xmlns:c16="http://schemas.microsoft.com/office/drawing/2014/chart" uri="{C3380CC4-5D6E-409C-BE32-E72D297353CC}">
              <c16:uniqueId val="{00000002-8BD7-49DE-833B-9281CA88308A}"/>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PE!$K$62:$N$62</c:f>
              <c:numCache>
                <c:formatCode>"$"#,##0.00</c:formatCode>
                <c:ptCount val="4"/>
                <c:pt idx="0">
                  <c:v>189304.08749999999</c:v>
                </c:pt>
                <c:pt idx="1">
                  <c:v>189304.08749999999</c:v>
                </c:pt>
                <c:pt idx="2">
                  <c:v>189304.08749999999</c:v>
                </c:pt>
                <c:pt idx="3">
                  <c:v>189304.08749999999</c:v>
                </c:pt>
              </c:numCache>
            </c:numRef>
          </c:yVal>
          <c:smooth val="0"/>
          <c:extLst>
            <c:ext xmlns:c16="http://schemas.microsoft.com/office/drawing/2014/chart" uri="{C3380CC4-5D6E-409C-BE32-E72D297353CC}">
              <c16:uniqueId val="{00000003-8BD7-49DE-833B-9281CA88308A}"/>
            </c:ext>
          </c:extLst>
        </c:ser>
        <c:dLbls>
          <c:showLegendKey val="0"/>
          <c:showVal val="0"/>
          <c:showCatName val="0"/>
          <c:showSerName val="0"/>
          <c:showPercent val="0"/>
          <c:showBubbleSize val="0"/>
        </c:dLbls>
        <c:axId val="-1304702752"/>
        <c:axId val="-1304701120"/>
      </c:scatterChart>
      <c:valAx>
        <c:axId val="-130470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1120"/>
        <c:crosses val="autoZero"/>
        <c:crossBetween val="midCat"/>
      </c:valAx>
      <c:valAx>
        <c:axId val="-130470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27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PE!$G$63:$J$63</c:f>
              <c:numCache>
                <c:formatCode>"$"#,##0.00</c:formatCode>
                <c:ptCount val="4"/>
                <c:pt idx="0">
                  <c:v>286067.33347499999</c:v>
                </c:pt>
                <c:pt idx="1">
                  <c:v>326882.00227499998</c:v>
                </c:pt>
                <c:pt idx="2">
                  <c:v>367696.67107500002</c:v>
                </c:pt>
                <c:pt idx="3">
                  <c:v>408511.33987500001</c:v>
                </c:pt>
              </c:numCache>
            </c:numRef>
          </c:yVal>
          <c:smooth val="0"/>
          <c:extLst>
            <c:ext xmlns:c16="http://schemas.microsoft.com/office/drawing/2014/chart" uri="{C3380CC4-5D6E-409C-BE32-E72D297353CC}">
              <c16:uniqueId val="{00000000-40FD-4E37-95E2-9855F33EE377}"/>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PE!$C$63:$F$63</c:f>
              <c:numCache>
                <c:formatCode>_("$"* #,##0.00_);_("$"* \(#,##0.00\);_("$"* "-"??_);_(@_)</c:formatCode>
                <c:ptCount val="4"/>
                <c:pt idx="0">
                  <c:v>102894.66652499999</c:v>
                </c:pt>
                <c:pt idx="1">
                  <c:v>256560.99772499999</c:v>
                </c:pt>
                <c:pt idx="2">
                  <c:v>410227.32892499998</c:v>
                </c:pt>
                <c:pt idx="3">
                  <c:v>563893.66012499994</c:v>
                </c:pt>
              </c:numCache>
            </c:numRef>
          </c:yVal>
          <c:smooth val="0"/>
          <c:extLst>
            <c:ext xmlns:c16="http://schemas.microsoft.com/office/drawing/2014/chart" uri="{C3380CC4-5D6E-409C-BE32-E72D297353CC}">
              <c16:uniqueId val="{00000001-40FD-4E37-95E2-9855F33EE377}"/>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PE!$L$13:$L$15</c:f>
              <c:numCache>
                <c:formatCode>General</c:formatCode>
                <c:ptCount val="3"/>
              </c:numCache>
            </c:numRef>
          </c:xVal>
          <c:yVal>
            <c:numRef>
              <c:f>PE!$L$16:$L$18</c:f>
              <c:numCache>
                <c:formatCode>General</c:formatCode>
                <c:ptCount val="3"/>
              </c:numCache>
            </c:numRef>
          </c:yVal>
          <c:smooth val="0"/>
          <c:extLst>
            <c:ext xmlns:c16="http://schemas.microsoft.com/office/drawing/2014/chart" uri="{C3380CC4-5D6E-409C-BE32-E72D297353CC}">
              <c16:uniqueId val="{00000002-40FD-4E37-95E2-9855F33EE377}"/>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PE!$K$63:$N$63</c:f>
              <c:numCache>
                <c:formatCode>"$"#,##0.00</c:formatCode>
                <c:ptCount val="4"/>
                <c:pt idx="0">
                  <c:v>204437.99587499999</c:v>
                </c:pt>
                <c:pt idx="1">
                  <c:v>204437.99587499999</c:v>
                </c:pt>
                <c:pt idx="2">
                  <c:v>204437.99587499999</c:v>
                </c:pt>
                <c:pt idx="3">
                  <c:v>204437.99587499999</c:v>
                </c:pt>
              </c:numCache>
            </c:numRef>
          </c:yVal>
          <c:smooth val="0"/>
          <c:extLst>
            <c:ext xmlns:c16="http://schemas.microsoft.com/office/drawing/2014/chart" uri="{C3380CC4-5D6E-409C-BE32-E72D297353CC}">
              <c16:uniqueId val="{00000003-40FD-4E37-95E2-9855F33EE377}"/>
            </c:ext>
          </c:extLst>
        </c:ser>
        <c:dLbls>
          <c:showLegendKey val="0"/>
          <c:showVal val="0"/>
          <c:showCatName val="0"/>
          <c:showSerName val="0"/>
          <c:showPercent val="0"/>
          <c:showBubbleSize val="0"/>
        </c:dLbls>
        <c:axId val="-1304700576"/>
        <c:axId val="-1674648544"/>
      </c:scatterChart>
      <c:valAx>
        <c:axId val="-1304700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8544"/>
        <c:crosses val="autoZero"/>
        <c:crossBetween val="midCat"/>
      </c:valAx>
      <c:valAx>
        <c:axId val="-16746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05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PE!$G$64:$J$64</c:f>
              <c:numCache>
                <c:formatCode>"$"#,##0.00</c:formatCode>
                <c:ptCount val="4"/>
                <c:pt idx="0">
                  <c:v>308941.78059674997</c:v>
                </c:pt>
                <c:pt idx="1">
                  <c:v>353021.62290074996</c:v>
                </c:pt>
                <c:pt idx="2">
                  <c:v>397101.46520474995</c:v>
                </c:pt>
                <c:pt idx="3">
                  <c:v>441181.30750874995</c:v>
                </c:pt>
              </c:numCache>
            </c:numRef>
          </c:yVal>
          <c:smooth val="0"/>
          <c:extLst>
            <c:ext xmlns:c16="http://schemas.microsoft.com/office/drawing/2014/chart" uri="{C3380CC4-5D6E-409C-BE32-E72D297353CC}">
              <c16:uniqueId val="{00000000-7C98-47D7-9648-36CBA7242EAD}"/>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PE!$C$64:$F$64</c:f>
              <c:numCache>
                <c:formatCode>_("$"* #,##0.00_);_("$"* \(#,##0.00\);_("$"* "-"??_);_(@_)</c:formatCode>
                <c:ptCount val="4"/>
                <c:pt idx="0">
                  <c:v>99468.319403250003</c:v>
                </c:pt>
                <c:pt idx="1">
                  <c:v>259593.52709924997</c:v>
                </c:pt>
                <c:pt idx="2">
                  <c:v>419718.73479525</c:v>
                </c:pt>
                <c:pt idx="3">
                  <c:v>579843.94249125</c:v>
                </c:pt>
              </c:numCache>
            </c:numRef>
          </c:yVal>
          <c:smooth val="0"/>
          <c:extLst>
            <c:ext xmlns:c16="http://schemas.microsoft.com/office/drawing/2014/chart" uri="{C3380CC4-5D6E-409C-BE32-E72D297353CC}">
              <c16:uniqueId val="{00000001-7C98-47D7-9648-36CBA7242EAD}"/>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PE!$R$13:$R$15</c:f>
              <c:numCache>
                <c:formatCode>General</c:formatCode>
                <c:ptCount val="3"/>
              </c:numCache>
            </c:numRef>
          </c:xVal>
          <c:yVal>
            <c:numRef>
              <c:f>PE!$R$16:$R$18</c:f>
              <c:numCache>
                <c:formatCode>General</c:formatCode>
                <c:ptCount val="3"/>
              </c:numCache>
            </c:numRef>
          </c:yVal>
          <c:smooth val="0"/>
          <c:extLst>
            <c:ext xmlns:c16="http://schemas.microsoft.com/office/drawing/2014/chart" uri="{C3380CC4-5D6E-409C-BE32-E72D297353CC}">
              <c16:uniqueId val="{00000002-7C98-47D7-9648-36CBA7242EAD}"/>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PE!$K$64:$N$64</c:f>
              <c:numCache>
                <c:formatCode>"$"#,##0.00</c:formatCode>
                <c:ptCount val="4"/>
                <c:pt idx="0">
                  <c:v>220782.09598874996</c:v>
                </c:pt>
                <c:pt idx="1">
                  <c:v>220782.09598874996</c:v>
                </c:pt>
                <c:pt idx="2">
                  <c:v>220782.09598874996</c:v>
                </c:pt>
                <c:pt idx="3">
                  <c:v>220782.09598874996</c:v>
                </c:pt>
              </c:numCache>
            </c:numRef>
          </c:yVal>
          <c:smooth val="0"/>
          <c:extLst>
            <c:ext xmlns:c16="http://schemas.microsoft.com/office/drawing/2014/chart" uri="{C3380CC4-5D6E-409C-BE32-E72D297353CC}">
              <c16:uniqueId val="{00000003-7C98-47D7-9648-36CBA7242EAD}"/>
            </c:ext>
          </c:extLst>
        </c:ser>
        <c:dLbls>
          <c:showLegendKey val="0"/>
          <c:showVal val="0"/>
          <c:showCatName val="0"/>
          <c:showSerName val="0"/>
          <c:showPercent val="0"/>
          <c:showBubbleSize val="0"/>
        </c:dLbls>
        <c:axId val="-1674647456"/>
        <c:axId val="-1674652352"/>
      </c:scatterChart>
      <c:valAx>
        <c:axId val="-1674647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52352"/>
        <c:crosses val="autoZero"/>
        <c:crossBetween val="midCat"/>
      </c:valAx>
      <c:valAx>
        <c:axId val="-16746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74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PE!$G$65:$J$65</c:f>
              <c:numCache>
                <c:formatCode>"$"#,##0.00</c:formatCode>
                <c:ptCount val="4"/>
                <c:pt idx="0">
                  <c:v>333645.63651042746</c:v>
                </c:pt>
                <c:pt idx="1">
                  <c:v>381251.86619874742</c:v>
                </c:pt>
                <c:pt idx="2">
                  <c:v>428858.09588706744</c:v>
                </c:pt>
                <c:pt idx="3">
                  <c:v>476464.32557538745</c:v>
                </c:pt>
              </c:numCache>
            </c:numRef>
          </c:yVal>
          <c:smooth val="0"/>
          <c:extLst>
            <c:ext xmlns:c16="http://schemas.microsoft.com/office/drawing/2014/chart" uri="{C3380CC4-5D6E-409C-BE32-E72D297353CC}">
              <c16:uniqueId val="{00000000-5F08-41C7-BBDC-B395035FBC6F}"/>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PE!$C$65:$F$65</c:f>
              <c:numCache>
                <c:formatCode>_("$"* #,##0.00_);_("$"* \(#,##0.00\);_("$"* "-"??_);_(@_)</c:formatCode>
                <c:ptCount val="4"/>
                <c:pt idx="0">
                  <c:v>95184.968489572493</c:v>
                </c:pt>
                <c:pt idx="1">
                  <c:v>261994.04130125244</c:v>
                </c:pt>
                <c:pt idx="2">
                  <c:v>428803.11411293247</c:v>
                </c:pt>
                <c:pt idx="3">
                  <c:v>595612.18692461238</c:v>
                </c:pt>
              </c:numCache>
            </c:numRef>
          </c:yVal>
          <c:smooth val="0"/>
          <c:extLst>
            <c:ext xmlns:c16="http://schemas.microsoft.com/office/drawing/2014/chart" uri="{C3380CC4-5D6E-409C-BE32-E72D297353CC}">
              <c16:uniqueId val="{00000001-5F08-41C7-BBDC-B395035FBC6F}"/>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PE!$F$21:$F$23</c:f>
              <c:numCache>
                <c:formatCode>General</c:formatCode>
                <c:ptCount val="3"/>
              </c:numCache>
            </c:numRef>
          </c:xVal>
          <c:yVal>
            <c:numRef>
              <c:f>PE!$F$24:$F$26</c:f>
              <c:numCache>
                <c:formatCode>General</c:formatCode>
                <c:ptCount val="3"/>
              </c:numCache>
            </c:numRef>
          </c:yVal>
          <c:smooth val="0"/>
          <c:extLst>
            <c:ext xmlns:c16="http://schemas.microsoft.com/office/drawing/2014/chart" uri="{C3380CC4-5D6E-409C-BE32-E72D297353CC}">
              <c16:uniqueId val="{00000002-5F08-41C7-BBDC-B395035FBC6F}"/>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PE!$K$65:$N$65</c:f>
              <c:numCache>
                <c:formatCode>"$"#,##0.00</c:formatCode>
                <c:ptCount val="4"/>
                <c:pt idx="0">
                  <c:v>238433.17713378745</c:v>
                </c:pt>
                <c:pt idx="1">
                  <c:v>238433.17713378745</c:v>
                </c:pt>
                <c:pt idx="2">
                  <c:v>238433.17713378745</c:v>
                </c:pt>
                <c:pt idx="3">
                  <c:v>238433.17713378745</c:v>
                </c:pt>
              </c:numCache>
            </c:numRef>
          </c:yVal>
          <c:smooth val="0"/>
          <c:extLst>
            <c:ext xmlns:c16="http://schemas.microsoft.com/office/drawing/2014/chart" uri="{C3380CC4-5D6E-409C-BE32-E72D297353CC}">
              <c16:uniqueId val="{00000003-5F08-41C7-BBDC-B395035FBC6F}"/>
            </c:ext>
          </c:extLst>
        </c:ser>
        <c:dLbls>
          <c:showLegendKey val="0"/>
          <c:showVal val="0"/>
          <c:showCatName val="0"/>
          <c:showSerName val="0"/>
          <c:showPercent val="0"/>
          <c:showBubbleSize val="0"/>
        </c:dLbls>
        <c:axId val="-1674645824"/>
        <c:axId val="-1674643648"/>
      </c:scatterChart>
      <c:valAx>
        <c:axId val="-1674645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3648"/>
        <c:crosses val="autoZero"/>
        <c:crossBetween val="midCat"/>
      </c:valAx>
      <c:valAx>
        <c:axId val="-16746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58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PE!$G$66:$J$66</c:f>
              <c:numCache>
                <c:formatCode>"$"#,##0.00</c:formatCode>
                <c:ptCount val="4"/>
                <c:pt idx="0">
                  <c:v>360325.22657049604</c:v>
                </c:pt>
                <c:pt idx="1">
                  <c:v>411739.95463388163</c:v>
                </c:pt>
                <c:pt idx="2">
                  <c:v>463154.68269726727</c:v>
                </c:pt>
                <c:pt idx="3">
                  <c:v>514569.41076065286</c:v>
                </c:pt>
              </c:numCache>
            </c:numRef>
          </c:yVal>
          <c:smooth val="0"/>
          <c:extLst>
            <c:ext xmlns:c16="http://schemas.microsoft.com/office/drawing/2014/chart" uri="{C3380CC4-5D6E-409C-BE32-E72D297353CC}">
              <c16:uniqueId val="{00000000-2CDD-4CAB-9C8A-D96F00145D11}"/>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PE!$C$66:$F$66</c:f>
              <c:numCache>
                <c:formatCode>_("$"* #,##0.00_);_("$"* \(#,##0.00\);_("$"* "-"??_);_(@_)</c:formatCode>
                <c:ptCount val="4"/>
                <c:pt idx="0">
                  <c:v>89946.908679503831</c:v>
                </c:pt>
                <c:pt idx="1">
                  <c:v>263668.24824111816</c:v>
                </c:pt>
                <c:pt idx="2">
                  <c:v>437389.58780273248</c:v>
                </c:pt>
                <c:pt idx="3">
                  <c:v>611110.92736434692</c:v>
                </c:pt>
              </c:numCache>
            </c:numRef>
          </c:yVal>
          <c:smooth val="0"/>
          <c:extLst>
            <c:ext xmlns:c16="http://schemas.microsoft.com/office/drawing/2014/chart" uri="{C3380CC4-5D6E-409C-BE32-E72D297353CC}">
              <c16:uniqueId val="{00000001-2CDD-4CAB-9C8A-D96F00145D11}"/>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PE!$L$21:$L$23</c:f>
              <c:numCache>
                <c:formatCode>General</c:formatCode>
                <c:ptCount val="3"/>
              </c:numCache>
            </c:numRef>
          </c:xVal>
          <c:yVal>
            <c:numRef>
              <c:f>PE!$L$24:$L$26</c:f>
              <c:numCache>
                <c:formatCode>General</c:formatCode>
                <c:ptCount val="3"/>
              </c:numCache>
            </c:numRef>
          </c:yVal>
          <c:smooth val="0"/>
          <c:extLst>
            <c:ext xmlns:c16="http://schemas.microsoft.com/office/drawing/2014/chart" uri="{C3380CC4-5D6E-409C-BE32-E72D297353CC}">
              <c16:uniqueId val="{00000002-2CDD-4CAB-9C8A-D96F00145D11}"/>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PE!$K$66:$N$66</c:f>
              <c:numCache>
                <c:formatCode>"$"#,##0.00</c:formatCode>
                <c:ptCount val="4"/>
                <c:pt idx="0">
                  <c:v>257495.77044372485</c:v>
                </c:pt>
                <c:pt idx="1">
                  <c:v>257495.77044372485</c:v>
                </c:pt>
                <c:pt idx="2">
                  <c:v>257495.77044372485</c:v>
                </c:pt>
                <c:pt idx="3">
                  <c:v>257495.77044372485</c:v>
                </c:pt>
              </c:numCache>
            </c:numRef>
          </c:yVal>
          <c:smooth val="0"/>
          <c:extLst>
            <c:ext xmlns:c16="http://schemas.microsoft.com/office/drawing/2014/chart" uri="{C3380CC4-5D6E-409C-BE32-E72D297353CC}">
              <c16:uniqueId val="{00000003-2CDD-4CAB-9C8A-D96F00145D11}"/>
            </c:ext>
          </c:extLst>
        </c:ser>
        <c:dLbls>
          <c:showLegendKey val="0"/>
          <c:showVal val="0"/>
          <c:showCatName val="0"/>
          <c:showSerName val="0"/>
          <c:showPercent val="0"/>
          <c:showBubbleSize val="0"/>
        </c:dLbls>
        <c:axId val="-1354334288"/>
        <c:axId val="-1354337552"/>
      </c:scatterChart>
      <c:valAx>
        <c:axId val="-135433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7552"/>
        <c:crosses val="autoZero"/>
        <c:crossBetween val="midCat"/>
      </c:valAx>
      <c:valAx>
        <c:axId val="-135433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4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PE!$G$58:$J$58</c:f>
              <c:numCache>
                <c:formatCode>General</c:formatCode>
                <c:ptCount val="4"/>
                <c:pt idx="0">
                  <c:v>200</c:v>
                </c:pt>
                <c:pt idx="1">
                  <c:v>300</c:v>
                </c:pt>
                <c:pt idx="2">
                  <c:v>400</c:v>
                </c:pt>
                <c:pt idx="3">
                  <c:v>500</c:v>
                </c:pt>
              </c:numCache>
            </c:numRef>
          </c:xVal>
          <c:yVal>
            <c:numRef>
              <c:f>PE!$G$67:$J$67</c:f>
              <c:numCache>
                <c:formatCode>"$"#,##0.00</c:formatCode>
                <c:ptCount val="4"/>
                <c:pt idx="0">
                  <c:v>389138.58079233178</c:v>
                </c:pt>
                <c:pt idx="1">
                  <c:v>444666.48710078822</c:v>
                </c:pt>
                <c:pt idx="2">
                  <c:v>500194.39340924466</c:v>
                </c:pt>
                <c:pt idx="3">
                  <c:v>555722.29971770104</c:v>
                </c:pt>
              </c:numCache>
            </c:numRef>
          </c:yVal>
          <c:smooth val="0"/>
          <c:extLst>
            <c:ext xmlns:c16="http://schemas.microsoft.com/office/drawing/2014/chart" uri="{C3380CC4-5D6E-409C-BE32-E72D297353CC}">
              <c16:uniqueId val="{00000000-4E07-485D-8C77-8229CC2A659F}"/>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PE!$C$58:$F$58</c:f>
              <c:numCache>
                <c:formatCode>General</c:formatCode>
                <c:ptCount val="4"/>
                <c:pt idx="0">
                  <c:v>200</c:v>
                </c:pt>
                <c:pt idx="1">
                  <c:v>300</c:v>
                </c:pt>
                <c:pt idx="2">
                  <c:v>400</c:v>
                </c:pt>
                <c:pt idx="3">
                  <c:v>500</c:v>
                </c:pt>
              </c:numCache>
            </c:numRef>
          </c:xVal>
          <c:yVal>
            <c:numRef>
              <c:f>PE!$C$67:$F$67</c:f>
              <c:numCache>
                <c:formatCode>_("$"* #,##0.00_);_("$"* \(#,##0.00\);_("$"* "-"??_);_(@_)</c:formatCode>
                <c:ptCount val="4"/>
                <c:pt idx="0">
                  <c:v>83647.161220168055</c:v>
                </c:pt>
                <c:pt idx="1">
                  <c:v>264512.12591796153</c:v>
                </c:pt>
                <c:pt idx="2">
                  <c:v>445377.09061575501</c:v>
                </c:pt>
                <c:pt idx="3">
                  <c:v>626242.05531354854</c:v>
                </c:pt>
              </c:numCache>
            </c:numRef>
          </c:yVal>
          <c:smooth val="0"/>
          <c:extLst>
            <c:ext xmlns:c16="http://schemas.microsoft.com/office/drawing/2014/chart" uri="{C3380CC4-5D6E-409C-BE32-E72D297353CC}">
              <c16:uniqueId val="{00000001-4E07-485D-8C77-8229CC2A659F}"/>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PE!$R$21:$R$23</c:f>
              <c:numCache>
                <c:formatCode>General</c:formatCode>
                <c:ptCount val="3"/>
              </c:numCache>
            </c:numRef>
          </c:xVal>
          <c:yVal>
            <c:numRef>
              <c:f>PE!$R$24:$R$26</c:f>
              <c:numCache>
                <c:formatCode>General</c:formatCode>
                <c:ptCount val="3"/>
              </c:numCache>
            </c:numRef>
          </c:yVal>
          <c:smooth val="0"/>
          <c:extLst>
            <c:ext xmlns:c16="http://schemas.microsoft.com/office/drawing/2014/chart" uri="{C3380CC4-5D6E-409C-BE32-E72D297353CC}">
              <c16:uniqueId val="{00000002-4E07-485D-8C77-8229CC2A659F}"/>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PE!$G$58:$J$58</c:f>
              <c:numCache>
                <c:formatCode>General</c:formatCode>
                <c:ptCount val="4"/>
                <c:pt idx="0">
                  <c:v>200</c:v>
                </c:pt>
                <c:pt idx="1">
                  <c:v>300</c:v>
                </c:pt>
                <c:pt idx="2">
                  <c:v>400</c:v>
                </c:pt>
                <c:pt idx="3">
                  <c:v>500</c:v>
                </c:pt>
              </c:numCache>
            </c:numRef>
          </c:xVal>
          <c:yVal>
            <c:numRef>
              <c:f>PE!$K$67:$N$67</c:f>
              <c:numCache>
                <c:formatCode>"$"#,##0.00</c:formatCode>
                <c:ptCount val="4"/>
                <c:pt idx="0">
                  <c:v>278082.7681754189</c:v>
                </c:pt>
                <c:pt idx="1">
                  <c:v>278082.7681754189</c:v>
                </c:pt>
                <c:pt idx="2">
                  <c:v>278082.7681754189</c:v>
                </c:pt>
                <c:pt idx="3">
                  <c:v>278082.7681754189</c:v>
                </c:pt>
              </c:numCache>
            </c:numRef>
          </c:yVal>
          <c:smooth val="0"/>
          <c:extLst>
            <c:ext xmlns:c16="http://schemas.microsoft.com/office/drawing/2014/chart" uri="{C3380CC4-5D6E-409C-BE32-E72D297353CC}">
              <c16:uniqueId val="{00000003-4E07-485D-8C77-8229CC2A659F}"/>
            </c:ext>
          </c:extLst>
        </c:ser>
        <c:dLbls>
          <c:showLegendKey val="0"/>
          <c:showVal val="0"/>
          <c:showCatName val="0"/>
          <c:showSerName val="0"/>
          <c:showPercent val="0"/>
          <c:showBubbleSize val="0"/>
        </c:dLbls>
        <c:axId val="-1354335920"/>
        <c:axId val="-1354345712"/>
      </c:scatterChart>
      <c:valAx>
        <c:axId val="-135433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45712"/>
        <c:crosses val="autoZero"/>
        <c:crossBetween val="midCat"/>
      </c:valAx>
      <c:valAx>
        <c:axId val="-13543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59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Datos!A1"/><Relationship Id="rId7" Type="http://schemas.openxmlformats.org/officeDocument/2006/relationships/hyperlink" Target="#'M&#233;todos de Evaluaci&#243;n'!A1"/><Relationship Id="rId2" Type="http://schemas.openxmlformats.org/officeDocument/2006/relationships/hyperlink" Target="#Objetivo!A1"/><Relationship Id="rId1" Type="http://schemas.openxmlformats.org/officeDocument/2006/relationships/hyperlink" Target="#MarcoTeorico!A1"/><Relationship Id="rId6" Type="http://schemas.openxmlformats.org/officeDocument/2006/relationships/hyperlink" Target="#Resultados!A1"/><Relationship Id="rId5" Type="http://schemas.openxmlformats.org/officeDocument/2006/relationships/hyperlink" Target="#'Balance General'!A1"/><Relationship Id="rId4" Type="http://schemas.openxmlformats.org/officeDocument/2006/relationships/hyperlink" Target="#'Estado de Resultados'!A1"/><Relationship Id="rId9" Type="http://schemas.openxmlformats.org/officeDocument/2006/relationships/hyperlink" Target="#PE!A1"/></Relationships>
</file>

<file path=xl/drawings/_rels/drawing10.xml.rels><?xml version="1.0" encoding="UTF-8" standalone="yes"?>
<Relationships xmlns="http://schemas.openxmlformats.org/package/2006/relationships"><Relationship Id="rId8" Type="http://schemas.openxmlformats.org/officeDocument/2006/relationships/hyperlink" Target="#PE!A1"/><Relationship Id="rId3" Type="http://schemas.openxmlformats.org/officeDocument/2006/relationships/hyperlink" Target="#Datos!A1"/><Relationship Id="rId7" Type="http://schemas.openxmlformats.org/officeDocument/2006/relationships/hyperlink" Target="#'M&#233;todos de Evaluaci&#243;n'!A1"/><Relationship Id="rId2" Type="http://schemas.openxmlformats.org/officeDocument/2006/relationships/hyperlink" Target="#Objetivo!A1"/><Relationship Id="rId1" Type="http://schemas.openxmlformats.org/officeDocument/2006/relationships/hyperlink" Target="#Portada!A1"/><Relationship Id="rId6" Type="http://schemas.openxmlformats.org/officeDocument/2006/relationships/hyperlink" Target="#'Balance General'!A1"/><Relationship Id="rId5" Type="http://schemas.openxmlformats.org/officeDocument/2006/relationships/hyperlink" Target="#'Estado de Resultados'!A1"/><Relationship Id="rId4" Type="http://schemas.openxmlformats.org/officeDocument/2006/relationships/hyperlink" Target="#MarcoTeorico!A1"/></Relationships>
</file>

<file path=xl/drawings/_rels/drawing2.xml.rels><?xml version="1.0" encoding="UTF-8" standalone="yes"?>
<Relationships xmlns="http://schemas.openxmlformats.org/package/2006/relationships"><Relationship Id="rId8" Type="http://schemas.openxmlformats.org/officeDocument/2006/relationships/hyperlink" Target="#PE!A1"/><Relationship Id="rId3" Type="http://schemas.openxmlformats.org/officeDocument/2006/relationships/hyperlink" Target="#Datos!A1"/><Relationship Id="rId7" Type="http://schemas.openxmlformats.org/officeDocument/2006/relationships/hyperlink" Target="#'M&#233;todos de Evaluaci&#243;n'!A1"/><Relationship Id="rId2" Type="http://schemas.openxmlformats.org/officeDocument/2006/relationships/hyperlink" Target="#Objetivo!A1"/><Relationship Id="rId1" Type="http://schemas.openxmlformats.org/officeDocument/2006/relationships/hyperlink" Target="#Portada!A1"/><Relationship Id="rId6" Type="http://schemas.openxmlformats.org/officeDocument/2006/relationships/hyperlink" Target="#Resultados!A1"/><Relationship Id="rId5" Type="http://schemas.openxmlformats.org/officeDocument/2006/relationships/hyperlink" Target="#'Balance General'!A1"/><Relationship Id="rId4" Type="http://schemas.openxmlformats.org/officeDocument/2006/relationships/hyperlink" Target="#'Estado de Resultados'!A1"/></Relationships>
</file>

<file path=xl/drawings/_rels/drawing3.xml.rels><?xml version="1.0" encoding="UTF-8" standalone="yes"?>
<Relationships xmlns="http://schemas.openxmlformats.org/package/2006/relationships"><Relationship Id="rId8" Type="http://schemas.openxmlformats.org/officeDocument/2006/relationships/hyperlink" Target="#PE!A1"/><Relationship Id="rId3" Type="http://schemas.openxmlformats.org/officeDocument/2006/relationships/hyperlink" Target="#Datos!A1"/><Relationship Id="rId7" Type="http://schemas.openxmlformats.org/officeDocument/2006/relationships/hyperlink" Target="#'M&#233;todos de Evaluaci&#243;n'!A1"/><Relationship Id="rId2" Type="http://schemas.openxmlformats.org/officeDocument/2006/relationships/hyperlink" Target="#MarcoTeorico!A1"/><Relationship Id="rId1" Type="http://schemas.openxmlformats.org/officeDocument/2006/relationships/hyperlink" Target="#Portada!A1"/><Relationship Id="rId6" Type="http://schemas.openxmlformats.org/officeDocument/2006/relationships/hyperlink" Target="#Resultados!A1"/><Relationship Id="rId5" Type="http://schemas.openxmlformats.org/officeDocument/2006/relationships/hyperlink" Target="#'Balance General'!A1"/><Relationship Id="rId4" Type="http://schemas.openxmlformats.org/officeDocument/2006/relationships/hyperlink" Target="#'Estado de Resultados'!A1"/></Relationships>
</file>

<file path=xl/drawings/_rels/drawing4.xml.rels><?xml version="1.0" encoding="UTF-8" standalone="yes"?>
<Relationships xmlns="http://schemas.openxmlformats.org/package/2006/relationships"><Relationship Id="rId8" Type="http://schemas.openxmlformats.org/officeDocument/2006/relationships/hyperlink" Target="#PE!A1"/><Relationship Id="rId3" Type="http://schemas.openxmlformats.org/officeDocument/2006/relationships/hyperlink" Target="#Objetivo!A1"/><Relationship Id="rId7" Type="http://schemas.openxmlformats.org/officeDocument/2006/relationships/hyperlink" Target="#'M&#233;todos de Evaluaci&#243;n'!A1"/><Relationship Id="rId2" Type="http://schemas.openxmlformats.org/officeDocument/2006/relationships/hyperlink" Target="#MarcoTeorico!A1"/><Relationship Id="rId1" Type="http://schemas.openxmlformats.org/officeDocument/2006/relationships/hyperlink" Target="#Portada!A1"/><Relationship Id="rId6" Type="http://schemas.openxmlformats.org/officeDocument/2006/relationships/hyperlink" Target="#Resultados!A1"/><Relationship Id="rId5" Type="http://schemas.openxmlformats.org/officeDocument/2006/relationships/hyperlink" Target="#'Balance General'!A1"/><Relationship Id="rId4" Type="http://schemas.openxmlformats.org/officeDocument/2006/relationships/hyperlink" Target="#'Estado de Resultados'!A1"/></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Objetivo!A1"/><Relationship Id="rId18" Type="http://schemas.openxmlformats.org/officeDocument/2006/relationships/hyperlink" Target="#PE!A1"/><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MarcoTeorico!A1"/><Relationship Id="rId17" Type="http://schemas.openxmlformats.org/officeDocument/2006/relationships/hyperlink" Target="#'M&#233;todos de Evaluaci&#243;n'!A1"/><Relationship Id="rId2" Type="http://schemas.openxmlformats.org/officeDocument/2006/relationships/chart" Target="../charts/chart2.xml"/><Relationship Id="rId16" Type="http://schemas.openxmlformats.org/officeDocument/2006/relationships/hyperlink" Target="#Resultados!A1"/><Relationship Id="rId20" Type="http://schemas.openxmlformats.org/officeDocument/2006/relationships/hyperlink" Target="#PE!A68"/><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ortada!A1"/><Relationship Id="rId5" Type="http://schemas.openxmlformats.org/officeDocument/2006/relationships/chart" Target="../charts/chart5.xml"/><Relationship Id="rId15" Type="http://schemas.openxmlformats.org/officeDocument/2006/relationships/hyperlink" Target="#'Balance General'!A1"/><Relationship Id="rId10" Type="http://schemas.openxmlformats.org/officeDocument/2006/relationships/chart" Target="../charts/chart10.xml"/><Relationship Id="rId19" Type="http://schemas.openxmlformats.org/officeDocument/2006/relationships/hyperlink" Target="#PE!A90"/><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Estado de Resultados'!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hyperlink" Target="#PE!A1"/><Relationship Id="rId3" Type="http://schemas.openxmlformats.org/officeDocument/2006/relationships/hyperlink" Target="#Datos!A1"/><Relationship Id="rId7" Type="http://schemas.openxmlformats.org/officeDocument/2006/relationships/hyperlink" Target="#'M&#233;todos de Evaluaci&#243;n'!A1"/><Relationship Id="rId2" Type="http://schemas.openxmlformats.org/officeDocument/2006/relationships/hyperlink" Target="#Objetivo!A1"/><Relationship Id="rId1" Type="http://schemas.openxmlformats.org/officeDocument/2006/relationships/hyperlink" Target="#Portada!A1"/><Relationship Id="rId6" Type="http://schemas.openxmlformats.org/officeDocument/2006/relationships/hyperlink" Target="#Resultados!A1"/><Relationship Id="rId5" Type="http://schemas.openxmlformats.org/officeDocument/2006/relationships/hyperlink" Target="#'Balance General'!A1"/><Relationship Id="rId4" Type="http://schemas.openxmlformats.org/officeDocument/2006/relationships/hyperlink" Target="#MarcoTeorico!A1"/></Relationships>
</file>

<file path=xl/drawings/_rels/drawing8.xml.rels><?xml version="1.0" encoding="UTF-8" standalone="yes"?>
<Relationships xmlns="http://schemas.openxmlformats.org/package/2006/relationships"><Relationship Id="rId8" Type="http://schemas.openxmlformats.org/officeDocument/2006/relationships/hyperlink" Target="#'M&#233;todos de Evaluaci&#243;n'!AE5"/><Relationship Id="rId3" Type="http://schemas.openxmlformats.org/officeDocument/2006/relationships/hyperlink" Target="#Datos!A1"/><Relationship Id="rId7" Type="http://schemas.openxmlformats.org/officeDocument/2006/relationships/hyperlink" Target="#'Balance General'!A1"/><Relationship Id="rId2" Type="http://schemas.openxmlformats.org/officeDocument/2006/relationships/hyperlink" Target="#Objetivo!A1"/><Relationship Id="rId1" Type="http://schemas.openxmlformats.org/officeDocument/2006/relationships/hyperlink" Target="#Portada!A1"/><Relationship Id="rId6" Type="http://schemas.openxmlformats.org/officeDocument/2006/relationships/hyperlink" Target="#Resultados!A1"/><Relationship Id="rId11" Type="http://schemas.openxmlformats.org/officeDocument/2006/relationships/hyperlink" Target="#PE!A1"/><Relationship Id="rId5" Type="http://schemas.openxmlformats.org/officeDocument/2006/relationships/hyperlink" Target="#'Estado de Resultados'!A1"/><Relationship Id="rId10" Type="http://schemas.openxmlformats.org/officeDocument/2006/relationships/hyperlink" Target="#'M&#233;todos de Evaluaci&#243;n'!A1"/><Relationship Id="rId4" Type="http://schemas.openxmlformats.org/officeDocument/2006/relationships/hyperlink" Target="#MarcoTeorico!A1"/><Relationship Id="rId9" Type="http://schemas.openxmlformats.org/officeDocument/2006/relationships/hyperlink" Target="#'M&#233;todos de Evaluaci&#243;n'!E42"/></Relationships>
</file>

<file path=xl/drawings/_rels/drawing9.xml.rels><?xml version="1.0" encoding="UTF-8" standalone="yes"?>
<Relationships xmlns="http://schemas.openxmlformats.org/package/2006/relationships"><Relationship Id="rId8" Type="http://schemas.openxmlformats.org/officeDocument/2006/relationships/hyperlink" Target="#'M&#233;todos de Evaluaci&#243;n'!A1"/><Relationship Id="rId3" Type="http://schemas.openxmlformats.org/officeDocument/2006/relationships/hyperlink" Target="#Objetivo!A1"/><Relationship Id="rId7" Type="http://schemas.openxmlformats.org/officeDocument/2006/relationships/hyperlink" Target="#Resultados!A1"/><Relationship Id="rId2" Type="http://schemas.openxmlformats.org/officeDocument/2006/relationships/hyperlink" Target="#Portada!A1"/><Relationship Id="rId1" Type="http://schemas.openxmlformats.org/officeDocument/2006/relationships/hyperlink" Target="#'Balance General'!A1"/><Relationship Id="rId6" Type="http://schemas.openxmlformats.org/officeDocument/2006/relationships/hyperlink" Target="#'Estado de Resultados'!A1"/><Relationship Id="rId5" Type="http://schemas.openxmlformats.org/officeDocument/2006/relationships/hyperlink" Target="#MarcoTeorico!A1"/><Relationship Id="rId4" Type="http://schemas.openxmlformats.org/officeDocument/2006/relationships/hyperlink" Target="#Datos!A1"/><Relationship Id="rId9" Type="http://schemas.openxmlformats.org/officeDocument/2006/relationships/hyperlink" Target="#P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2</xdr:col>
      <xdr:colOff>441223</xdr:colOff>
      <xdr:row>3</xdr:row>
      <xdr:rowOff>168452</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0" y="57150"/>
          <a:ext cx="1965223" cy="682802"/>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Marco</a:t>
          </a:r>
          <a:r>
            <a:rPr lang="es-MX" sz="2000" b="0" cap="none" spc="0" baseline="0">
              <a:ln>
                <a:noFill/>
              </a:ln>
              <a:solidFill>
                <a:schemeClr val="bg1"/>
              </a:solidFill>
              <a:effectLst/>
              <a:latin typeface="Soberana Titular" panose="02000000000000000000" pitchFamily="50" charset="0"/>
              <a:cs typeface="Segoe UI Semibold" panose="020B0702040204020203" pitchFamily="34" charset="0"/>
            </a:rPr>
            <a:t> Teorico</a:t>
          </a:r>
          <a:endParaRPr lang="es-MX" sz="2000" b="0" cap="none" spc="0">
            <a:ln>
              <a:noFill/>
            </a:ln>
            <a:solidFill>
              <a:schemeClr val="bg1"/>
            </a:solidFill>
            <a:effectLst/>
            <a:latin typeface="Soberana Titular" panose="02000000000000000000" pitchFamily="50" charset="0"/>
            <a:cs typeface="Segoe UI Semibold" panose="020B0702040204020203" pitchFamily="34" charset="0"/>
          </a:endParaRPr>
        </a:p>
      </xdr:txBody>
    </xdr:sp>
    <xdr:clientData/>
  </xdr:twoCellAnchor>
  <xdr:twoCellAnchor>
    <xdr:from>
      <xdr:col>2</xdr:col>
      <xdr:colOff>533401</xdr:colOff>
      <xdr:row>0</xdr:row>
      <xdr:rowOff>47624</xdr:rowOff>
    </xdr:from>
    <xdr:to>
      <xdr:col>4</xdr:col>
      <xdr:colOff>198121</xdr:colOff>
      <xdr:row>4</xdr:row>
      <xdr:rowOff>38099</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00000000-0008-0000-0000-000003000000}"/>
            </a:ext>
          </a:extLst>
        </xdr:cNvPr>
        <xdr:cNvSpPr txBox="1"/>
      </xdr:nvSpPr>
      <xdr:spPr>
        <a:xfrm>
          <a:off x="2057401" y="47624"/>
          <a:ext cx="1188720" cy="75247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4</xdr:col>
      <xdr:colOff>276224</xdr:colOff>
      <xdr:row>0</xdr:row>
      <xdr:rowOff>47625</xdr:rowOff>
    </xdr:from>
    <xdr:to>
      <xdr:col>5</xdr:col>
      <xdr:colOff>377006</xdr:colOff>
      <xdr:row>4</xdr:row>
      <xdr:rowOff>65970</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0000000-0008-0000-0000-000004000000}"/>
            </a:ext>
          </a:extLst>
        </xdr:cNvPr>
        <xdr:cNvSpPr txBox="1"/>
      </xdr:nvSpPr>
      <xdr:spPr>
        <a:xfrm>
          <a:off x="3324224" y="47625"/>
          <a:ext cx="862782" cy="78034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5</xdr:col>
      <xdr:colOff>552450</xdr:colOff>
      <xdr:row>0</xdr:row>
      <xdr:rowOff>28575</xdr:rowOff>
    </xdr:from>
    <xdr:to>
      <xdr:col>7</xdr:col>
      <xdr:colOff>646868</xdr:colOff>
      <xdr:row>4</xdr:row>
      <xdr:rowOff>8882</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00000000-0008-0000-0000-000005000000}"/>
            </a:ext>
          </a:extLst>
        </xdr:cNvPr>
        <xdr:cNvSpPr txBox="1"/>
      </xdr:nvSpPr>
      <xdr:spPr>
        <a:xfrm>
          <a:off x="4362450" y="28575"/>
          <a:ext cx="1618418" cy="742307"/>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Estados</a:t>
          </a:r>
          <a:r>
            <a:rPr lang="es-MX" sz="2000" baseline="0">
              <a:solidFill>
                <a:schemeClr val="bg1"/>
              </a:solidFill>
              <a:latin typeface="Soberana Titular" panose="02000000000000000000" pitchFamily="50" charset="0"/>
              <a:cs typeface="Segoe UI Semibold" panose="020B0702040204020203" pitchFamily="34" charset="0"/>
            </a:rPr>
            <a:t> de resultados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8</xdr:col>
      <xdr:colOff>19051</xdr:colOff>
      <xdr:row>0</xdr:row>
      <xdr:rowOff>47625</xdr:rowOff>
    </xdr:from>
    <xdr:to>
      <xdr:col>10</xdr:col>
      <xdr:colOff>161925</xdr:colOff>
      <xdr:row>3</xdr:row>
      <xdr:rowOff>171450</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000-000006000000}"/>
            </a:ext>
          </a:extLst>
        </xdr:cNvPr>
        <xdr:cNvSpPr txBox="1"/>
      </xdr:nvSpPr>
      <xdr:spPr>
        <a:xfrm>
          <a:off x="6115051" y="47625"/>
          <a:ext cx="1666874" cy="6953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12</xdr:col>
      <xdr:colOff>533400</xdr:colOff>
      <xdr:row>0</xdr:row>
      <xdr:rowOff>38101</xdr:rowOff>
    </xdr:from>
    <xdr:to>
      <xdr:col>14</xdr:col>
      <xdr:colOff>495300</xdr:colOff>
      <xdr:row>4</xdr:row>
      <xdr:rowOff>28575</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00000000-0008-0000-0000-000007000000}"/>
            </a:ext>
          </a:extLst>
        </xdr:cNvPr>
        <xdr:cNvSpPr txBox="1"/>
      </xdr:nvSpPr>
      <xdr:spPr>
        <a:xfrm>
          <a:off x="9677400" y="38101"/>
          <a:ext cx="1485900" cy="75247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10</xdr:col>
      <xdr:colOff>266699</xdr:colOff>
      <xdr:row>0</xdr:row>
      <xdr:rowOff>38100</xdr:rowOff>
    </xdr:from>
    <xdr:to>
      <xdr:col>12</xdr:col>
      <xdr:colOff>362810</xdr:colOff>
      <xdr:row>4</xdr:row>
      <xdr:rowOff>42509</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000000-0008-0000-0000-000008000000}"/>
            </a:ext>
          </a:extLst>
        </xdr:cNvPr>
        <xdr:cNvSpPr txBox="1"/>
      </xdr:nvSpPr>
      <xdr:spPr>
        <a:xfrm>
          <a:off x="7886699" y="38100"/>
          <a:ext cx="1620111" cy="76640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editAs="oneCell">
    <xdr:from>
      <xdr:col>0</xdr:col>
      <xdr:colOff>0</xdr:colOff>
      <xdr:row>3</xdr:row>
      <xdr:rowOff>133350</xdr:rowOff>
    </xdr:from>
    <xdr:to>
      <xdr:col>11</xdr:col>
      <xdr:colOff>84666</xdr:colOff>
      <xdr:row>28</xdr:row>
      <xdr:rowOff>85724</xdr:rowOff>
    </xdr:to>
    <xdr:pic>
      <xdr:nvPicPr>
        <xdr:cNvPr id="10" name="Imagen 9">
          <a:extLst>
            <a:ext uri="{FF2B5EF4-FFF2-40B4-BE49-F238E27FC236}">
              <a16:creationId xmlns:a16="http://schemas.microsoft.com/office/drawing/2014/main" id="{10D95438-FCCE-4061-9550-E02C88B49A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704850"/>
          <a:ext cx="8466666" cy="4762499"/>
        </a:xfrm>
        <a:prstGeom prst="rect">
          <a:avLst/>
        </a:prstGeom>
      </xdr:spPr>
    </xdr:pic>
    <xdr:clientData/>
  </xdr:twoCellAnchor>
  <xdr:twoCellAnchor>
    <xdr:from>
      <xdr:col>14</xdr:col>
      <xdr:colOff>590551</xdr:colOff>
      <xdr:row>0</xdr:row>
      <xdr:rowOff>19049</xdr:rowOff>
    </xdr:from>
    <xdr:to>
      <xdr:col>16</xdr:col>
      <xdr:colOff>514351</xdr:colOff>
      <xdr:row>3</xdr:row>
      <xdr:rowOff>180974</xdr:rowOff>
    </xdr:to>
    <xdr:sp macro="" textlink="">
      <xdr:nvSpPr>
        <xdr:cNvPr id="9" name="Rectángulo redondeado 8">
          <a:hlinkClick xmlns:r="http://schemas.openxmlformats.org/officeDocument/2006/relationships" r:id="rId9"/>
        </xdr:cNvPr>
        <xdr:cNvSpPr/>
      </xdr:nvSpPr>
      <xdr:spPr>
        <a:xfrm>
          <a:off x="11258551" y="19049"/>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79375</xdr:colOff>
      <xdr:row>15</xdr:row>
      <xdr:rowOff>148167</xdr:rowOff>
    </xdr:from>
    <xdr:to>
      <xdr:col>0</xdr:col>
      <xdr:colOff>1383242</xdr:colOff>
      <xdr:row>18</xdr:row>
      <xdr:rowOff>81492</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00000000-0008-0000-0700-000002000000}"/>
            </a:ext>
          </a:extLst>
        </xdr:cNvPr>
        <xdr:cNvSpPr txBox="1"/>
      </xdr:nvSpPr>
      <xdr:spPr>
        <a:xfrm>
          <a:off x="79375" y="3005667"/>
          <a:ext cx="1303867"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3</xdr:col>
      <xdr:colOff>202143</xdr:colOff>
      <xdr:row>15</xdr:row>
      <xdr:rowOff>87842</xdr:rowOff>
    </xdr:from>
    <xdr:to>
      <xdr:col>4</xdr:col>
      <xdr:colOff>724958</xdr:colOff>
      <xdr:row>18</xdr:row>
      <xdr:rowOff>30692</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00000000-0008-0000-0700-000003000000}"/>
            </a:ext>
          </a:extLst>
        </xdr:cNvPr>
        <xdr:cNvSpPr txBox="1"/>
      </xdr:nvSpPr>
      <xdr:spPr>
        <a:xfrm>
          <a:off x="3278718" y="2945342"/>
          <a:ext cx="1284815"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4</xdr:col>
      <xdr:colOff>1227666</xdr:colOff>
      <xdr:row>15</xdr:row>
      <xdr:rowOff>84668</xdr:rowOff>
    </xdr:from>
    <xdr:to>
      <xdr:col>6</xdr:col>
      <xdr:colOff>39158</xdr:colOff>
      <xdr:row>18</xdr:row>
      <xdr:rowOff>46568</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0000000-0008-0000-0700-000004000000}"/>
            </a:ext>
          </a:extLst>
        </xdr:cNvPr>
        <xdr:cNvSpPr txBox="1"/>
      </xdr:nvSpPr>
      <xdr:spPr>
        <a:xfrm>
          <a:off x="5066241" y="2942168"/>
          <a:ext cx="1259417"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1</xdr:col>
      <xdr:colOff>155573</xdr:colOff>
      <xdr:row>15</xdr:row>
      <xdr:rowOff>3175</xdr:rowOff>
    </xdr:from>
    <xdr:to>
      <xdr:col>2</xdr:col>
      <xdr:colOff>590550</xdr:colOff>
      <xdr:row>18</xdr:row>
      <xdr:rowOff>152400</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00000000-0008-0000-0700-000005000000}"/>
            </a:ext>
          </a:extLst>
        </xdr:cNvPr>
        <xdr:cNvSpPr txBox="1"/>
      </xdr:nvSpPr>
      <xdr:spPr>
        <a:xfrm>
          <a:off x="1708148" y="2860675"/>
          <a:ext cx="1196977" cy="7207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7</xdr:col>
      <xdr:colOff>148167</xdr:colOff>
      <xdr:row>15</xdr:row>
      <xdr:rowOff>21166</xdr:rowOff>
    </xdr:from>
    <xdr:to>
      <xdr:col>10</xdr:col>
      <xdr:colOff>229659</xdr:colOff>
      <xdr:row>18</xdr:row>
      <xdr:rowOff>144991</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700-000006000000}"/>
            </a:ext>
          </a:extLst>
        </xdr:cNvPr>
        <xdr:cNvSpPr txBox="1"/>
      </xdr:nvSpPr>
      <xdr:spPr>
        <a:xfrm>
          <a:off x="6806142" y="2878666"/>
          <a:ext cx="1386417" cy="6953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400">
              <a:solidFill>
                <a:schemeClr val="bg1"/>
              </a:solidFill>
              <a:latin typeface="Soberana Titular" panose="02000000000000000000" pitchFamily="50" charset="0"/>
              <a:cs typeface="Segoe UI Semibold" panose="020B0702040204020203" pitchFamily="34" charset="0"/>
            </a:rPr>
            <a:t>ESTADOS DE RESULTADOS</a:t>
          </a:r>
        </a:p>
      </xdr:txBody>
    </xdr:sp>
    <xdr:clientData/>
  </xdr:twoCellAnchor>
  <xdr:twoCellAnchor>
    <xdr:from>
      <xdr:col>13</xdr:col>
      <xdr:colOff>329141</xdr:colOff>
      <xdr:row>14</xdr:row>
      <xdr:rowOff>155576</xdr:rowOff>
    </xdr:from>
    <xdr:to>
      <xdr:col>15</xdr:col>
      <xdr:colOff>295274</xdr:colOff>
      <xdr:row>18</xdr:row>
      <xdr:rowOff>104775</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00000000-0008-0000-0700-000007000000}"/>
            </a:ext>
          </a:extLst>
        </xdr:cNvPr>
        <xdr:cNvSpPr txBox="1"/>
      </xdr:nvSpPr>
      <xdr:spPr>
        <a:xfrm>
          <a:off x="10349441" y="2822576"/>
          <a:ext cx="1490133" cy="71119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800">
              <a:solidFill>
                <a:schemeClr val="bg1"/>
              </a:solidFill>
              <a:latin typeface="Soberana Titular" panose="02000000000000000000" pitchFamily="50" charset="0"/>
              <a:cs typeface="Segoe UI Semibold" panose="020B0702040204020203" pitchFamily="34" charset="0"/>
            </a:rPr>
            <a:t>BALANCES</a:t>
          </a:r>
          <a:r>
            <a:rPr lang="es-MX" sz="1800" baseline="0">
              <a:solidFill>
                <a:schemeClr val="bg1"/>
              </a:solidFill>
              <a:latin typeface="Soberana Titular" panose="02000000000000000000" pitchFamily="50" charset="0"/>
              <a:cs typeface="Segoe UI Semibold" panose="020B0702040204020203" pitchFamily="34" charset="0"/>
            </a:rPr>
            <a:t> GENERALES</a:t>
          </a:r>
          <a:endParaRPr lang="es-MX" sz="18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11</xdr:col>
      <xdr:colOff>6348</xdr:colOff>
      <xdr:row>15</xdr:row>
      <xdr:rowOff>62444</xdr:rowOff>
    </xdr:from>
    <xdr:to>
      <xdr:col>12</xdr:col>
      <xdr:colOff>621241</xdr:colOff>
      <xdr:row>18</xdr:row>
      <xdr:rowOff>33868</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000000-0008-0000-0700-000008000000}"/>
            </a:ext>
          </a:extLst>
        </xdr:cNvPr>
        <xdr:cNvSpPr txBox="1"/>
      </xdr:nvSpPr>
      <xdr:spPr>
        <a:xfrm>
          <a:off x="8502648" y="2919944"/>
          <a:ext cx="1376893"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13</xdr:col>
      <xdr:colOff>66675</xdr:colOff>
      <xdr:row>7</xdr:row>
      <xdr:rowOff>0</xdr:rowOff>
    </xdr:from>
    <xdr:to>
      <xdr:col>14</xdr:col>
      <xdr:colOff>752475</xdr:colOff>
      <xdr:row>10</xdr:row>
      <xdr:rowOff>161925</xdr:rowOff>
    </xdr:to>
    <xdr:sp macro="" textlink="">
      <xdr:nvSpPr>
        <xdr:cNvPr id="9" name="Rectángulo redondeado 8">
          <a:hlinkClick xmlns:r="http://schemas.openxmlformats.org/officeDocument/2006/relationships" r:id="rId8"/>
        </xdr:cNvPr>
        <xdr:cNvSpPr/>
      </xdr:nvSpPr>
      <xdr:spPr>
        <a:xfrm>
          <a:off x="10086975" y="1333500"/>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4</xdr:row>
      <xdr:rowOff>19050</xdr:rowOff>
    </xdr:from>
    <xdr:to>
      <xdr:col>5</xdr:col>
      <xdr:colOff>714375</xdr:colOff>
      <xdr:row>9</xdr:row>
      <xdr:rowOff>104775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1123950" y="781050"/>
          <a:ext cx="3543300" cy="1038225"/>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fontAlgn="ctr"/>
          <a:r>
            <a:rPr lang="es-MX" sz="1200" b="0" i="0" baseline="0">
              <a:solidFill>
                <a:schemeClr val="tx1"/>
              </a:solidFill>
              <a:effectLst/>
              <a:latin typeface="+mj-lt"/>
              <a:ea typeface="+mn-ea"/>
              <a:cs typeface="+mn-cs"/>
            </a:rPr>
            <a:t>Determinación del monto de la inversión (Io)</a:t>
          </a:r>
        </a:p>
        <a:p>
          <a:pPr algn="ctr" rtl="0" fontAlgn="ctr"/>
          <a:r>
            <a:rPr lang="es-MX" sz="1200" b="0" i="0" baseline="0">
              <a:solidFill>
                <a:schemeClr val="tx1"/>
              </a:solidFill>
              <a:effectLst/>
              <a:latin typeface="+mj-lt"/>
              <a:ea typeface="+mn-ea"/>
              <a:cs typeface="+mn-cs"/>
            </a:rPr>
            <a:t>Tasa mínima de aceptación del proyecto (k) o (Tmar)</a:t>
          </a:r>
        </a:p>
        <a:p>
          <a:pPr algn="ctr" rtl="0" fontAlgn="ctr"/>
          <a:r>
            <a:rPr lang="es-MX" sz="1200" b="0" i="0" baseline="0">
              <a:solidFill>
                <a:schemeClr val="tx1"/>
              </a:solidFill>
              <a:effectLst/>
              <a:latin typeface="+mj-lt"/>
              <a:ea typeface="+mn-ea"/>
              <a:cs typeface="+mn-cs"/>
            </a:rPr>
            <a:t>Vida del proyecto (n)</a:t>
          </a:r>
        </a:p>
        <a:p>
          <a:pPr algn="ctr" rtl="0" fontAlgn="ctr"/>
          <a:r>
            <a:rPr lang="es-MX" sz="1200" b="0" i="0" baseline="0">
              <a:solidFill>
                <a:schemeClr val="tx1"/>
              </a:solidFill>
              <a:effectLst/>
              <a:latin typeface="+mj-lt"/>
              <a:ea typeface="+mn-ea"/>
              <a:cs typeface="+mn-cs"/>
            </a:rPr>
            <a:t>Flujos netos de efectivo (FNE)</a:t>
          </a:r>
        </a:p>
        <a:p>
          <a:pPr algn="ctr" rtl="0" fontAlgn="ctr"/>
          <a:r>
            <a:rPr lang="es-MX" sz="1200" b="0" i="0" baseline="0">
              <a:solidFill>
                <a:schemeClr val="tx1"/>
              </a:solidFill>
              <a:effectLst/>
              <a:latin typeface="+mj-lt"/>
              <a:ea typeface="+mn-ea"/>
              <a:cs typeface="+mn-cs"/>
            </a:rPr>
            <a:t>Aplicación de un método para evaluar proyectos.</a:t>
          </a:r>
        </a:p>
        <a:p>
          <a:endParaRPr lang="es-MX" sz="1100"/>
        </a:p>
      </xdr:txBody>
    </xdr:sp>
    <xdr:clientData/>
  </xdr:twoCellAnchor>
  <xdr:twoCellAnchor>
    <xdr:from>
      <xdr:col>2</xdr:col>
      <xdr:colOff>552450</xdr:colOff>
      <xdr:row>10</xdr:row>
      <xdr:rowOff>171450</xdr:rowOff>
    </xdr:from>
    <xdr:to>
      <xdr:col>8</xdr:col>
      <xdr:colOff>19050</xdr:colOff>
      <xdr:row>12</xdr:row>
      <xdr:rowOff>171450</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2076450" y="2076450"/>
          <a:ext cx="4181475" cy="381000"/>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tx1"/>
              </a:solidFill>
              <a:effectLst/>
              <a:latin typeface="+mj-lt"/>
              <a:ea typeface="+mn-ea"/>
              <a:cs typeface="+mn-cs"/>
            </a:rPr>
            <a:t>De aquí tenemos diferentes métodos para calcular FNE</a:t>
          </a:r>
          <a:endParaRPr lang="es-MX" sz="1100">
            <a:solidFill>
              <a:schemeClr val="tx1"/>
            </a:solidFill>
            <a:latin typeface="+mj-lt"/>
          </a:endParaRPr>
        </a:p>
      </xdr:txBody>
    </xdr:sp>
    <xdr:clientData/>
  </xdr:twoCellAnchor>
  <xdr:twoCellAnchor>
    <xdr:from>
      <xdr:col>1</xdr:col>
      <xdr:colOff>314325</xdr:colOff>
      <xdr:row>14</xdr:row>
      <xdr:rowOff>133349</xdr:rowOff>
    </xdr:from>
    <xdr:to>
      <xdr:col>8</xdr:col>
      <xdr:colOff>942974</xdr:colOff>
      <xdr:row>26</xdr:row>
      <xdr:rowOff>57150</xdr:rowOff>
    </xdr:to>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1076325" y="2800349"/>
          <a:ext cx="6105524" cy="2209801"/>
        </a:xfrm>
        <a:prstGeom prst="rect">
          <a:avLst/>
        </a:prstGeom>
        <a:solidFill>
          <a:schemeClr val="bg1">
            <a:alpha val="54902"/>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aseline="0">
              <a:solidFill>
                <a:schemeClr val="tx1"/>
              </a:solidFill>
              <a:effectLst/>
              <a:latin typeface="+mn-lt"/>
              <a:ea typeface="+mn-ea"/>
              <a:cs typeface="+mn-cs"/>
            </a:rPr>
            <a:t>Mediante recuperación de inversión:</a:t>
          </a:r>
        </a:p>
        <a:p>
          <a:r>
            <a:rPr lang="es-MX" sz="1400" baseline="0">
              <a:solidFill>
                <a:schemeClr val="tx1"/>
              </a:solidFill>
              <a:effectLst/>
              <a:latin typeface="+mn-lt"/>
              <a:ea typeface="+mn-ea"/>
              <a:cs typeface="+mn-cs"/>
            </a:rPr>
            <a:t>	1. Por periodo de recuperación</a:t>
          </a:r>
        </a:p>
        <a:p>
          <a:r>
            <a:rPr lang="es-MX" sz="1400" baseline="0">
              <a:solidFill>
                <a:schemeClr val="tx1"/>
              </a:solidFill>
              <a:effectLst/>
              <a:latin typeface="+mn-lt"/>
              <a:ea typeface="+mn-ea"/>
              <a:cs typeface="+mn-cs"/>
            </a:rPr>
            <a:t>	2. Por periodo de recuperación descontado</a:t>
          </a:r>
        </a:p>
        <a:p>
          <a:r>
            <a:rPr lang="es-MX" sz="1400" baseline="0">
              <a:solidFill>
                <a:schemeClr val="tx1"/>
              </a:solidFill>
              <a:effectLst/>
              <a:latin typeface="+mn-lt"/>
              <a:ea typeface="+mn-ea"/>
              <a:cs typeface="+mn-cs"/>
            </a:rPr>
            <a:t>Mediante criterio contable:</a:t>
          </a:r>
        </a:p>
        <a:p>
          <a:r>
            <a:rPr lang="es-MX" sz="1400" baseline="0">
              <a:solidFill>
                <a:schemeClr val="tx1"/>
              </a:solidFill>
              <a:effectLst/>
              <a:latin typeface="+mn-lt"/>
              <a:ea typeface="+mn-ea"/>
              <a:cs typeface="+mn-cs"/>
            </a:rPr>
            <a:t>	1. Rendimiento anual promedio</a:t>
          </a:r>
        </a:p>
        <a:p>
          <a:r>
            <a:rPr lang="es-MX" sz="1400" baseline="0">
              <a:solidFill>
                <a:schemeClr val="tx1"/>
              </a:solidFill>
              <a:effectLst/>
              <a:latin typeface="+mn-lt"/>
              <a:ea typeface="+mn-ea"/>
              <a:cs typeface="+mn-cs"/>
            </a:rPr>
            <a:t>Mediante de flujos de efectivo descontado</a:t>
          </a:r>
        </a:p>
        <a:p>
          <a:r>
            <a:rPr lang="es-MX" sz="1400" baseline="0">
              <a:solidFill>
                <a:schemeClr val="tx1"/>
              </a:solidFill>
              <a:effectLst/>
              <a:latin typeface="+mn-lt"/>
              <a:ea typeface="+mn-ea"/>
              <a:cs typeface="+mn-cs"/>
            </a:rPr>
            <a:t>	1. Indice de rentabilidad</a:t>
          </a:r>
        </a:p>
        <a:p>
          <a:r>
            <a:rPr lang="es-MX" sz="1400" baseline="0">
              <a:solidFill>
                <a:schemeClr val="tx1"/>
              </a:solidFill>
              <a:effectLst/>
              <a:latin typeface="+mn-lt"/>
              <a:ea typeface="+mn-ea"/>
              <a:cs typeface="+mn-cs"/>
            </a:rPr>
            <a:t>	2. VPN</a:t>
          </a:r>
        </a:p>
        <a:p>
          <a:r>
            <a:rPr lang="es-MX" sz="1400" baseline="0">
              <a:solidFill>
                <a:schemeClr val="tx1"/>
              </a:solidFill>
              <a:effectLst/>
              <a:latin typeface="+mn-lt"/>
              <a:ea typeface="+mn-ea"/>
              <a:cs typeface="+mn-cs"/>
            </a:rPr>
            <a:t>	3. TIR</a:t>
          </a:r>
        </a:p>
        <a:p>
          <a:endParaRPr lang="es-MX" sz="1100">
            <a:solidFill>
              <a:schemeClr val="tx1"/>
            </a:solidFill>
          </a:endParaRPr>
        </a:p>
      </xdr:txBody>
    </xdr:sp>
    <xdr:clientData/>
  </xdr:twoCellAnchor>
  <xdr:twoCellAnchor>
    <xdr:from>
      <xdr:col>6</xdr:col>
      <xdr:colOff>190500</xdr:colOff>
      <xdr:row>4</xdr:row>
      <xdr:rowOff>76199</xdr:rowOff>
    </xdr:from>
    <xdr:to>
      <xdr:col>9</xdr:col>
      <xdr:colOff>66675</xdr:colOff>
      <xdr:row>9</xdr:row>
      <xdr:rowOff>9524</xdr:rowOff>
    </xdr:to>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4905375" y="838199"/>
          <a:ext cx="2381250" cy="885825"/>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fontAlgn="ctr"/>
          <a:r>
            <a:rPr lang="es-MX" sz="1400" b="0" i="0" baseline="0">
              <a:solidFill>
                <a:schemeClr val="tx1"/>
              </a:solidFill>
              <a:effectLst/>
              <a:latin typeface="+mj-lt"/>
              <a:ea typeface="+mn-ea"/>
              <a:cs typeface="+mn-cs"/>
            </a:rPr>
            <a:t>Flujos netos de efectivo (FNE)</a:t>
          </a:r>
        </a:p>
        <a:p>
          <a:pPr algn="ctr" rtl="0" fontAlgn="ctr"/>
          <a:r>
            <a:rPr lang="es-MX" sz="1400" b="0" i="0" baseline="0">
              <a:solidFill>
                <a:schemeClr val="tx1"/>
              </a:solidFill>
              <a:effectLst/>
              <a:latin typeface="+mj-lt"/>
              <a:ea typeface="+mn-ea"/>
              <a:cs typeface="+mn-cs"/>
            </a:rPr>
            <a:t>Aplicación de un método para evaluar proyectos.</a:t>
          </a:r>
        </a:p>
        <a:p>
          <a:endParaRPr lang="es-MX" sz="1100"/>
        </a:p>
      </xdr:txBody>
    </xdr:sp>
    <xdr:clientData/>
  </xdr:twoCellAnchor>
  <xdr:twoCellAnchor>
    <xdr:from>
      <xdr:col>11</xdr:col>
      <xdr:colOff>19050</xdr:colOff>
      <xdr:row>0</xdr:row>
      <xdr:rowOff>47625</xdr:rowOff>
    </xdr:from>
    <xdr:to>
      <xdr:col>13</xdr:col>
      <xdr:colOff>514350</xdr:colOff>
      <xdr:row>2</xdr:row>
      <xdr:rowOff>171450</xdr:rowOff>
    </xdr:to>
    <xdr:sp macro="" textlink="">
      <xdr:nvSpPr>
        <xdr:cNvPr id="7" name="CuadroTexto 6">
          <a:hlinkClick xmlns:r="http://schemas.openxmlformats.org/officeDocument/2006/relationships" r:id="rId1"/>
          <a:extLst>
            <a:ext uri="{FF2B5EF4-FFF2-40B4-BE49-F238E27FC236}">
              <a16:creationId xmlns:a16="http://schemas.microsoft.com/office/drawing/2014/main" id="{00000000-0008-0000-0100-000007000000}"/>
            </a:ext>
          </a:extLst>
        </xdr:cNvPr>
        <xdr:cNvSpPr txBox="1"/>
      </xdr:nvSpPr>
      <xdr:spPr>
        <a:xfrm>
          <a:off x="8763000" y="47625"/>
          <a:ext cx="1809750"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11</xdr:col>
      <xdr:colOff>38101</xdr:colOff>
      <xdr:row>3</xdr:row>
      <xdr:rowOff>85725</xdr:rowOff>
    </xdr:from>
    <xdr:to>
      <xdr:col>13</xdr:col>
      <xdr:colOff>504825</xdr:colOff>
      <xdr:row>6</xdr:row>
      <xdr:rowOff>28575</xdr:rowOff>
    </xdr:to>
    <xdr:sp macro="" textlink="">
      <xdr:nvSpPr>
        <xdr:cNvPr id="8" name="CuadroTexto 7">
          <a:hlinkClick xmlns:r="http://schemas.openxmlformats.org/officeDocument/2006/relationships" r:id="rId2"/>
          <a:extLst>
            <a:ext uri="{FF2B5EF4-FFF2-40B4-BE49-F238E27FC236}">
              <a16:creationId xmlns:a16="http://schemas.microsoft.com/office/drawing/2014/main" id="{00000000-0008-0000-0100-000008000000}"/>
            </a:ext>
          </a:extLst>
        </xdr:cNvPr>
        <xdr:cNvSpPr txBox="1"/>
      </xdr:nvSpPr>
      <xdr:spPr>
        <a:xfrm>
          <a:off x="8782051" y="657225"/>
          <a:ext cx="1781174"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11</xdr:col>
      <xdr:colOff>76198</xdr:colOff>
      <xdr:row>7</xdr:row>
      <xdr:rowOff>1</xdr:rowOff>
    </xdr:from>
    <xdr:to>
      <xdr:col>13</xdr:col>
      <xdr:colOff>495299</xdr:colOff>
      <xdr:row>9</xdr:row>
      <xdr:rowOff>152401</xdr:rowOff>
    </xdr:to>
    <xdr:sp macro="" textlink="">
      <xdr:nvSpPr>
        <xdr:cNvPr id="9" name="CuadroTexto 8">
          <a:hlinkClick xmlns:r="http://schemas.openxmlformats.org/officeDocument/2006/relationships" r:id="rId3"/>
          <a:extLst>
            <a:ext uri="{FF2B5EF4-FFF2-40B4-BE49-F238E27FC236}">
              <a16:creationId xmlns:a16="http://schemas.microsoft.com/office/drawing/2014/main" id="{00000000-0008-0000-0100-000009000000}"/>
            </a:ext>
          </a:extLst>
        </xdr:cNvPr>
        <xdr:cNvSpPr txBox="1"/>
      </xdr:nvSpPr>
      <xdr:spPr>
        <a:xfrm>
          <a:off x="8820148" y="1333501"/>
          <a:ext cx="1733551"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11</xdr:col>
      <xdr:colOff>85725</xdr:colOff>
      <xdr:row>10</xdr:row>
      <xdr:rowOff>152400</xdr:rowOff>
    </xdr:from>
    <xdr:to>
      <xdr:col>13</xdr:col>
      <xdr:colOff>476250</xdr:colOff>
      <xdr:row>14</xdr:row>
      <xdr:rowOff>142875</xdr:rowOff>
    </xdr:to>
    <xdr:sp macro="" textlink="">
      <xdr:nvSpPr>
        <xdr:cNvPr id="10" name="CuadroTexto 9">
          <a:hlinkClick xmlns:r="http://schemas.openxmlformats.org/officeDocument/2006/relationships" r:id="rId4"/>
          <a:extLst>
            <a:ext uri="{FF2B5EF4-FFF2-40B4-BE49-F238E27FC236}">
              <a16:creationId xmlns:a16="http://schemas.microsoft.com/office/drawing/2014/main" id="{00000000-0008-0000-0100-00000A000000}"/>
            </a:ext>
          </a:extLst>
        </xdr:cNvPr>
        <xdr:cNvSpPr txBox="1"/>
      </xdr:nvSpPr>
      <xdr:spPr>
        <a:xfrm>
          <a:off x="8829675" y="2057400"/>
          <a:ext cx="1704975" cy="75247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Estados</a:t>
          </a:r>
          <a:r>
            <a:rPr lang="es-MX" sz="2000" baseline="0">
              <a:solidFill>
                <a:schemeClr val="bg1"/>
              </a:solidFill>
              <a:latin typeface="Soberana Titular" panose="02000000000000000000" pitchFamily="50" charset="0"/>
              <a:cs typeface="Segoe UI Semibold" panose="020B0702040204020203" pitchFamily="34" charset="0"/>
            </a:rPr>
            <a:t> de resultados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11</xdr:col>
      <xdr:colOff>85726</xdr:colOff>
      <xdr:row>15</xdr:row>
      <xdr:rowOff>142875</xdr:rowOff>
    </xdr:from>
    <xdr:to>
      <xdr:col>13</xdr:col>
      <xdr:colOff>495300</xdr:colOff>
      <xdr:row>19</xdr:row>
      <xdr:rowOff>85725</xdr:rowOff>
    </xdr:to>
    <xdr:sp macro="" textlink="">
      <xdr:nvSpPr>
        <xdr:cNvPr id="11" name="CuadroTexto 10">
          <a:hlinkClick xmlns:r="http://schemas.openxmlformats.org/officeDocument/2006/relationships" r:id="rId5"/>
          <a:extLst>
            <a:ext uri="{FF2B5EF4-FFF2-40B4-BE49-F238E27FC236}">
              <a16:creationId xmlns:a16="http://schemas.microsoft.com/office/drawing/2014/main" id="{00000000-0008-0000-0100-00000B000000}"/>
            </a:ext>
          </a:extLst>
        </xdr:cNvPr>
        <xdr:cNvSpPr txBox="1"/>
      </xdr:nvSpPr>
      <xdr:spPr>
        <a:xfrm>
          <a:off x="8829676" y="3000375"/>
          <a:ext cx="1724024"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11</xdr:col>
      <xdr:colOff>114300</xdr:colOff>
      <xdr:row>24</xdr:row>
      <xdr:rowOff>76201</xdr:rowOff>
    </xdr:from>
    <xdr:to>
      <xdr:col>13</xdr:col>
      <xdr:colOff>466725</xdr:colOff>
      <xdr:row>27</xdr:row>
      <xdr:rowOff>19050</xdr:rowOff>
    </xdr:to>
    <xdr:sp macro="" textlink="">
      <xdr:nvSpPr>
        <xdr:cNvPr id="12" name="CuadroTexto 11">
          <a:hlinkClick xmlns:r="http://schemas.openxmlformats.org/officeDocument/2006/relationships" r:id="rId6"/>
          <a:extLst>
            <a:ext uri="{FF2B5EF4-FFF2-40B4-BE49-F238E27FC236}">
              <a16:creationId xmlns:a16="http://schemas.microsoft.com/office/drawing/2014/main" id="{00000000-0008-0000-0100-00000C000000}"/>
            </a:ext>
          </a:extLst>
        </xdr:cNvPr>
        <xdr:cNvSpPr txBox="1"/>
      </xdr:nvSpPr>
      <xdr:spPr>
        <a:xfrm>
          <a:off x="8858250" y="4648201"/>
          <a:ext cx="1666875" cy="51434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11</xdr:col>
      <xdr:colOff>104774</xdr:colOff>
      <xdr:row>20</xdr:row>
      <xdr:rowOff>104776</xdr:rowOff>
    </xdr:from>
    <xdr:to>
      <xdr:col>13</xdr:col>
      <xdr:colOff>495299</xdr:colOff>
      <xdr:row>23</xdr:row>
      <xdr:rowOff>76200</xdr:rowOff>
    </xdr:to>
    <xdr:sp macro="" textlink="">
      <xdr:nvSpPr>
        <xdr:cNvPr id="13" name="CuadroTexto 12">
          <a:hlinkClick xmlns:r="http://schemas.openxmlformats.org/officeDocument/2006/relationships" r:id="rId7"/>
          <a:extLst>
            <a:ext uri="{FF2B5EF4-FFF2-40B4-BE49-F238E27FC236}">
              <a16:creationId xmlns:a16="http://schemas.microsoft.com/office/drawing/2014/main" id="{00000000-0008-0000-0100-00000D000000}"/>
            </a:ext>
          </a:extLst>
        </xdr:cNvPr>
        <xdr:cNvSpPr txBox="1"/>
      </xdr:nvSpPr>
      <xdr:spPr>
        <a:xfrm>
          <a:off x="8848724" y="3914776"/>
          <a:ext cx="1704975"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11</xdr:col>
      <xdr:colOff>266700</xdr:colOff>
      <xdr:row>28</xdr:row>
      <xdr:rowOff>19050</xdr:rowOff>
    </xdr:from>
    <xdr:to>
      <xdr:col>13</xdr:col>
      <xdr:colOff>400050</xdr:colOff>
      <xdr:row>31</xdr:row>
      <xdr:rowOff>180975</xdr:rowOff>
    </xdr:to>
    <xdr:sp macro="" textlink="">
      <xdr:nvSpPr>
        <xdr:cNvPr id="14" name="Rectángulo redondeado 13">
          <a:hlinkClick xmlns:r="http://schemas.openxmlformats.org/officeDocument/2006/relationships" r:id="rId8"/>
        </xdr:cNvPr>
        <xdr:cNvSpPr/>
      </xdr:nvSpPr>
      <xdr:spPr>
        <a:xfrm>
          <a:off x="9010650" y="5353050"/>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19050</xdr:colOff>
      <xdr:row>3</xdr:row>
      <xdr:rowOff>47625</xdr:rowOff>
    </xdr:from>
    <xdr:to>
      <xdr:col>13</xdr:col>
      <xdr:colOff>514350</xdr:colOff>
      <xdr:row>5</xdr:row>
      <xdr:rowOff>171450</xdr:rowOff>
    </xdr:to>
    <xdr:sp macro="" textlink="">
      <xdr:nvSpPr>
        <xdr:cNvPr id="3" name="CuadroTexto 2">
          <a:hlinkClick xmlns:r="http://schemas.openxmlformats.org/officeDocument/2006/relationships" r:id="rId1"/>
          <a:extLst>
            <a:ext uri="{FF2B5EF4-FFF2-40B4-BE49-F238E27FC236}">
              <a16:creationId xmlns:a16="http://schemas.microsoft.com/office/drawing/2014/main" id="{00000000-0008-0000-0200-000003000000}"/>
            </a:ext>
          </a:extLst>
        </xdr:cNvPr>
        <xdr:cNvSpPr txBox="1"/>
      </xdr:nvSpPr>
      <xdr:spPr>
        <a:xfrm>
          <a:off x="8763000" y="47625"/>
          <a:ext cx="1809750"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10</xdr:col>
      <xdr:colOff>733426</xdr:colOff>
      <xdr:row>6</xdr:row>
      <xdr:rowOff>85725</xdr:rowOff>
    </xdr:from>
    <xdr:to>
      <xdr:col>14</xdr:col>
      <xdr:colOff>38100</xdr:colOff>
      <xdr:row>9</xdr:row>
      <xdr:rowOff>28575</xdr:rowOff>
    </xdr:to>
    <xdr:sp macro="" textlink="">
      <xdr:nvSpPr>
        <xdr:cNvPr id="4" name="CuadroTexto 3">
          <a:hlinkClick xmlns:r="http://schemas.openxmlformats.org/officeDocument/2006/relationships" r:id="rId2"/>
          <a:extLst>
            <a:ext uri="{FF2B5EF4-FFF2-40B4-BE49-F238E27FC236}">
              <a16:creationId xmlns:a16="http://schemas.microsoft.com/office/drawing/2014/main" id="{00000000-0008-0000-0200-000004000000}"/>
            </a:ext>
          </a:extLst>
        </xdr:cNvPr>
        <xdr:cNvSpPr txBox="1"/>
      </xdr:nvSpPr>
      <xdr:spPr>
        <a:xfrm>
          <a:off x="8353426" y="1228725"/>
          <a:ext cx="1819274"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11</xdr:col>
      <xdr:colOff>76198</xdr:colOff>
      <xdr:row>10</xdr:row>
      <xdr:rowOff>1</xdr:rowOff>
    </xdr:from>
    <xdr:to>
      <xdr:col>13</xdr:col>
      <xdr:colOff>495299</xdr:colOff>
      <xdr:row>12</xdr:row>
      <xdr:rowOff>152401</xdr:rowOff>
    </xdr:to>
    <xdr:sp macro="" textlink="">
      <xdr:nvSpPr>
        <xdr:cNvPr id="5" name="CuadroTexto 4">
          <a:hlinkClick xmlns:r="http://schemas.openxmlformats.org/officeDocument/2006/relationships" r:id="rId3"/>
          <a:extLst>
            <a:ext uri="{FF2B5EF4-FFF2-40B4-BE49-F238E27FC236}">
              <a16:creationId xmlns:a16="http://schemas.microsoft.com/office/drawing/2014/main" id="{00000000-0008-0000-0200-000005000000}"/>
            </a:ext>
          </a:extLst>
        </xdr:cNvPr>
        <xdr:cNvSpPr txBox="1"/>
      </xdr:nvSpPr>
      <xdr:spPr>
        <a:xfrm>
          <a:off x="8820148" y="1333501"/>
          <a:ext cx="1733551"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11</xdr:col>
      <xdr:colOff>85725</xdr:colOff>
      <xdr:row>13</xdr:row>
      <xdr:rowOff>152400</xdr:rowOff>
    </xdr:from>
    <xdr:to>
      <xdr:col>13</xdr:col>
      <xdr:colOff>476250</xdr:colOff>
      <xdr:row>17</xdr:row>
      <xdr:rowOff>142875</xdr:rowOff>
    </xdr:to>
    <xdr:sp macro="" textlink="">
      <xdr:nvSpPr>
        <xdr:cNvPr id="6" name="CuadroTexto 5">
          <a:hlinkClick xmlns:r="http://schemas.openxmlformats.org/officeDocument/2006/relationships" r:id="rId4"/>
          <a:extLst>
            <a:ext uri="{FF2B5EF4-FFF2-40B4-BE49-F238E27FC236}">
              <a16:creationId xmlns:a16="http://schemas.microsoft.com/office/drawing/2014/main" id="{00000000-0008-0000-0200-000006000000}"/>
            </a:ext>
          </a:extLst>
        </xdr:cNvPr>
        <xdr:cNvSpPr txBox="1"/>
      </xdr:nvSpPr>
      <xdr:spPr>
        <a:xfrm>
          <a:off x="8829675" y="2057400"/>
          <a:ext cx="1704975" cy="75247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Estados</a:t>
          </a:r>
          <a:r>
            <a:rPr lang="es-MX" sz="2000" baseline="0">
              <a:solidFill>
                <a:schemeClr val="bg1"/>
              </a:solidFill>
              <a:latin typeface="Soberana Titular" panose="02000000000000000000" pitchFamily="50" charset="0"/>
              <a:cs typeface="Segoe UI Semibold" panose="020B0702040204020203" pitchFamily="34" charset="0"/>
            </a:rPr>
            <a:t> de resultados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11</xdr:col>
      <xdr:colOff>85726</xdr:colOff>
      <xdr:row>18</xdr:row>
      <xdr:rowOff>142875</xdr:rowOff>
    </xdr:from>
    <xdr:to>
      <xdr:col>13</xdr:col>
      <xdr:colOff>495300</xdr:colOff>
      <xdr:row>22</xdr:row>
      <xdr:rowOff>85725</xdr:rowOff>
    </xdr:to>
    <xdr:sp macro="" textlink="">
      <xdr:nvSpPr>
        <xdr:cNvPr id="7" name="CuadroTexto 6">
          <a:hlinkClick xmlns:r="http://schemas.openxmlformats.org/officeDocument/2006/relationships" r:id="rId5"/>
          <a:extLst>
            <a:ext uri="{FF2B5EF4-FFF2-40B4-BE49-F238E27FC236}">
              <a16:creationId xmlns:a16="http://schemas.microsoft.com/office/drawing/2014/main" id="{00000000-0008-0000-0200-000007000000}"/>
            </a:ext>
          </a:extLst>
        </xdr:cNvPr>
        <xdr:cNvSpPr txBox="1"/>
      </xdr:nvSpPr>
      <xdr:spPr>
        <a:xfrm>
          <a:off x="8829676" y="3000375"/>
          <a:ext cx="1724024"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11</xdr:col>
      <xdr:colOff>114300</xdr:colOff>
      <xdr:row>27</xdr:row>
      <xdr:rowOff>76201</xdr:rowOff>
    </xdr:from>
    <xdr:to>
      <xdr:col>13</xdr:col>
      <xdr:colOff>466725</xdr:colOff>
      <xdr:row>30</xdr:row>
      <xdr:rowOff>19050</xdr:rowOff>
    </xdr:to>
    <xdr:sp macro="" textlink="">
      <xdr:nvSpPr>
        <xdr:cNvPr id="8" name="CuadroTexto 7">
          <a:hlinkClick xmlns:r="http://schemas.openxmlformats.org/officeDocument/2006/relationships" r:id="rId6"/>
          <a:extLst>
            <a:ext uri="{FF2B5EF4-FFF2-40B4-BE49-F238E27FC236}">
              <a16:creationId xmlns:a16="http://schemas.microsoft.com/office/drawing/2014/main" id="{00000000-0008-0000-0200-000008000000}"/>
            </a:ext>
          </a:extLst>
        </xdr:cNvPr>
        <xdr:cNvSpPr txBox="1"/>
      </xdr:nvSpPr>
      <xdr:spPr>
        <a:xfrm>
          <a:off x="8858250" y="4648201"/>
          <a:ext cx="1666875" cy="51434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11</xdr:col>
      <xdr:colOff>104774</xdr:colOff>
      <xdr:row>23</xdr:row>
      <xdr:rowOff>104776</xdr:rowOff>
    </xdr:from>
    <xdr:to>
      <xdr:col>13</xdr:col>
      <xdr:colOff>495299</xdr:colOff>
      <xdr:row>26</xdr:row>
      <xdr:rowOff>76200</xdr:rowOff>
    </xdr:to>
    <xdr:sp macro="" textlink="">
      <xdr:nvSpPr>
        <xdr:cNvPr id="9" name="CuadroTexto 8">
          <a:hlinkClick xmlns:r="http://schemas.openxmlformats.org/officeDocument/2006/relationships" r:id="rId7"/>
          <a:extLst>
            <a:ext uri="{FF2B5EF4-FFF2-40B4-BE49-F238E27FC236}">
              <a16:creationId xmlns:a16="http://schemas.microsoft.com/office/drawing/2014/main" id="{00000000-0008-0000-0200-000009000000}"/>
            </a:ext>
          </a:extLst>
        </xdr:cNvPr>
        <xdr:cNvSpPr txBox="1"/>
      </xdr:nvSpPr>
      <xdr:spPr>
        <a:xfrm>
          <a:off x="8848724" y="3914776"/>
          <a:ext cx="1704975"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11</xdr:col>
      <xdr:colOff>133350</xdr:colOff>
      <xdr:row>31</xdr:row>
      <xdr:rowOff>0</xdr:rowOff>
    </xdr:from>
    <xdr:to>
      <xdr:col>13</xdr:col>
      <xdr:colOff>352425</xdr:colOff>
      <xdr:row>34</xdr:row>
      <xdr:rowOff>161925</xdr:rowOff>
    </xdr:to>
    <xdr:sp macro="" textlink="">
      <xdr:nvSpPr>
        <xdr:cNvPr id="10" name="Rectángulo redondeado 9">
          <a:hlinkClick xmlns:r="http://schemas.openxmlformats.org/officeDocument/2006/relationships" r:id="rId8"/>
        </xdr:cNvPr>
        <xdr:cNvSpPr/>
      </xdr:nvSpPr>
      <xdr:spPr>
        <a:xfrm>
          <a:off x="8515350" y="5905500"/>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40773</xdr:colOff>
      <xdr:row>1</xdr:row>
      <xdr:rowOff>180752</xdr:rowOff>
    </xdr:from>
    <xdr:to>
      <xdr:col>0</xdr:col>
      <xdr:colOff>1344640</xdr:colOff>
      <xdr:row>4</xdr:row>
      <xdr:rowOff>114077</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00000000-0008-0000-0300-000002000000}"/>
            </a:ext>
          </a:extLst>
        </xdr:cNvPr>
        <xdr:cNvSpPr txBox="1"/>
      </xdr:nvSpPr>
      <xdr:spPr>
        <a:xfrm>
          <a:off x="40773" y="371252"/>
          <a:ext cx="1303867"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0</xdr:col>
      <xdr:colOff>59267</xdr:colOff>
      <xdr:row>4</xdr:row>
      <xdr:rowOff>180475</xdr:rowOff>
    </xdr:from>
    <xdr:to>
      <xdr:col>0</xdr:col>
      <xdr:colOff>1353552</xdr:colOff>
      <xdr:row>8</xdr:row>
      <xdr:rowOff>50133</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00000000-0008-0000-0300-000003000000}"/>
            </a:ext>
          </a:extLst>
        </xdr:cNvPr>
        <xdr:cNvSpPr txBox="1"/>
      </xdr:nvSpPr>
      <xdr:spPr>
        <a:xfrm>
          <a:off x="59267" y="942475"/>
          <a:ext cx="1294285" cy="631658"/>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6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0</xdr:col>
      <xdr:colOff>84666</xdr:colOff>
      <xdr:row>8</xdr:row>
      <xdr:rowOff>179918</xdr:rowOff>
    </xdr:from>
    <xdr:to>
      <xdr:col>0</xdr:col>
      <xdr:colOff>1344083</xdr:colOff>
      <xdr:row>11</xdr:row>
      <xdr:rowOff>141818</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0000000-0008-0000-0300-000004000000}"/>
            </a:ext>
          </a:extLst>
        </xdr:cNvPr>
        <xdr:cNvSpPr txBox="1"/>
      </xdr:nvSpPr>
      <xdr:spPr>
        <a:xfrm>
          <a:off x="84666" y="1703918"/>
          <a:ext cx="1259417"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0</xdr:col>
      <xdr:colOff>22224</xdr:colOff>
      <xdr:row>12</xdr:row>
      <xdr:rowOff>88900</xdr:rowOff>
    </xdr:from>
    <xdr:to>
      <xdr:col>0</xdr:col>
      <xdr:colOff>1449916</xdr:colOff>
      <xdr:row>16</xdr:row>
      <xdr:rowOff>79375</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00000000-0008-0000-0300-000005000000}"/>
            </a:ext>
          </a:extLst>
        </xdr:cNvPr>
        <xdr:cNvSpPr txBox="1"/>
      </xdr:nvSpPr>
      <xdr:spPr>
        <a:xfrm>
          <a:off x="22224" y="2374900"/>
          <a:ext cx="1427692" cy="75247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Estados</a:t>
          </a:r>
          <a:r>
            <a:rPr lang="es-MX" sz="2000" baseline="0">
              <a:solidFill>
                <a:schemeClr val="bg1"/>
              </a:solidFill>
              <a:latin typeface="Soberana Titular" panose="02000000000000000000" pitchFamily="50" charset="0"/>
              <a:cs typeface="Segoe UI Semibold" panose="020B0702040204020203" pitchFamily="34" charset="0"/>
            </a:rPr>
            <a:t> de resultados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0</xdr:col>
      <xdr:colOff>52917</xdr:colOff>
      <xdr:row>17</xdr:row>
      <xdr:rowOff>68791</xdr:rowOff>
    </xdr:from>
    <xdr:to>
      <xdr:col>0</xdr:col>
      <xdr:colOff>1439334</xdr:colOff>
      <xdr:row>21</xdr:row>
      <xdr:rowOff>11641</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300-000006000000}"/>
            </a:ext>
          </a:extLst>
        </xdr:cNvPr>
        <xdr:cNvSpPr txBox="1"/>
      </xdr:nvSpPr>
      <xdr:spPr>
        <a:xfrm>
          <a:off x="52917" y="3307291"/>
          <a:ext cx="1386417"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0</xdr:col>
      <xdr:colOff>71967</xdr:colOff>
      <xdr:row>25</xdr:row>
      <xdr:rowOff>107951</xdr:rowOff>
    </xdr:from>
    <xdr:to>
      <xdr:col>0</xdr:col>
      <xdr:colOff>1513417</xdr:colOff>
      <xdr:row>28</xdr:row>
      <xdr:rowOff>50800</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00000000-0008-0000-0300-000007000000}"/>
            </a:ext>
          </a:extLst>
        </xdr:cNvPr>
        <xdr:cNvSpPr txBox="1"/>
      </xdr:nvSpPr>
      <xdr:spPr>
        <a:xfrm>
          <a:off x="71967" y="4870451"/>
          <a:ext cx="1441450" cy="51434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0</xdr:col>
      <xdr:colOff>73023</xdr:colOff>
      <xdr:row>21</xdr:row>
      <xdr:rowOff>157694</xdr:rowOff>
    </xdr:from>
    <xdr:to>
      <xdr:col>0</xdr:col>
      <xdr:colOff>1449916</xdr:colOff>
      <xdr:row>24</xdr:row>
      <xdr:rowOff>129118</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000000-0008-0000-0300-000008000000}"/>
            </a:ext>
          </a:extLst>
        </xdr:cNvPr>
        <xdr:cNvSpPr txBox="1"/>
      </xdr:nvSpPr>
      <xdr:spPr>
        <a:xfrm>
          <a:off x="73023" y="4158194"/>
          <a:ext cx="1376893"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0</xdr:col>
      <xdr:colOff>33618</xdr:colOff>
      <xdr:row>28</xdr:row>
      <xdr:rowOff>201706</xdr:rowOff>
    </xdr:from>
    <xdr:to>
      <xdr:col>0</xdr:col>
      <xdr:colOff>1481418</xdr:colOff>
      <xdr:row>31</xdr:row>
      <xdr:rowOff>251573</xdr:rowOff>
    </xdr:to>
    <xdr:sp macro="" textlink="">
      <xdr:nvSpPr>
        <xdr:cNvPr id="9" name="Rectángulo redondeado 8">
          <a:hlinkClick xmlns:r="http://schemas.openxmlformats.org/officeDocument/2006/relationships" r:id="rId8"/>
        </xdr:cNvPr>
        <xdr:cNvSpPr/>
      </xdr:nvSpPr>
      <xdr:spPr>
        <a:xfrm>
          <a:off x="33618" y="5670177"/>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4761</xdr:colOff>
      <xdr:row>69</xdr:row>
      <xdr:rowOff>185737</xdr:rowOff>
    </xdr:from>
    <xdr:to>
      <xdr:col>5</xdr:col>
      <xdr:colOff>1314449</xdr:colOff>
      <xdr:row>86</xdr:row>
      <xdr:rowOff>161925</xdr:rowOff>
    </xdr:to>
    <xdr:graphicFrame macro="">
      <xdr:nvGraphicFramePr>
        <xdr:cNvPr id="42" name="Gráfico 41">
          <a:extLst>
            <a:ext uri="{FF2B5EF4-FFF2-40B4-BE49-F238E27FC236}">
              <a16:creationId xmlns:a16="http://schemas.microsoft.com/office/drawing/2014/main" id="{E6EB223D-2D8A-419D-977D-48E119ADB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70</xdr:row>
      <xdr:rowOff>0</xdr:rowOff>
    </xdr:from>
    <xdr:to>
      <xdr:col>12</xdr:col>
      <xdr:colOff>9525</xdr:colOff>
      <xdr:row>86</xdr:row>
      <xdr:rowOff>166688</xdr:rowOff>
    </xdr:to>
    <xdr:graphicFrame macro="">
      <xdr:nvGraphicFramePr>
        <xdr:cNvPr id="43" name="Gráfico 42">
          <a:extLst>
            <a:ext uri="{FF2B5EF4-FFF2-40B4-BE49-F238E27FC236}">
              <a16:creationId xmlns:a16="http://schemas.microsoft.com/office/drawing/2014/main" id="{5D2AB2FE-877F-4439-A1FF-3F978A430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70</xdr:row>
      <xdr:rowOff>0</xdr:rowOff>
    </xdr:from>
    <xdr:to>
      <xdr:col>19</xdr:col>
      <xdr:colOff>333375</xdr:colOff>
      <xdr:row>86</xdr:row>
      <xdr:rowOff>166688</xdr:rowOff>
    </xdr:to>
    <xdr:graphicFrame macro="">
      <xdr:nvGraphicFramePr>
        <xdr:cNvPr id="44" name="Gráfico 43">
          <a:extLst>
            <a:ext uri="{FF2B5EF4-FFF2-40B4-BE49-F238E27FC236}">
              <a16:creationId xmlns:a16="http://schemas.microsoft.com/office/drawing/2014/main" id="{7E773D6B-C0C4-4E0F-BB8E-ECE9AAFEE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761999</xdr:colOff>
      <xdr:row>89</xdr:row>
      <xdr:rowOff>0</xdr:rowOff>
    </xdr:from>
    <xdr:to>
      <xdr:col>5</xdr:col>
      <xdr:colOff>1314449</xdr:colOff>
      <xdr:row>105</xdr:row>
      <xdr:rowOff>166688</xdr:rowOff>
    </xdr:to>
    <xdr:graphicFrame macro="">
      <xdr:nvGraphicFramePr>
        <xdr:cNvPr id="45" name="Gráfico 44">
          <a:extLst>
            <a:ext uri="{FF2B5EF4-FFF2-40B4-BE49-F238E27FC236}">
              <a16:creationId xmlns:a16="http://schemas.microsoft.com/office/drawing/2014/main" id="{D29DD2B1-71E8-4AFB-B029-A0CE9D647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89</xdr:row>
      <xdr:rowOff>0</xdr:rowOff>
    </xdr:from>
    <xdr:to>
      <xdr:col>12</xdr:col>
      <xdr:colOff>9525</xdr:colOff>
      <xdr:row>105</xdr:row>
      <xdr:rowOff>166688</xdr:rowOff>
    </xdr:to>
    <xdr:graphicFrame macro="">
      <xdr:nvGraphicFramePr>
        <xdr:cNvPr id="46" name="Gráfico 45">
          <a:extLst>
            <a:ext uri="{FF2B5EF4-FFF2-40B4-BE49-F238E27FC236}">
              <a16:creationId xmlns:a16="http://schemas.microsoft.com/office/drawing/2014/main" id="{FF514DF6-BCDA-437E-8DB7-2132776CA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89</xdr:row>
      <xdr:rowOff>0</xdr:rowOff>
    </xdr:from>
    <xdr:to>
      <xdr:col>19</xdr:col>
      <xdr:colOff>333375</xdr:colOff>
      <xdr:row>105</xdr:row>
      <xdr:rowOff>166688</xdr:rowOff>
    </xdr:to>
    <xdr:graphicFrame macro="">
      <xdr:nvGraphicFramePr>
        <xdr:cNvPr id="47" name="Gráfico 46">
          <a:extLst>
            <a:ext uri="{FF2B5EF4-FFF2-40B4-BE49-F238E27FC236}">
              <a16:creationId xmlns:a16="http://schemas.microsoft.com/office/drawing/2014/main" id="{BEE0059E-2756-4D34-95F6-9F768A779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752474</xdr:colOff>
      <xdr:row>108</xdr:row>
      <xdr:rowOff>9525</xdr:rowOff>
    </xdr:from>
    <xdr:to>
      <xdr:col>5</xdr:col>
      <xdr:colOff>1304924</xdr:colOff>
      <xdr:row>124</xdr:row>
      <xdr:rowOff>176213</xdr:rowOff>
    </xdr:to>
    <xdr:graphicFrame macro="">
      <xdr:nvGraphicFramePr>
        <xdr:cNvPr id="48" name="Gráfico 47">
          <a:extLst>
            <a:ext uri="{FF2B5EF4-FFF2-40B4-BE49-F238E27FC236}">
              <a16:creationId xmlns:a16="http://schemas.microsoft.com/office/drawing/2014/main" id="{C18E9C82-0596-4394-A4D6-2558DB5F9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xdr:colOff>
      <xdr:row>108</xdr:row>
      <xdr:rowOff>0</xdr:rowOff>
    </xdr:from>
    <xdr:to>
      <xdr:col>12</xdr:col>
      <xdr:colOff>9526</xdr:colOff>
      <xdr:row>124</xdr:row>
      <xdr:rowOff>166688</xdr:rowOff>
    </xdr:to>
    <xdr:graphicFrame macro="">
      <xdr:nvGraphicFramePr>
        <xdr:cNvPr id="49" name="Gráfico 48">
          <a:extLst>
            <a:ext uri="{FF2B5EF4-FFF2-40B4-BE49-F238E27FC236}">
              <a16:creationId xmlns:a16="http://schemas.microsoft.com/office/drawing/2014/main" id="{3CB9BC71-642B-4D92-8055-8B8EEB1AB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108</xdr:row>
      <xdr:rowOff>0</xdr:rowOff>
    </xdr:from>
    <xdr:to>
      <xdr:col>19</xdr:col>
      <xdr:colOff>333375</xdr:colOff>
      <xdr:row>124</xdr:row>
      <xdr:rowOff>166688</xdr:rowOff>
    </xdr:to>
    <xdr:graphicFrame macro="">
      <xdr:nvGraphicFramePr>
        <xdr:cNvPr id="50" name="Gráfico 49">
          <a:extLst>
            <a:ext uri="{FF2B5EF4-FFF2-40B4-BE49-F238E27FC236}">
              <a16:creationId xmlns:a16="http://schemas.microsoft.com/office/drawing/2014/main" id="{2019DA91-A79D-4B98-90F6-3FE26D9FF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127</xdr:row>
      <xdr:rowOff>0</xdr:rowOff>
    </xdr:from>
    <xdr:to>
      <xdr:col>5</xdr:col>
      <xdr:colOff>981075</xdr:colOff>
      <xdr:row>143</xdr:row>
      <xdr:rowOff>166688</xdr:rowOff>
    </xdr:to>
    <xdr:graphicFrame macro="">
      <xdr:nvGraphicFramePr>
        <xdr:cNvPr id="51" name="Gráfico 50">
          <a:extLst>
            <a:ext uri="{FF2B5EF4-FFF2-40B4-BE49-F238E27FC236}">
              <a16:creationId xmlns:a16="http://schemas.microsoft.com/office/drawing/2014/main" id="{D6E5654C-748B-4CDA-A506-850F5EC1A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40773</xdr:colOff>
      <xdr:row>1</xdr:row>
      <xdr:rowOff>180752</xdr:rowOff>
    </xdr:from>
    <xdr:to>
      <xdr:col>0</xdr:col>
      <xdr:colOff>1344640</xdr:colOff>
      <xdr:row>4</xdr:row>
      <xdr:rowOff>114077</xdr:rowOff>
    </xdr:to>
    <xdr:sp macro="" textlink="">
      <xdr:nvSpPr>
        <xdr:cNvPr id="52" name="CuadroTexto 51">
          <a:hlinkClick xmlns:r="http://schemas.openxmlformats.org/officeDocument/2006/relationships" r:id="rId11"/>
          <a:extLst>
            <a:ext uri="{FF2B5EF4-FFF2-40B4-BE49-F238E27FC236}">
              <a16:creationId xmlns:a16="http://schemas.microsoft.com/office/drawing/2014/main" id="{00000000-0008-0000-0300-000002000000}"/>
            </a:ext>
          </a:extLst>
        </xdr:cNvPr>
        <xdr:cNvSpPr txBox="1"/>
      </xdr:nvSpPr>
      <xdr:spPr>
        <a:xfrm>
          <a:off x="40773" y="371252"/>
          <a:ext cx="1303867"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0</xdr:col>
      <xdr:colOff>59267</xdr:colOff>
      <xdr:row>4</xdr:row>
      <xdr:rowOff>180475</xdr:rowOff>
    </xdr:from>
    <xdr:to>
      <xdr:col>0</xdr:col>
      <xdr:colOff>1353552</xdr:colOff>
      <xdr:row>8</xdr:row>
      <xdr:rowOff>50133</xdr:rowOff>
    </xdr:to>
    <xdr:sp macro="" textlink="">
      <xdr:nvSpPr>
        <xdr:cNvPr id="53" name="CuadroTexto 52">
          <a:hlinkClick xmlns:r="http://schemas.openxmlformats.org/officeDocument/2006/relationships" r:id="rId12"/>
          <a:extLst>
            <a:ext uri="{FF2B5EF4-FFF2-40B4-BE49-F238E27FC236}">
              <a16:creationId xmlns:a16="http://schemas.microsoft.com/office/drawing/2014/main" id="{00000000-0008-0000-0300-000003000000}"/>
            </a:ext>
          </a:extLst>
        </xdr:cNvPr>
        <xdr:cNvSpPr txBox="1"/>
      </xdr:nvSpPr>
      <xdr:spPr>
        <a:xfrm>
          <a:off x="59267" y="942475"/>
          <a:ext cx="1294285" cy="631658"/>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6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0</xdr:col>
      <xdr:colOff>84666</xdr:colOff>
      <xdr:row>8</xdr:row>
      <xdr:rowOff>179918</xdr:rowOff>
    </xdr:from>
    <xdr:to>
      <xdr:col>0</xdr:col>
      <xdr:colOff>1344083</xdr:colOff>
      <xdr:row>11</xdr:row>
      <xdr:rowOff>141818</xdr:rowOff>
    </xdr:to>
    <xdr:sp macro="" textlink="">
      <xdr:nvSpPr>
        <xdr:cNvPr id="54" name="CuadroTexto 53">
          <a:hlinkClick xmlns:r="http://schemas.openxmlformats.org/officeDocument/2006/relationships" r:id="rId13"/>
          <a:extLst>
            <a:ext uri="{FF2B5EF4-FFF2-40B4-BE49-F238E27FC236}">
              <a16:creationId xmlns:a16="http://schemas.microsoft.com/office/drawing/2014/main" id="{00000000-0008-0000-0300-000004000000}"/>
            </a:ext>
          </a:extLst>
        </xdr:cNvPr>
        <xdr:cNvSpPr txBox="1"/>
      </xdr:nvSpPr>
      <xdr:spPr>
        <a:xfrm>
          <a:off x="84666" y="1703918"/>
          <a:ext cx="1259417"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0</xdr:col>
      <xdr:colOff>22224</xdr:colOff>
      <xdr:row>12</xdr:row>
      <xdr:rowOff>88900</xdr:rowOff>
    </xdr:from>
    <xdr:to>
      <xdr:col>0</xdr:col>
      <xdr:colOff>1449916</xdr:colOff>
      <xdr:row>16</xdr:row>
      <xdr:rowOff>79375</xdr:rowOff>
    </xdr:to>
    <xdr:sp macro="" textlink="">
      <xdr:nvSpPr>
        <xdr:cNvPr id="55" name="CuadroTexto 54">
          <a:hlinkClick xmlns:r="http://schemas.openxmlformats.org/officeDocument/2006/relationships" r:id="rId14"/>
          <a:extLst>
            <a:ext uri="{FF2B5EF4-FFF2-40B4-BE49-F238E27FC236}">
              <a16:creationId xmlns:a16="http://schemas.microsoft.com/office/drawing/2014/main" id="{00000000-0008-0000-0300-000005000000}"/>
            </a:ext>
          </a:extLst>
        </xdr:cNvPr>
        <xdr:cNvSpPr txBox="1"/>
      </xdr:nvSpPr>
      <xdr:spPr>
        <a:xfrm>
          <a:off x="22224" y="2374900"/>
          <a:ext cx="1427692" cy="75247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Estados</a:t>
          </a:r>
          <a:r>
            <a:rPr lang="es-MX" sz="2000" baseline="0">
              <a:solidFill>
                <a:schemeClr val="bg1"/>
              </a:solidFill>
              <a:latin typeface="Soberana Titular" panose="02000000000000000000" pitchFamily="50" charset="0"/>
              <a:cs typeface="Segoe UI Semibold" panose="020B0702040204020203" pitchFamily="34" charset="0"/>
            </a:rPr>
            <a:t> de resultados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0</xdr:col>
      <xdr:colOff>52917</xdr:colOff>
      <xdr:row>17</xdr:row>
      <xdr:rowOff>68791</xdr:rowOff>
    </xdr:from>
    <xdr:to>
      <xdr:col>0</xdr:col>
      <xdr:colOff>1439334</xdr:colOff>
      <xdr:row>21</xdr:row>
      <xdr:rowOff>11641</xdr:rowOff>
    </xdr:to>
    <xdr:sp macro="" textlink="">
      <xdr:nvSpPr>
        <xdr:cNvPr id="56" name="CuadroTexto 55">
          <a:hlinkClick xmlns:r="http://schemas.openxmlformats.org/officeDocument/2006/relationships" r:id="rId15"/>
          <a:extLst>
            <a:ext uri="{FF2B5EF4-FFF2-40B4-BE49-F238E27FC236}">
              <a16:creationId xmlns:a16="http://schemas.microsoft.com/office/drawing/2014/main" id="{00000000-0008-0000-0300-000006000000}"/>
            </a:ext>
          </a:extLst>
        </xdr:cNvPr>
        <xdr:cNvSpPr txBox="1"/>
      </xdr:nvSpPr>
      <xdr:spPr>
        <a:xfrm>
          <a:off x="52917" y="3307291"/>
          <a:ext cx="1386417"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0</xdr:col>
      <xdr:colOff>71967</xdr:colOff>
      <xdr:row>25</xdr:row>
      <xdr:rowOff>107951</xdr:rowOff>
    </xdr:from>
    <xdr:to>
      <xdr:col>0</xdr:col>
      <xdr:colOff>1513417</xdr:colOff>
      <xdr:row>28</xdr:row>
      <xdr:rowOff>50800</xdr:rowOff>
    </xdr:to>
    <xdr:sp macro="" textlink="">
      <xdr:nvSpPr>
        <xdr:cNvPr id="57" name="CuadroTexto 56">
          <a:hlinkClick xmlns:r="http://schemas.openxmlformats.org/officeDocument/2006/relationships" r:id="rId16"/>
          <a:extLst>
            <a:ext uri="{FF2B5EF4-FFF2-40B4-BE49-F238E27FC236}">
              <a16:creationId xmlns:a16="http://schemas.microsoft.com/office/drawing/2014/main" id="{00000000-0008-0000-0300-000007000000}"/>
            </a:ext>
          </a:extLst>
        </xdr:cNvPr>
        <xdr:cNvSpPr txBox="1"/>
      </xdr:nvSpPr>
      <xdr:spPr>
        <a:xfrm>
          <a:off x="71967" y="4927601"/>
          <a:ext cx="1441450" cy="5810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0</xdr:col>
      <xdr:colOff>73023</xdr:colOff>
      <xdr:row>21</xdr:row>
      <xdr:rowOff>157694</xdr:rowOff>
    </xdr:from>
    <xdr:to>
      <xdr:col>0</xdr:col>
      <xdr:colOff>1449916</xdr:colOff>
      <xdr:row>24</xdr:row>
      <xdr:rowOff>129118</xdr:rowOff>
    </xdr:to>
    <xdr:sp macro="" textlink="">
      <xdr:nvSpPr>
        <xdr:cNvPr id="58" name="CuadroTexto 57">
          <a:hlinkClick xmlns:r="http://schemas.openxmlformats.org/officeDocument/2006/relationships" r:id="rId17"/>
          <a:extLst>
            <a:ext uri="{FF2B5EF4-FFF2-40B4-BE49-F238E27FC236}">
              <a16:creationId xmlns:a16="http://schemas.microsoft.com/office/drawing/2014/main" id="{00000000-0008-0000-0300-000008000000}"/>
            </a:ext>
          </a:extLst>
        </xdr:cNvPr>
        <xdr:cNvSpPr txBox="1"/>
      </xdr:nvSpPr>
      <xdr:spPr>
        <a:xfrm>
          <a:off x="73023" y="4158194"/>
          <a:ext cx="1376893" cy="5810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7</xdr:col>
      <xdr:colOff>381000</xdr:colOff>
      <xdr:row>127</xdr:row>
      <xdr:rowOff>66675</xdr:rowOff>
    </xdr:from>
    <xdr:to>
      <xdr:col>8</xdr:col>
      <xdr:colOff>428625</xdr:colOff>
      <xdr:row>133</xdr:row>
      <xdr:rowOff>180975</xdr:rowOff>
    </xdr:to>
    <xdr:sp macro="" textlink="">
      <xdr:nvSpPr>
        <xdr:cNvPr id="59" name="Flecha derecha 58">
          <a:hlinkClick xmlns:r="http://schemas.openxmlformats.org/officeDocument/2006/relationships" r:id="rId18"/>
        </xdr:cNvPr>
        <xdr:cNvSpPr/>
      </xdr:nvSpPr>
      <xdr:spPr>
        <a:xfrm rot="16200000">
          <a:off x="7315200" y="24898350"/>
          <a:ext cx="1257300" cy="9715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s-MX" sz="2400"/>
            <a:t>INICIO</a:t>
          </a:r>
        </a:p>
      </xdr:txBody>
    </xdr:sp>
    <xdr:clientData/>
  </xdr:twoCellAnchor>
  <xdr:twoCellAnchor>
    <xdr:from>
      <xdr:col>0</xdr:col>
      <xdr:colOff>257175</xdr:colOff>
      <xdr:row>58</xdr:row>
      <xdr:rowOff>180975</xdr:rowOff>
    </xdr:from>
    <xdr:to>
      <xdr:col>0</xdr:col>
      <xdr:colOff>1228725</xdr:colOff>
      <xdr:row>64</xdr:row>
      <xdr:rowOff>180975</xdr:rowOff>
    </xdr:to>
    <xdr:sp macro="" textlink="">
      <xdr:nvSpPr>
        <xdr:cNvPr id="60" name="Flecha derecha 59">
          <a:hlinkClick xmlns:r="http://schemas.openxmlformats.org/officeDocument/2006/relationships" r:id="rId18"/>
        </xdr:cNvPr>
        <xdr:cNvSpPr/>
      </xdr:nvSpPr>
      <xdr:spPr>
        <a:xfrm rot="16200000">
          <a:off x="114300" y="11677650"/>
          <a:ext cx="1257300" cy="9715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s-MX" sz="2400"/>
            <a:t>INICIO</a:t>
          </a:r>
        </a:p>
      </xdr:txBody>
    </xdr:sp>
    <xdr:clientData/>
  </xdr:twoCellAnchor>
  <xdr:twoCellAnchor>
    <xdr:from>
      <xdr:col>0</xdr:col>
      <xdr:colOff>295275</xdr:colOff>
      <xdr:row>40</xdr:row>
      <xdr:rowOff>142875</xdr:rowOff>
    </xdr:from>
    <xdr:to>
      <xdr:col>0</xdr:col>
      <xdr:colOff>1266825</xdr:colOff>
      <xdr:row>46</xdr:row>
      <xdr:rowOff>142875</xdr:rowOff>
    </xdr:to>
    <xdr:sp macro="" textlink="">
      <xdr:nvSpPr>
        <xdr:cNvPr id="61" name="Flecha derecha 60">
          <a:hlinkClick xmlns:r="http://schemas.openxmlformats.org/officeDocument/2006/relationships" r:id="rId18"/>
        </xdr:cNvPr>
        <xdr:cNvSpPr/>
      </xdr:nvSpPr>
      <xdr:spPr>
        <a:xfrm rot="16200000">
          <a:off x="152400" y="8020050"/>
          <a:ext cx="1257300" cy="9715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s-MX" sz="2400"/>
            <a:t>INICIO</a:t>
          </a:r>
        </a:p>
      </xdr:txBody>
    </xdr:sp>
    <xdr:clientData/>
  </xdr:twoCellAnchor>
  <xdr:twoCellAnchor>
    <xdr:from>
      <xdr:col>4</xdr:col>
      <xdr:colOff>771525</xdr:colOff>
      <xdr:row>13</xdr:row>
      <xdr:rowOff>85725</xdr:rowOff>
    </xdr:from>
    <xdr:to>
      <xdr:col>6</xdr:col>
      <xdr:colOff>180975</xdr:colOff>
      <xdr:row>16</xdr:row>
      <xdr:rowOff>171450</xdr:rowOff>
    </xdr:to>
    <xdr:sp macro="" textlink="">
      <xdr:nvSpPr>
        <xdr:cNvPr id="2" name="Rectángulo 1">
          <a:hlinkClick xmlns:r="http://schemas.openxmlformats.org/officeDocument/2006/relationships" r:id="rId19"/>
        </xdr:cNvPr>
        <xdr:cNvSpPr/>
      </xdr:nvSpPr>
      <xdr:spPr>
        <a:xfrm>
          <a:off x="5057775" y="2600325"/>
          <a:ext cx="1276350" cy="6572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2000"/>
            <a:t>GRÁFICAS</a:t>
          </a:r>
          <a:endParaRPr lang="es-MX" sz="1100"/>
        </a:p>
      </xdr:txBody>
    </xdr:sp>
    <xdr:clientData/>
  </xdr:twoCellAnchor>
  <xdr:twoCellAnchor>
    <xdr:from>
      <xdr:col>6</xdr:col>
      <xdr:colOff>600075</xdr:colOff>
      <xdr:row>13</xdr:row>
      <xdr:rowOff>85725</xdr:rowOff>
    </xdr:from>
    <xdr:to>
      <xdr:col>8</xdr:col>
      <xdr:colOff>28575</xdr:colOff>
      <xdr:row>16</xdr:row>
      <xdr:rowOff>171450</xdr:rowOff>
    </xdr:to>
    <xdr:sp macro="" textlink="">
      <xdr:nvSpPr>
        <xdr:cNvPr id="25" name="Rectángulo 24">
          <a:hlinkClick xmlns:r="http://schemas.openxmlformats.org/officeDocument/2006/relationships" r:id="rId20"/>
        </xdr:cNvPr>
        <xdr:cNvSpPr/>
      </xdr:nvSpPr>
      <xdr:spPr>
        <a:xfrm>
          <a:off x="6753225" y="2600325"/>
          <a:ext cx="1276350" cy="6572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2000"/>
            <a:t>COSTOS</a:t>
          </a:r>
          <a:endParaRPr lang="es-MX"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543152</xdr:colOff>
      <xdr:row>21</xdr:row>
      <xdr:rowOff>51479</xdr:rowOff>
    </xdr:from>
    <xdr:to>
      <xdr:col>10</xdr:col>
      <xdr:colOff>669018</xdr:colOff>
      <xdr:row>35</xdr:row>
      <xdr:rowOff>124732</xdr:rowOff>
    </xdr:to>
    <xdr:graphicFrame macro="">
      <xdr:nvGraphicFramePr>
        <xdr:cNvPr id="3" name="Gráfico 2">
          <a:extLst>
            <a:ext uri="{FF2B5EF4-FFF2-40B4-BE49-F238E27FC236}">
              <a16:creationId xmlns:a16="http://schemas.microsoft.com/office/drawing/2014/main" id="{1A1120EB-1840-4862-AF4E-20CECA042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50800</xdr:colOff>
      <xdr:row>2</xdr:row>
      <xdr:rowOff>100542</xdr:rowOff>
    </xdr:from>
    <xdr:to>
      <xdr:col>12</xdr:col>
      <xdr:colOff>1354667</xdr:colOff>
      <xdr:row>5</xdr:row>
      <xdr:rowOff>33867</xdr:rowOff>
    </xdr:to>
    <xdr:sp macro="" textlink="">
      <xdr:nvSpPr>
        <xdr:cNvPr id="4" name="CuadroTexto 3">
          <a:hlinkClick xmlns:r="http://schemas.openxmlformats.org/officeDocument/2006/relationships" r:id="rId1"/>
          <a:extLst>
            <a:ext uri="{FF2B5EF4-FFF2-40B4-BE49-F238E27FC236}">
              <a16:creationId xmlns:a16="http://schemas.microsoft.com/office/drawing/2014/main" id="{00000000-0008-0000-0400-000004000000}"/>
            </a:ext>
          </a:extLst>
        </xdr:cNvPr>
        <xdr:cNvSpPr txBox="1"/>
      </xdr:nvSpPr>
      <xdr:spPr>
        <a:xfrm>
          <a:off x="50800" y="481542"/>
          <a:ext cx="1303867" cy="504825"/>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12</xdr:col>
      <xdr:colOff>40218</xdr:colOff>
      <xdr:row>9</xdr:row>
      <xdr:rowOff>87842</xdr:rowOff>
    </xdr:from>
    <xdr:to>
      <xdr:col>12</xdr:col>
      <xdr:colOff>1325033</xdr:colOff>
      <xdr:row>12</xdr:row>
      <xdr:rowOff>30692</xdr:rowOff>
    </xdr:to>
    <xdr:sp macro="" textlink="">
      <xdr:nvSpPr>
        <xdr:cNvPr id="5" name="CuadroTexto 4">
          <a:hlinkClick xmlns:r="http://schemas.openxmlformats.org/officeDocument/2006/relationships" r:id="rId2"/>
          <a:extLst>
            <a:ext uri="{FF2B5EF4-FFF2-40B4-BE49-F238E27FC236}">
              <a16:creationId xmlns:a16="http://schemas.microsoft.com/office/drawing/2014/main" id="{00000000-0008-0000-0400-000005000000}"/>
            </a:ext>
          </a:extLst>
        </xdr:cNvPr>
        <xdr:cNvSpPr txBox="1"/>
      </xdr:nvSpPr>
      <xdr:spPr>
        <a:xfrm>
          <a:off x="12841818" y="1802342"/>
          <a:ext cx="1284815"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12</xdr:col>
      <xdr:colOff>94191</xdr:colOff>
      <xdr:row>13</xdr:row>
      <xdr:rowOff>17993</xdr:rowOff>
    </xdr:from>
    <xdr:to>
      <xdr:col>12</xdr:col>
      <xdr:colOff>1353608</xdr:colOff>
      <xdr:row>15</xdr:row>
      <xdr:rowOff>170393</xdr:rowOff>
    </xdr:to>
    <xdr:sp macro="" textlink="">
      <xdr:nvSpPr>
        <xdr:cNvPr id="6" name="CuadroTexto 5">
          <a:hlinkClick xmlns:r="http://schemas.openxmlformats.org/officeDocument/2006/relationships" r:id="rId3"/>
          <a:extLst>
            <a:ext uri="{FF2B5EF4-FFF2-40B4-BE49-F238E27FC236}">
              <a16:creationId xmlns:a16="http://schemas.microsoft.com/office/drawing/2014/main" id="{00000000-0008-0000-0400-000006000000}"/>
            </a:ext>
          </a:extLst>
        </xdr:cNvPr>
        <xdr:cNvSpPr txBox="1"/>
      </xdr:nvSpPr>
      <xdr:spPr>
        <a:xfrm>
          <a:off x="12895791" y="2494493"/>
          <a:ext cx="1259417"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11</xdr:col>
      <xdr:colOff>479424</xdr:colOff>
      <xdr:row>5</xdr:row>
      <xdr:rowOff>155575</xdr:rowOff>
    </xdr:from>
    <xdr:to>
      <xdr:col>13</xdr:col>
      <xdr:colOff>142875</xdr:colOff>
      <xdr:row>8</xdr:row>
      <xdr:rowOff>114300</xdr:rowOff>
    </xdr:to>
    <xdr:sp macro="" textlink="">
      <xdr:nvSpPr>
        <xdr:cNvPr id="7" name="CuadroTexto 6">
          <a:hlinkClick xmlns:r="http://schemas.openxmlformats.org/officeDocument/2006/relationships" r:id="rId4"/>
          <a:extLst>
            <a:ext uri="{FF2B5EF4-FFF2-40B4-BE49-F238E27FC236}">
              <a16:creationId xmlns:a16="http://schemas.microsoft.com/office/drawing/2014/main" id="{00000000-0008-0000-0400-000007000000}"/>
            </a:ext>
          </a:extLst>
        </xdr:cNvPr>
        <xdr:cNvSpPr txBox="1"/>
      </xdr:nvSpPr>
      <xdr:spPr>
        <a:xfrm>
          <a:off x="12519024" y="1108075"/>
          <a:ext cx="1978026" cy="5302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12</xdr:col>
      <xdr:colOff>52917</xdr:colOff>
      <xdr:row>17</xdr:row>
      <xdr:rowOff>68791</xdr:rowOff>
    </xdr:from>
    <xdr:to>
      <xdr:col>12</xdr:col>
      <xdr:colOff>1439334</xdr:colOff>
      <xdr:row>21</xdr:row>
      <xdr:rowOff>11641</xdr:rowOff>
    </xdr:to>
    <xdr:sp macro="" textlink="">
      <xdr:nvSpPr>
        <xdr:cNvPr id="8" name="CuadroTexto 7">
          <a:hlinkClick xmlns:r="http://schemas.openxmlformats.org/officeDocument/2006/relationships" r:id="rId5"/>
          <a:extLst>
            <a:ext uri="{FF2B5EF4-FFF2-40B4-BE49-F238E27FC236}">
              <a16:creationId xmlns:a16="http://schemas.microsoft.com/office/drawing/2014/main" id="{00000000-0008-0000-0400-000008000000}"/>
            </a:ext>
          </a:extLst>
        </xdr:cNvPr>
        <xdr:cNvSpPr txBox="1"/>
      </xdr:nvSpPr>
      <xdr:spPr>
        <a:xfrm>
          <a:off x="52917" y="3307291"/>
          <a:ext cx="1386417"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Balances</a:t>
          </a:r>
          <a:r>
            <a:rPr lang="es-MX" sz="2000" baseline="0">
              <a:solidFill>
                <a:schemeClr val="bg1"/>
              </a:solidFill>
              <a:latin typeface="Soberana Titular" panose="02000000000000000000" pitchFamily="50" charset="0"/>
              <a:cs typeface="Segoe UI Semibold" panose="020B0702040204020203" pitchFamily="34" charset="0"/>
            </a:rPr>
            <a:t> Generales</a:t>
          </a:r>
          <a:endParaRPr lang="es-MX" sz="20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12</xdr:col>
      <xdr:colOff>71967</xdr:colOff>
      <xdr:row>25</xdr:row>
      <xdr:rowOff>107951</xdr:rowOff>
    </xdr:from>
    <xdr:to>
      <xdr:col>12</xdr:col>
      <xdr:colOff>1513417</xdr:colOff>
      <xdr:row>28</xdr:row>
      <xdr:rowOff>50800</xdr:rowOff>
    </xdr:to>
    <xdr:sp macro="" textlink="">
      <xdr:nvSpPr>
        <xdr:cNvPr id="9" name="CuadroTexto 8">
          <a:hlinkClick xmlns:r="http://schemas.openxmlformats.org/officeDocument/2006/relationships" r:id="rId6"/>
          <a:extLst>
            <a:ext uri="{FF2B5EF4-FFF2-40B4-BE49-F238E27FC236}">
              <a16:creationId xmlns:a16="http://schemas.microsoft.com/office/drawing/2014/main" id="{00000000-0008-0000-0400-000009000000}"/>
            </a:ext>
          </a:extLst>
        </xdr:cNvPr>
        <xdr:cNvSpPr txBox="1"/>
      </xdr:nvSpPr>
      <xdr:spPr>
        <a:xfrm>
          <a:off x="71967" y="4870451"/>
          <a:ext cx="1441450" cy="56197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12</xdr:col>
      <xdr:colOff>73023</xdr:colOff>
      <xdr:row>21</xdr:row>
      <xdr:rowOff>157694</xdr:rowOff>
    </xdr:from>
    <xdr:to>
      <xdr:col>12</xdr:col>
      <xdr:colOff>1449916</xdr:colOff>
      <xdr:row>24</xdr:row>
      <xdr:rowOff>129118</xdr:rowOff>
    </xdr:to>
    <xdr:sp macro="" textlink="">
      <xdr:nvSpPr>
        <xdr:cNvPr id="10" name="CuadroTexto 9">
          <a:hlinkClick xmlns:r="http://schemas.openxmlformats.org/officeDocument/2006/relationships" r:id="rId7"/>
          <a:extLst>
            <a:ext uri="{FF2B5EF4-FFF2-40B4-BE49-F238E27FC236}">
              <a16:creationId xmlns:a16="http://schemas.microsoft.com/office/drawing/2014/main" id="{00000000-0008-0000-0400-00000A000000}"/>
            </a:ext>
          </a:extLst>
        </xdr:cNvPr>
        <xdr:cNvSpPr txBox="1"/>
      </xdr:nvSpPr>
      <xdr:spPr>
        <a:xfrm>
          <a:off x="73023" y="4158194"/>
          <a:ext cx="1376893"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12</xdr:col>
      <xdr:colOff>114300</xdr:colOff>
      <xdr:row>29</xdr:row>
      <xdr:rowOff>66675</xdr:rowOff>
    </xdr:from>
    <xdr:to>
      <xdr:col>13</xdr:col>
      <xdr:colOff>9525</xdr:colOff>
      <xdr:row>33</xdr:row>
      <xdr:rowOff>38100</xdr:rowOff>
    </xdr:to>
    <xdr:sp macro="" textlink="">
      <xdr:nvSpPr>
        <xdr:cNvPr id="11" name="Rectángulo redondeado 10">
          <a:hlinkClick xmlns:r="http://schemas.openxmlformats.org/officeDocument/2006/relationships" r:id="rId8"/>
        </xdr:cNvPr>
        <xdr:cNvSpPr/>
      </xdr:nvSpPr>
      <xdr:spPr>
        <a:xfrm>
          <a:off x="12915900" y="5591175"/>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50799</xdr:colOff>
      <xdr:row>1</xdr:row>
      <xdr:rowOff>167217</xdr:rowOff>
    </xdr:from>
    <xdr:to>
      <xdr:col>0</xdr:col>
      <xdr:colOff>1133474</xdr:colOff>
      <xdr:row>4</xdr:row>
      <xdr:rowOff>47625</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50799" y="367242"/>
          <a:ext cx="1082675" cy="461433"/>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0</xdr:col>
      <xdr:colOff>59269</xdr:colOff>
      <xdr:row>9</xdr:row>
      <xdr:rowOff>59267</xdr:rowOff>
    </xdr:from>
    <xdr:to>
      <xdr:col>0</xdr:col>
      <xdr:colOff>1123951</xdr:colOff>
      <xdr:row>12</xdr:row>
      <xdr:rowOff>2117</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00000000-0008-0000-0500-000003000000}"/>
            </a:ext>
          </a:extLst>
        </xdr:cNvPr>
        <xdr:cNvSpPr txBox="1"/>
      </xdr:nvSpPr>
      <xdr:spPr>
        <a:xfrm>
          <a:off x="59269" y="1792817"/>
          <a:ext cx="1064682"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8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0</xdr:col>
      <xdr:colOff>75141</xdr:colOff>
      <xdr:row>12</xdr:row>
      <xdr:rowOff>94193</xdr:rowOff>
    </xdr:from>
    <xdr:to>
      <xdr:col>0</xdr:col>
      <xdr:colOff>1123950</xdr:colOff>
      <xdr:row>15</xdr:row>
      <xdr:rowOff>56093</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0000000-0008-0000-0500-000004000000}"/>
            </a:ext>
          </a:extLst>
        </xdr:cNvPr>
        <xdr:cNvSpPr txBox="1"/>
      </xdr:nvSpPr>
      <xdr:spPr>
        <a:xfrm>
          <a:off x="75141" y="2399243"/>
          <a:ext cx="1048809"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8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0</xdr:col>
      <xdr:colOff>107948</xdr:colOff>
      <xdr:row>4</xdr:row>
      <xdr:rowOff>165100</xdr:rowOff>
    </xdr:from>
    <xdr:to>
      <xdr:col>0</xdr:col>
      <xdr:colOff>1095375</xdr:colOff>
      <xdr:row>8</xdr:row>
      <xdr:rowOff>123825</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00000000-0008-0000-0500-000005000000}"/>
            </a:ext>
          </a:extLst>
        </xdr:cNvPr>
        <xdr:cNvSpPr txBox="1"/>
      </xdr:nvSpPr>
      <xdr:spPr>
        <a:xfrm>
          <a:off x="107948" y="946150"/>
          <a:ext cx="987427" cy="7207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8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0</xdr:col>
      <xdr:colOff>24342</xdr:colOff>
      <xdr:row>16</xdr:row>
      <xdr:rowOff>11642</xdr:rowOff>
    </xdr:from>
    <xdr:to>
      <xdr:col>1</xdr:col>
      <xdr:colOff>9525</xdr:colOff>
      <xdr:row>18</xdr:row>
      <xdr:rowOff>95250</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500-000006000000}"/>
            </a:ext>
          </a:extLst>
        </xdr:cNvPr>
        <xdr:cNvSpPr txBox="1"/>
      </xdr:nvSpPr>
      <xdr:spPr>
        <a:xfrm>
          <a:off x="24342" y="3078692"/>
          <a:ext cx="1194858" cy="578908"/>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200">
              <a:solidFill>
                <a:schemeClr val="bg1"/>
              </a:solidFill>
              <a:latin typeface="Soberana Titular" panose="02000000000000000000" pitchFamily="50" charset="0"/>
              <a:cs typeface="Segoe UI Semibold" panose="020B0702040204020203" pitchFamily="34" charset="0"/>
            </a:rPr>
            <a:t>ESTADOS DE RESULTADOS</a:t>
          </a:r>
        </a:p>
      </xdr:txBody>
    </xdr:sp>
    <xdr:clientData/>
  </xdr:twoCellAnchor>
  <xdr:twoCellAnchor>
    <xdr:from>
      <xdr:col>0</xdr:col>
      <xdr:colOff>33866</xdr:colOff>
      <xdr:row>22</xdr:row>
      <xdr:rowOff>88901</xdr:rowOff>
    </xdr:from>
    <xdr:to>
      <xdr:col>1</xdr:col>
      <xdr:colOff>123824</xdr:colOff>
      <xdr:row>25</xdr:row>
      <xdr:rowOff>31750</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00000000-0008-0000-0500-000007000000}"/>
            </a:ext>
          </a:extLst>
        </xdr:cNvPr>
        <xdr:cNvSpPr txBox="1"/>
      </xdr:nvSpPr>
      <xdr:spPr>
        <a:xfrm>
          <a:off x="33866" y="4413251"/>
          <a:ext cx="1299633" cy="51434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8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0</xdr:col>
      <xdr:colOff>34923</xdr:colOff>
      <xdr:row>19</xdr:row>
      <xdr:rowOff>19050</xdr:rowOff>
    </xdr:from>
    <xdr:to>
      <xdr:col>1</xdr:col>
      <xdr:colOff>38100</xdr:colOff>
      <xdr:row>21</xdr:row>
      <xdr:rowOff>133350</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000000-0008-0000-0500-000008000000}"/>
            </a:ext>
          </a:extLst>
        </xdr:cNvPr>
        <xdr:cNvSpPr txBox="1"/>
      </xdr:nvSpPr>
      <xdr:spPr>
        <a:xfrm>
          <a:off x="34923" y="3771900"/>
          <a:ext cx="1212852" cy="4953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200">
              <a:solidFill>
                <a:schemeClr val="bg1"/>
              </a:solidFill>
              <a:latin typeface="Soberana Titular" panose="02000000000000000000" pitchFamily="50" charset="0"/>
              <a:cs typeface="Segoe UI Semibold" panose="020B0702040204020203" pitchFamily="34" charset="0"/>
            </a:rPr>
            <a:t>BALANCES GENERALES</a:t>
          </a:r>
          <a:endParaRPr lang="es-MX" sz="1600">
            <a:solidFill>
              <a:schemeClr val="bg1"/>
            </a:solidFill>
            <a:latin typeface="Soberana Titular" panose="02000000000000000000" pitchFamily="50" charset="0"/>
            <a:cs typeface="Segoe UI Semibold" panose="020B0702040204020203" pitchFamily="34" charset="0"/>
          </a:endParaRPr>
        </a:p>
      </xdr:txBody>
    </xdr:sp>
    <xdr:clientData/>
  </xdr:twoCellAnchor>
  <xdr:twoCellAnchor>
    <xdr:from>
      <xdr:col>9</xdr:col>
      <xdr:colOff>333375</xdr:colOff>
      <xdr:row>35</xdr:row>
      <xdr:rowOff>171450</xdr:rowOff>
    </xdr:from>
    <xdr:to>
      <xdr:col>10</xdr:col>
      <xdr:colOff>428625</xdr:colOff>
      <xdr:row>36</xdr:row>
      <xdr:rowOff>180975</xdr:rowOff>
    </xdr:to>
    <xdr:sp macro="" textlink="">
      <xdr:nvSpPr>
        <xdr:cNvPr id="9" name="Rectángulo redondeado 8">
          <a:hlinkClick xmlns:r="http://schemas.openxmlformats.org/officeDocument/2006/relationships" r:id="rId8"/>
          <a:extLst>
            <a:ext uri="{FF2B5EF4-FFF2-40B4-BE49-F238E27FC236}">
              <a16:creationId xmlns:a16="http://schemas.microsoft.com/office/drawing/2014/main" id="{00000000-0008-0000-0500-000009000000}"/>
            </a:ext>
          </a:extLst>
        </xdr:cNvPr>
        <xdr:cNvSpPr/>
      </xdr:nvSpPr>
      <xdr:spPr>
        <a:xfrm>
          <a:off x="9153525" y="7134225"/>
          <a:ext cx="1038225" cy="2000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1600"/>
            <a:t>FNE</a:t>
          </a:r>
          <a:endParaRPr lang="es-MX" sz="1100"/>
        </a:p>
      </xdr:txBody>
    </xdr:sp>
    <xdr:clientData/>
  </xdr:twoCellAnchor>
  <xdr:twoCellAnchor>
    <xdr:from>
      <xdr:col>24</xdr:col>
      <xdr:colOff>257175</xdr:colOff>
      <xdr:row>34</xdr:row>
      <xdr:rowOff>152400</xdr:rowOff>
    </xdr:from>
    <xdr:to>
      <xdr:col>25</xdr:col>
      <xdr:colOff>104775</xdr:colOff>
      <xdr:row>37</xdr:row>
      <xdr:rowOff>38100</xdr:rowOff>
    </xdr:to>
    <xdr:sp macro="" textlink="">
      <xdr:nvSpPr>
        <xdr:cNvPr id="10" name="Rectángulo redondeado 9">
          <a:hlinkClick xmlns:r="http://schemas.openxmlformats.org/officeDocument/2006/relationships" r:id="rId9"/>
          <a:extLst>
            <a:ext uri="{FF2B5EF4-FFF2-40B4-BE49-F238E27FC236}">
              <a16:creationId xmlns:a16="http://schemas.microsoft.com/office/drawing/2014/main" id="{00000000-0008-0000-0500-00000A000000}"/>
            </a:ext>
          </a:extLst>
        </xdr:cNvPr>
        <xdr:cNvSpPr/>
      </xdr:nvSpPr>
      <xdr:spPr>
        <a:xfrm>
          <a:off x="23774400" y="6924675"/>
          <a:ext cx="857250" cy="4572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1800"/>
            <a:t>TIR</a:t>
          </a:r>
          <a:endParaRPr lang="es-MX" sz="1100"/>
        </a:p>
      </xdr:txBody>
    </xdr:sp>
    <xdr:clientData/>
  </xdr:twoCellAnchor>
  <xdr:twoCellAnchor>
    <xdr:from>
      <xdr:col>25</xdr:col>
      <xdr:colOff>533400</xdr:colOff>
      <xdr:row>34</xdr:row>
      <xdr:rowOff>171450</xdr:rowOff>
    </xdr:from>
    <xdr:to>
      <xdr:col>26</xdr:col>
      <xdr:colOff>342900</xdr:colOff>
      <xdr:row>37</xdr:row>
      <xdr:rowOff>28575</xdr:rowOff>
    </xdr:to>
    <xdr:sp macro="" textlink="">
      <xdr:nvSpPr>
        <xdr:cNvPr id="11" name="Rectángulo redondeado 10">
          <a:hlinkClick xmlns:r="http://schemas.openxmlformats.org/officeDocument/2006/relationships" r:id="rId10"/>
          <a:extLst>
            <a:ext uri="{FF2B5EF4-FFF2-40B4-BE49-F238E27FC236}">
              <a16:creationId xmlns:a16="http://schemas.microsoft.com/office/drawing/2014/main" id="{00000000-0008-0000-0500-00000B000000}"/>
            </a:ext>
          </a:extLst>
        </xdr:cNvPr>
        <xdr:cNvSpPr/>
      </xdr:nvSpPr>
      <xdr:spPr>
        <a:xfrm>
          <a:off x="25060275" y="6943725"/>
          <a:ext cx="819150" cy="4286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1400"/>
            <a:t>INICIO</a:t>
          </a:r>
        </a:p>
      </xdr:txBody>
    </xdr:sp>
    <xdr:clientData/>
  </xdr:twoCellAnchor>
  <xdr:twoCellAnchor>
    <xdr:from>
      <xdr:col>0</xdr:col>
      <xdr:colOff>0</xdr:colOff>
      <xdr:row>26</xdr:row>
      <xdr:rowOff>76200</xdr:rowOff>
    </xdr:from>
    <xdr:to>
      <xdr:col>1</xdr:col>
      <xdr:colOff>238125</xdr:colOff>
      <xdr:row>30</xdr:row>
      <xdr:rowOff>0</xdr:rowOff>
    </xdr:to>
    <xdr:sp macro="" textlink="">
      <xdr:nvSpPr>
        <xdr:cNvPr id="12" name="Rectángulo redondeado 11">
          <a:hlinkClick xmlns:r="http://schemas.openxmlformats.org/officeDocument/2006/relationships" r:id="rId11"/>
        </xdr:cNvPr>
        <xdr:cNvSpPr/>
      </xdr:nvSpPr>
      <xdr:spPr>
        <a:xfrm>
          <a:off x="0" y="5276850"/>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27</xdr:col>
      <xdr:colOff>66675</xdr:colOff>
      <xdr:row>17</xdr:row>
      <xdr:rowOff>104775</xdr:rowOff>
    </xdr:from>
    <xdr:to>
      <xdr:col>28</xdr:col>
      <xdr:colOff>619125</xdr:colOff>
      <xdr:row>20</xdr:row>
      <xdr:rowOff>123825</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30184725" y="3419475"/>
          <a:ext cx="1495425" cy="590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s-MX" sz="1800"/>
            <a:t>INICIO</a:t>
          </a:r>
        </a:p>
      </xdr:txBody>
    </xdr:sp>
    <xdr:clientData/>
  </xdr:twoCellAnchor>
  <xdr:twoCellAnchor>
    <xdr:from>
      <xdr:col>0</xdr:col>
      <xdr:colOff>50800</xdr:colOff>
      <xdr:row>1</xdr:row>
      <xdr:rowOff>167217</xdr:rowOff>
    </xdr:from>
    <xdr:to>
      <xdr:col>0</xdr:col>
      <xdr:colOff>1354667</xdr:colOff>
      <xdr:row>4</xdr:row>
      <xdr:rowOff>100542</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00000000-0008-0000-0600-000003000000}"/>
            </a:ext>
          </a:extLst>
        </xdr:cNvPr>
        <xdr:cNvSpPr txBox="1"/>
      </xdr:nvSpPr>
      <xdr:spPr>
        <a:xfrm>
          <a:off x="50800" y="357717"/>
          <a:ext cx="1303867" cy="571500"/>
        </a:xfrm>
        <a:prstGeom prst="rect">
          <a:avLst/>
        </a:prstGeom>
        <a:solidFill>
          <a:schemeClr val="tx1"/>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bg1"/>
              </a:solidFill>
              <a:effectLst/>
              <a:latin typeface="Soberana Titular" panose="02000000000000000000" pitchFamily="50" charset="0"/>
              <a:cs typeface="Segoe UI Semibold" panose="020B0702040204020203" pitchFamily="34" charset="0"/>
            </a:rPr>
            <a:t>Portada</a:t>
          </a:r>
        </a:p>
      </xdr:txBody>
    </xdr:sp>
    <xdr:clientData/>
  </xdr:twoCellAnchor>
  <xdr:twoCellAnchor>
    <xdr:from>
      <xdr:col>0</xdr:col>
      <xdr:colOff>40218</xdr:colOff>
      <xdr:row>9</xdr:row>
      <xdr:rowOff>87842</xdr:rowOff>
    </xdr:from>
    <xdr:to>
      <xdr:col>0</xdr:col>
      <xdr:colOff>1325033</xdr:colOff>
      <xdr:row>12</xdr:row>
      <xdr:rowOff>30692</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0000000-0008-0000-0600-000004000000}"/>
            </a:ext>
          </a:extLst>
        </xdr:cNvPr>
        <xdr:cNvSpPr txBox="1"/>
      </xdr:nvSpPr>
      <xdr:spPr>
        <a:xfrm>
          <a:off x="12841818" y="1802342"/>
          <a:ext cx="1284815" cy="5143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Objetivo</a:t>
          </a:r>
        </a:p>
      </xdr:txBody>
    </xdr:sp>
    <xdr:clientData/>
  </xdr:twoCellAnchor>
  <xdr:twoCellAnchor>
    <xdr:from>
      <xdr:col>0</xdr:col>
      <xdr:colOff>56091</xdr:colOff>
      <xdr:row>12</xdr:row>
      <xdr:rowOff>122768</xdr:rowOff>
    </xdr:from>
    <xdr:to>
      <xdr:col>0</xdr:col>
      <xdr:colOff>1315508</xdr:colOff>
      <xdr:row>15</xdr:row>
      <xdr:rowOff>84668</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00000000-0008-0000-0600-000005000000}"/>
            </a:ext>
          </a:extLst>
        </xdr:cNvPr>
        <xdr:cNvSpPr txBox="1"/>
      </xdr:nvSpPr>
      <xdr:spPr>
        <a:xfrm>
          <a:off x="56091" y="2475443"/>
          <a:ext cx="1259417" cy="53340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Datos</a:t>
          </a:r>
        </a:p>
      </xdr:txBody>
    </xdr:sp>
    <xdr:clientData/>
  </xdr:twoCellAnchor>
  <xdr:twoCellAnchor>
    <xdr:from>
      <xdr:col>0</xdr:col>
      <xdr:colOff>126998</xdr:colOff>
      <xdr:row>5</xdr:row>
      <xdr:rowOff>12700</xdr:rowOff>
    </xdr:from>
    <xdr:to>
      <xdr:col>0</xdr:col>
      <xdr:colOff>1323975</xdr:colOff>
      <xdr:row>8</xdr:row>
      <xdr:rowOff>161925</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00000000-0008-0000-0600-000006000000}"/>
            </a:ext>
          </a:extLst>
        </xdr:cNvPr>
        <xdr:cNvSpPr txBox="1"/>
      </xdr:nvSpPr>
      <xdr:spPr>
        <a:xfrm>
          <a:off x="126998" y="1031875"/>
          <a:ext cx="1196977" cy="720725"/>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Marco Teórico</a:t>
          </a:r>
        </a:p>
      </xdr:txBody>
    </xdr:sp>
    <xdr:clientData/>
  </xdr:twoCellAnchor>
  <xdr:twoCellAnchor>
    <xdr:from>
      <xdr:col>0</xdr:col>
      <xdr:colOff>43392</xdr:colOff>
      <xdr:row>16</xdr:row>
      <xdr:rowOff>68791</xdr:rowOff>
    </xdr:from>
    <xdr:to>
      <xdr:col>0</xdr:col>
      <xdr:colOff>1429809</xdr:colOff>
      <xdr:row>20</xdr:row>
      <xdr:rowOff>2116</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00000000-0008-0000-0600-000007000000}"/>
            </a:ext>
          </a:extLst>
        </xdr:cNvPr>
        <xdr:cNvSpPr txBox="1"/>
      </xdr:nvSpPr>
      <xdr:spPr>
        <a:xfrm>
          <a:off x="43392" y="3183466"/>
          <a:ext cx="1386417" cy="704850"/>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1400">
              <a:solidFill>
                <a:schemeClr val="bg1"/>
              </a:solidFill>
              <a:latin typeface="Soberana Titular" panose="02000000000000000000" pitchFamily="50" charset="0"/>
              <a:cs typeface="Segoe UI Semibold" panose="020B0702040204020203" pitchFamily="34" charset="0"/>
            </a:rPr>
            <a:t>ESTADOS DE RESULTADOS</a:t>
          </a:r>
        </a:p>
      </xdr:txBody>
    </xdr:sp>
    <xdr:clientData/>
  </xdr:twoCellAnchor>
  <xdr:twoCellAnchor>
    <xdr:from>
      <xdr:col>0</xdr:col>
      <xdr:colOff>33867</xdr:colOff>
      <xdr:row>24</xdr:row>
      <xdr:rowOff>60326</xdr:rowOff>
    </xdr:from>
    <xdr:to>
      <xdr:col>0</xdr:col>
      <xdr:colOff>1475317</xdr:colOff>
      <xdr:row>27</xdr:row>
      <xdr:rowOff>3175</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000000-0008-0000-0600-000008000000}"/>
            </a:ext>
          </a:extLst>
        </xdr:cNvPr>
        <xdr:cNvSpPr txBox="1"/>
      </xdr:nvSpPr>
      <xdr:spPr>
        <a:xfrm>
          <a:off x="33867" y="4708526"/>
          <a:ext cx="1441450" cy="514349"/>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Resultados</a:t>
          </a:r>
        </a:p>
      </xdr:txBody>
    </xdr:sp>
    <xdr:clientData/>
  </xdr:twoCellAnchor>
  <xdr:twoCellAnchor>
    <xdr:from>
      <xdr:col>0</xdr:col>
      <xdr:colOff>34923</xdr:colOff>
      <xdr:row>20</xdr:row>
      <xdr:rowOff>100544</xdr:rowOff>
    </xdr:from>
    <xdr:to>
      <xdr:col>0</xdr:col>
      <xdr:colOff>1411816</xdr:colOff>
      <xdr:row>23</xdr:row>
      <xdr:rowOff>71968</xdr:rowOff>
    </xdr:to>
    <xdr:sp macro="" textlink="">
      <xdr:nvSpPr>
        <xdr:cNvPr id="9" name="CuadroTexto 8">
          <a:hlinkClick xmlns:r="http://schemas.openxmlformats.org/officeDocument/2006/relationships" r:id="rId8"/>
          <a:extLst>
            <a:ext uri="{FF2B5EF4-FFF2-40B4-BE49-F238E27FC236}">
              <a16:creationId xmlns:a16="http://schemas.microsoft.com/office/drawing/2014/main" id="{00000000-0008-0000-0600-000009000000}"/>
            </a:ext>
          </a:extLst>
        </xdr:cNvPr>
        <xdr:cNvSpPr txBox="1"/>
      </xdr:nvSpPr>
      <xdr:spPr>
        <a:xfrm>
          <a:off x="34923" y="3986744"/>
          <a:ext cx="1376893" cy="542924"/>
        </a:xfrm>
        <a:prstGeom prst="rect">
          <a:avLst/>
        </a:prstGeom>
        <a:solidFill>
          <a:schemeClr val="tx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bg1"/>
              </a:solidFill>
              <a:latin typeface="Soberana Titular" panose="02000000000000000000" pitchFamily="50" charset="0"/>
              <a:cs typeface="Segoe UI Semibold" panose="020B0702040204020203" pitchFamily="34" charset="0"/>
            </a:rPr>
            <a:t>Métodos</a:t>
          </a:r>
        </a:p>
      </xdr:txBody>
    </xdr:sp>
    <xdr:clientData/>
  </xdr:twoCellAnchor>
  <xdr:twoCellAnchor>
    <xdr:from>
      <xdr:col>0</xdr:col>
      <xdr:colOff>0</xdr:colOff>
      <xdr:row>28</xdr:row>
      <xdr:rowOff>133350</xdr:rowOff>
    </xdr:from>
    <xdr:to>
      <xdr:col>0</xdr:col>
      <xdr:colOff>1447800</xdr:colOff>
      <xdr:row>32</xdr:row>
      <xdr:rowOff>104775</xdr:rowOff>
    </xdr:to>
    <xdr:sp macro="" textlink="">
      <xdr:nvSpPr>
        <xdr:cNvPr id="10" name="Rectángulo redondeado 9">
          <a:hlinkClick xmlns:r="http://schemas.openxmlformats.org/officeDocument/2006/relationships" r:id="rId9"/>
        </xdr:cNvPr>
        <xdr:cNvSpPr/>
      </xdr:nvSpPr>
      <xdr:spPr>
        <a:xfrm>
          <a:off x="0" y="5543550"/>
          <a:ext cx="1447800" cy="73342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s-MX" sz="1800" b="0"/>
            <a:t>PUNTO DE EQUILIBRIO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06%20-%20EVALUACION%20DE%20PROYECTOS_ULTIMAMO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ilbertoIrving/Music/Pr&#225;ctica-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Fundamentos"/>
      <sheetName val="Objetivo"/>
      <sheetName val="Datos"/>
      <sheetName val="Estado de Resultados"/>
      <sheetName val="Balance General"/>
      <sheetName val="Métodos de Evaluación"/>
      <sheetName val="Punto de Equilibrio"/>
    </sheetNames>
    <sheetDataSet>
      <sheetData sheetId="0" refreshError="1"/>
      <sheetData sheetId="1" refreshError="1"/>
      <sheetData sheetId="2" refreshError="1"/>
      <sheetData sheetId="3">
        <row r="20">
          <cell r="K20">
            <v>150300</v>
          </cell>
        </row>
        <row r="21">
          <cell r="K21">
            <v>162315</v>
          </cell>
        </row>
        <row r="22">
          <cell r="K22">
            <v>175290.75</v>
          </cell>
        </row>
        <row r="23">
          <cell r="K23">
            <v>189304.08749999999</v>
          </cell>
        </row>
        <row r="24">
          <cell r="K24">
            <v>204437.99587499999</v>
          </cell>
        </row>
        <row r="25">
          <cell r="K25">
            <v>220782.09598874996</v>
          </cell>
        </row>
        <row r="26">
          <cell r="K26">
            <v>238433.17713378745</v>
          </cell>
        </row>
        <row r="27">
          <cell r="K27">
            <v>257495.77044372485</v>
          </cell>
        </row>
        <row r="28">
          <cell r="K28">
            <v>278082.7681754189</v>
          </cell>
        </row>
        <row r="29">
          <cell r="K29">
            <v>300316.09253045835</v>
          </cell>
        </row>
      </sheetData>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Datos"/>
      <sheetName val="Estado de resultados"/>
      <sheetName val="Balances"/>
      <sheetName val="Metodos"/>
      <sheetName val="Punto de equilibrio"/>
    </sheetNames>
    <sheetDataSet>
      <sheetData sheetId="0"/>
      <sheetData sheetId="1"/>
      <sheetData sheetId="2"/>
      <sheetData sheetId="3"/>
      <sheetData sheetId="4"/>
      <sheetData sheetId="5">
        <row r="5">
          <cell r="F5">
            <v>300.60000000000002</v>
          </cell>
          <cell r="L5">
            <v>314.56395348837208</v>
          </cell>
          <cell r="R5">
            <v>329.44435047361304</v>
          </cell>
        </row>
        <row r="8">
          <cell r="F8">
            <v>240480</v>
          </cell>
          <cell r="L8">
            <v>264233.72093023255</v>
          </cell>
          <cell r="R8">
            <v>290569.9171177267</v>
          </cell>
        </row>
        <row r="13">
          <cell r="F13">
            <v>345.32795322904758</v>
          </cell>
          <cell r="L13">
            <v>362.31277683863345</v>
          </cell>
          <cell r="R13">
            <v>380.50997597870531</v>
          </cell>
        </row>
        <row r="16">
          <cell r="F16">
            <v>319808.21748542099</v>
          </cell>
          <cell r="L16">
            <v>352314.75576177135</v>
          </cell>
          <cell r="R16">
            <v>388510.29335115151</v>
          </cell>
        </row>
        <row r="21">
          <cell r="F21">
            <v>400.04612454929293</v>
          </cell>
          <cell r="L21">
            <v>421.0659870132269</v>
          </cell>
          <cell r="R21">
            <v>443.73590979230545</v>
          </cell>
        </row>
        <row r="24">
          <cell r="F24">
            <v>428880.05404594657</v>
          </cell>
          <cell r="L24">
            <v>473985.70263398602</v>
          </cell>
          <cell r="R24">
            <v>524480.02842186706</v>
          </cell>
        </row>
        <row r="29">
          <cell r="F29">
            <v>468.24800084160216</v>
          </cell>
        </row>
        <row r="32">
          <cell r="F32">
            <v>581125.06862488715</v>
          </cell>
        </row>
        <row r="58">
          <cell r="C58">
            <v>200</v>
          </cell>
          <cell r="D58">
            <v>300</v>
          </cell>
          <cell r="E58">
            <v>400</v>
          </cell>
          <cell r="F58">
            <v>500</v>
          </cell>
          <cell r="G58">
            <v>200</v>
          </cell>
          <cell r="H58">
            <v>300</v>
          </cell>
          <cell r="I58">
            <v>400</v>
          </cell>
          <cell r="J58">
            <v>500</v>
          </cell>
        </row>
        <row r="59">
          <cell r="C59">
            <v>109700</v>
          </cell>
          <cell r="D59">
            <v>239700</v>
          </cell>
          <cell r="E59">
            <v>369700</v>
          </cell>
          <cell r="F59">
            <v>499700</v>
          </cell>
          <cell r="G59">
            <v>210300</v>
          </cell>
          <cell r="H59">
            <v>240300</v>
          </cell>
          <cell r="I59">
            <v>270300</v>
          </cell>
          <cell r="J59">
            <v>300300</v>
          </cell>
          <cell r="K59">
            <v>150300</v>
          </cell>
          <cell r="L59">
            <v>150300</v>
          </cell>
          <cell r="M59">
            <v>150300</v>
          </cell>
          <cell r="N59">
            <v>150300</v>
          </cell>
        </row>
        <row r="60">
          <cell r="C60">
            <v>108885</v>
          </cell>
          <cell r="D60">
            <v>244485</v>
          </cell>
          <cell r="E60">
            <v>380085</v>
          </cell>
          <cell r="F60">
            <v>515685</v>
          </cell>
          <cell r="G60">
            <v>227115</v>
          </cell>
          <cell r="H60">
            <v>259515</v>
          </cell>
          <cell r="I60">
            <v>291915</v>
          </cell>
          <cell r="J60">
            <v>324315</v>
          </cell>
        </row>
        <row r="61">
          <cell r="C61">
            <v>107525.24999999999</v>
          </cell>
          <cell r="D61">
            <v>248933.24999999997</v>
          </cell>
          <cell r="E61">
            <v>390341.25</v>
          </cell>
          <cell r="F61">
            <v>531749.25</v>
          </cell>
          <cell r="G61">
            <v>245274.75</v>
          </cell>
          <cell r="H61">
            <v>280266.75</v>
          </cell>
          <cell r="I61">
            <v>315258.75</v>
          </cell>
          <cell r="J61">
            <v>350250.75</v>
          </cell>
          <cell r="K61">
            <v>175290.75</v>
          </cell>
          <cell r="L61">
            <v>175290.75</v>
          </cell>
          <cell r="M61">
            <v>175290.75</v>
          </cell>
          <cell r="N61">
            <v>175290.75</v>
          </cell>
        </row>
        <row r="62">
          <cell r="C62">
            <v>105553.19250000002</v>
          </cell>
          <cell r="D62">
            <v>252981.83250000002</v>
          </cell>
          <cell r="E62">
            <v>400410.47250000003</v>
          </cell>
          <cell r="F62">
            <v>547839.11250000005</v>
          </cell>
          <cell r="G62">
            <v>264886.8075</v>
          </cell>
          <cell r="H62">
            <v>302678.16749999998</v>
          </cell>
          <cell r="I62">
            <v>340469.52749999997</v>
          </cell>
          <cell r="J62">
            <v>378260.88749999995</v>
          </cell>
          <cell r="K62">
            <v>189304.08749999999</v>
          </cell>
          <cell r="L62">
            <v>189304.08749999999</v>
          </cell>
          <cell r="M62">
            <v>189304.08749999999</v>
          </cell>
          <cell r="N62">
            <v>189304.08749999999</v>
          </cell>
        </row>
        <row r="63">
          <cell r="C63">
            <v>102894.66652499999</v>
          </cell>
          <cell r="D63">
            <v>256560.99772499999</v>
          </cell>
          <cell r="E63">
            <v>410227.32892499998</v>
          </cell>
          <cell r="F63">
            <v>563893.66012499994</v>
          </cell>
          <cell r="G63">
            <v>286067.33347499999</v>
          </cell>
          <cell r="H63">
            <v>326882.00227499998</v>
          </cell>
          <cell r="I63">
            <v>367696.67107500002</v>
          </cell>
          <cell r="J63">
            <v>408511.33987500001</v>
          </cell>
          <cell r="K63">
            <v>204437.99587499999</v>
          </cell>
          <cell r="L63">
            <v>204437.99587499999</v>
          </cell>
          <cell r="M63">
            <v>204437.99587499999</v>
          </cell>
          <cell r="N63">
            <v>204437.99587499999</v>
          </cell>
        </row>
        <row r="64">
          <cell r="C64">
            <v>99468.319403250003</v>
          </cell>
          <cell r="D64">
            <v>259593.52709924997</v>
          </cell>
          <cell r="E64">
            <v>419718.73479525</v>
          </cell>
          <cell r="F64">
            <v>579843.94249125</v>
          </cell>
          <cell r="G64">
            <v>308941.78059674997</v>
          </cell>
          <cell r="H64">
            <v>353021.62290074996</v>
          </cell>
          <cell r="I64">
            <v>397101.46520474995</v>
          </cell>
          <cell r="J64">
            <v>441181.30750874995</v>
          </cell>
          <cell r="K64">
            <v>220782.09598874996</v>
          </cell>
          <cell r="L64">
            <v>220782.09598874996</v>
          </cell>
          <cell r="M64">
            <v>220782.09598874996</v>
          </cell>
          <cell r="N64">
            <v>220782.09598874996</v>
          </cell>
        </row>
        <row r="65">
          <cell r="C65">
            <v>95184.968489572493</v>
          </cell>
          <cell r="D65">
            <v>261994.04130125244</v>
          </cell>
          <cell r="E65">
            <v>428803.11411293247</v>
          </cell>
          <cell r="F65">
            <v>595612.18692461238</v>
          </cell>
          <cell r="G65">
            <v>333645.63651042746</v>
          </cell>
          <cell r="H65">
            <v>381251.86619874742</v>
          </cell>
          <cell r="I65">
            <v>428858.09588706744</v>
          </cell>
          <cell r="J65">
            <v>476464.32557538745</v>
          </cell>
          <cell r="K65">
            <v>238433.17713378745</v>
          </cell>
          <cell r="L65">
            <v>238433.17713378745</v>
          </cell>
          <cell r="M65">
            <v>238433.17713378745</v>
          </cell>
          <cell r="N65">
            <v>238433.17713378745</v>
          </cell>
        </row>
        <row r="66">
          <cell r="C66">
            <v>89946.908679503831</v>
          </cell>
          <cell r="D66">
            <v>263668.24824111816</v>
          </cell>
          <cell r="E66">
            <v>437389.58780273248</v>
          </cell>
          <cell r="F66">
            <v>611110.92736434692</v>
          </cell>
          <cell r="G66">
            <v>360325.22657049604</v>
          </cell>
          <cell r="H66">
            <v>411739.95463388163</v>
          </cell>
          <cell r="I66">
            <v>463154.68269726727</v>
          </cell>
          <cell r="J66">
            <v>514569.41076065286</v>
          </cell>
          <cell r="K66">
            <v>257495.77044372485</v>
          </cell>
          <cell r="L66">
            <v>257495.77044372485</v>
          </cell>
          <cell r="M66">
            <v>257495.77044372485</v>
          </cell>
          <cell r="N66">
            <v>257495.77044372485</v>
          </cell>
        </row>
        <row r="67">
          <cell r="C67">
            <v>83647.161220168055</v>
          </cell>
          <cell r="D67">
            <v>264512.12591796153</v>
          </cell>
          <cell r="E67">
            <v>445377.09061575501</v>
          </cell>
          <cell r="F67">
            <v>626242.05531354854</v>
          </cell>
          <cell r="G67">
            <v>389138.58079233178</v>
          </cell>
          <cell r="H67">
            <v>444666.48710078822</v>
          </cell>
          <cell r="I67">
            <v>500194.39340924466</v>
          </cell>
          <cell r="J67">
            <v>555722.29971770104</v>
          </cell>
          <cell r="K67">
            <v>278082.7681754189</v>
          </cell>
          <cell r="L67">
            <v>278082.7681754189</v>
          </cell>
          <cell r="M67">
            <v>278082.7681754189</v>
          </cell>
          <cell r="N67">
            <v>278082.7681754189</v>
          </cell>
        </row>
        <row r="68">
          <cell r="C68">
            <v>76168.658956400614</v>
          </cell>
          <cell r="D68">
            <v>264411.03469982999</v>
          </cell>
          <cell r="E68">
            <v>452653.41044325952</v>
          </cell>
          <cell r="F68">
            <v>640895.78618668905</v>
          </cell>
          <cell r="G68">
            <v>420256.37015672424</v>
          </cell>
          <cell r="H68">
            <v>480226.50896985724</v>
          </cell>
          <cell r="I68">
            <v>540196.64778299024</v>
          </cell>
          <cell r="J68">
            <v>600166.78659612313</v>
          </cell>
          <cell r="K68">
            <v>300316.09253045835</v>
          </cell>
          <cell r="L68">
            <v>300316.09253045835</v>
          </cell>
          <cell r="M68">
            <v>300316.09253045835</v>
          </cell>
          <cell r="N68">
            <v>300316.09253045835</v>
          </cell>
        </row>
      </sheetData>
    </sheetDataSet>
  </externalBook>
</externalLink>
</file>

<file path=xl/tables/table1.xml><?xml version="1.0" encoding="utf-8"?>
<table xmlns="http://schemas.openxmlformats.org/spreadsheetml/2006/main" id="1" name="Tabla4" displayName="Tabla4" ref="G23:I33" totalsRowShown="0" headerRowDxfId="8" dataDxfId="7">
  <tableColumns count="3">
    <tableColumn id="1" name="Año" dataDxfId="6"/>
    <tableColumn id="2" name="Unidades" dataDxfId="5">
      <calculatedColumnFormula>G5</calculatedColumnFormula>
    </tableColumn>
    <tableColumn id="3" name="Precio p" dataDxfId="4"/>
  </tableColumns>
  <tableStyleInfo showFirstColumn="0" showLastColumn="0" showRowStripes="1" showColumnStripes="0"/>
</table>
</file>

<file path=xl/tables/table2.xml><?xml version="1.0" encoding="utf-8"?>
<table xmlns="http://schemas.openxmlformats.org/spreadsheetml/2006/main" id="2" name="Tabla5" displayName="Tabla5" ref="J23:K33" totalsRowShown="0" headerRowDxfId="3" dataDxfId="2">
  <tableColumns count="2">
    <tableColumn id="1" name="Costo variable (V)" dataDxfId="1"/>
    <tableColumn id="2" name="Costo fijo (F)" dataDxfId="0">
      <calculatedColumnFormula>SUM(G15:G18)</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heetViews>
  <sheetFormatPr baseColWidth="10" defaultRowHeight="15"/>
  <cols>
    <col min="1" max="16384" width="11.42578125" style="3"/>
  </cols>
  <sheetData>
    <row r="1" spans="1:14">
      <c r="A1" s="5"/>
      <c r="B1" s="5"/>
      <c r="C1" s="5"/>
      <c r="D1" s="5"/>
      <c r="E1" s="5"/>
      <c r="F1" s="5"/>
      <c r="G1" s="5"/>
      <c r="H1" s="5"/>
      <c r="I1" s="5"/>
      <c r="J1" s="5"/>
      <c r="K1" s="5"/>
      <c r="L1" s="5"/>
      <c r="M1" s="5"/>
      <c r="N1" s="5"/>
    </row>
    <row r="2" spans="1:14">
      <c r="A2" s="5"/>
      <c r="B2" s="131"/>
      <c r="C2" s="131"/>
      <c r="D2" s="131"/>
      <c r="E2" s="131"/>
      <c r="F2" s="131"/>
      <c r="G2" s="131"/>
      <c r="H2" s="131"/>
      <c r="I2" s="131"/>
      <c r="J2" s="131"/>
      <c r="K2" s="131"/>
      <c r="L2" s="131"/>
      <c r="M2" s="131"/>
      <c r="N2" s="5"/>
    </row>
    <row r="3" spans="1:14">
      <c r="A3" s="5"/>
      <c r="B3" s="131"/>
      <c r="C3" s="131"/>
      <c r="D3" s="131"/>
      <c r="E3" s="131"/>
      <c r="F3" s="131"/>
      <c r="G3" s="131"/>
      <c r="H3" s="131"/>
      <c r="I3" s="131"/>
      <c r="J3" s="131"/>
      <c r="K3" s="131"/>
      <c r="L3" s="131"/>
      <c r="M3" s="131"/>
      <c r="N3" s="5"/>
    </row>
    <row r="4" spans="1:14">
      <c r="A4" s="5"/>
      <c r="B4" s="5"/>
      <c r="C4" s="5"/>
      <c r="D4" s="5"/>
      <c r="E4" s="5"/>
      <c r="F4" s="5"/>
      <c r="G4" s="5"/>
      <c r="H4" s="5"/>
      <c r="I4" s="5"/>
      <c r="J4" s="5"/>
      <c r="K4" s="5"/>
      <c r="L4" s="5"/>
      <c r="M4" s="5"/>
      <c r="N4" s="5"/>
    </row>
    <row r="5" spans="1:14">
      <c r="A5" s="5"/>
      <c r="B5" s="132"/>
      <c r="C5" s="132"/>
      <c r="D5" s="132"/>
      <c r="E5" s="132"/>
      <c r="F5" s="132"/>
      <c r="G5" s="132"/>
      <c r="H5" s="132"/>
      <c r="I5" s="132"/>
      <c r="J5" s="132"/>
      <c r="K5" s="132"/>
      <c r="L5" s="132"/>
      <c r="M5" s="132"/>
      <c r="N5" s="5"/>
    </row>
    <row r="6" spans="1:14">
      <c r="A6" s="5"/>
      <c r="B6" s="132"/>
      <c r="C6" s="132"/>
      <c r="D6" s="132"/>
      <c r="E6" s="132"/>
      <c r="F6" s="132"/>
      <c r="G6" s="132"/>
      <c r="H6" s="132"/>
      <c r="I6" s="132"/>
      <c r="J6" s="132"/>
      <c r="K6" s="132"/>
      <c r="L6" s="132"/>
      <c r="M6" s="132"/>
      <c r="N6" s="5"/>
    </row>
    <row r="7" spans="1:14">
      <c r="A7" s="5"/>
      <c r="B7" s="5"/>
      <c r="C7" s="5"/>
      <c r="D7" s="5"/>
      <c r="E7" s="5"/>
      <c r="F7" s="5"/>
      <c r="G7" s="5"/>
      <c r="H7" s="5"/>
      <c r="I7" s="5"/>
      <c r="J7" s="5"/>
      <c r="K7" s="5"/>
      <c r="L7" s="5"/>
      <c r="M7" s="5"/>
      <c r="N7" s="5"/>
    </row>
    <row r="8" spans="1:14">
      <c r="A8" s="5"/>
      <c r="B8" s="5"/>
      <c r="C8" s="5"/>
      <c r="D8" s="5"/>
      <c r="E8" s="5"/>
      <c r="F8" s="5"/>
      <c r="G8" s="5"/>
      <c r="H8" s="5"/>
      <c r="I8" s="5"/>
      <c r="J8" s="5"/>
      <c r="K8" s="5"/>
      <c r="L8" s="5"/>
      <c r="M8" s="5"/>
      <c r="N8" s="5"/>
    </row>
    <row r="9" spans="1:14" ht="18.75">
      <c r="A9" s="133"/>
      <c r="B9" s="133"/>
      <c r="C9" s="133"/>
      <c r="D9" s="133"/>
      <c r="E9" s="5"/>
      <c r="F9" s="5"/>
      <c r="G9" s="5"/>
      <c r="H9" s="5"/>
      <c r="I9" s="5"/>
      <c r="J9" s="5"/>
      <c r="K9" s="5"/>
      <c r="L9" s="5"/>
      <c r="M9" s="81"/>
      <c r="N9" s="5"/>
    </row>
    <row r="10" spans="1:14">
      <c r="A10" s="5"/>
      <c r="B10" s="82"/>
      <c r="C10" s="82"/>
      <c r="D10" s="82"/>
      <c r="E10" s="5"/>
      <c r="F10" s="5"/>
      <c r="G10" s="5"/>
      <c r="H10" s="5"/>
      <c r="I10" s="5"/>
      <c r="J10" s="134"/>
      <c r="K10" s="134"/>
      <c r="L10" s="134"/>
      <c r="M10" s="134"/>
      <c r="N10" s="5"/>
    </row>
    <row r="11" spans="1:14">
      <c r="A11" s="5"/>
      <c r="B11" s="5"/>
      <c r="C11" s="5"/>
      <c r="D11" s="5"/>
      <c r="E11" s="5"/>
      <c r="F11" s="5"/>
      <c r="G11" s="5"/>
      <c r="H11" s="5"/>
      <c r="I11" s="5"/>
      <c r="J11" s="134"/>
      <c r="K11" s="134"/>
      <c r="L11" s="134"/>
      <c r="M11" s="134"/>
      <c r="N11" s="5"/>
    </row>
    <row r="12" spans="1:14">
      <c r="A12" s="5"/>
      <c r="B12" s="5"/>
      <c r="C12" s="5"/>
      <c r="D12" s="5"/>
      <c r="E12" s="5"/>
      <c r="F12" s="5"/>
      <c r="G12" s="5"/>
      <c r="H12" s="5"/>
      <c r="I12" s="5"/>
      <c r="J12" s="5"/>
      <c r="K12" s="5"/>
      <c r="L12" s="5"/>
      <c r="M12" s="5"/>
      <c r="N12" s="5"/>
    </row>
    <row r="13" spans="1:14">
      <c r="A13" s="5"/>
      <c r="B13" s="5"/>
      <c r="C13" s="5"/>
      <c r="D13" s="5"/>
      <c r="E13" s="5"/>
      <c r="F13" s="5"/>
      <c r="G13" s="5"/>
      <c r="H13" s="5"/>
      <c r="I13" s="5"/>
      <c r="J13" s="5"/>
      <c r="K13" s="5"/>
      <c r="L13" s="5"/>
      <c r="M13" s="5"/>
      <c r="N13" s="5"/>
    </row>
    <row r="14" spans="1:14">
      <c r="A14" s="5"/>
      <c r="B14" s="5"/>
      <c r="C14" s="5"/>
      <c r="D14" s="5"/>
      <c r="E14" s="5"/>
      <c r="F14" s="5"/>
      <c r="G14" s="5"/>
      <c r="H14" s="5"/>
      <c r="I14" s="5"/>
      <c r="J14" s="5"/>
      <c r="K14" s="5"/>
      <c r="L14" s="5"/>
      <c r="M14" s="5"/>
      <c r="N14" s="5"/>
    </row>
    <row r="15" spans="1:14">
      <c r="A15" s="5"/>
      <c r="B15" s="5"/>
      <c r="C15" s="5"/>
      <c r="D15" s="5"/>
      <c r="E15" s="5"/>
      <c r="F15" s="5"/>
      <c r="G15" s="5"/>
      <c r="H15" s="5"/>
      <c r="I15" s="130"/>
      <c r="J15" s="130"/>
      <c r="K15" s="130"/>
      <c r="L15" s="130"/>
      <c r="M15" s="5"/>
      <c r="N15" s="5"/>
    </row>
    <row r="16" spans="1:14">
      <c r="A16" s="5"/>
      <c r="B16" s="5"/>
      <c r="C16" s="5"/>
      <c r="D16" s="5"/>
      <c r="E16" s="5"/>
      <c r="F16" s="5"/>
      <c r="G16" s="5"/>
      <c r="H16" s="5"/>
      <c r="I16" s="130"/>
      <c r="J16" s="130"/>
      <c r="K16" s="130"/>
      <c r="L16" s="130"/>
      <c r="M16" s="5"/>
      <c r="N16" s="5"/>
    </row>
    <row r="17" spans="1:14">
      <c r="A17" s="5"/>
      <c r="B17" s="5"/>
      <c r="C17" s="5"/>
      <c r="D17" s="5"/>
      <c r="E17" s="5"/>
      <c r="F17" s="5"/>
      <c r="G17" s="5"/>
      <c r="H17" s="5"/>
      <c r="I17" s="130"/>
      <c r="J17" s="130"/>
      <c r="K17" s="130"/>
      <c r="L17" s="130"/>
      <c r="M17" s="5"/>
      <c r="N17" s="5"/>
    </row>
    <row r="18" spans="1:14">
      <c r="A18" s="5"/>
      <c r="B18" s="5"/>
      <c r="C18" s="5"/>
      <c r="D18" s="5"/>
      <c r="E18" s="5"/>
      <c r="F18" s="5"/>
      <c r="G18" s="5"/>
      <c r="H18" s="5"/>
      <c r="I18" s="5"/>
      <c r="J18" s="5"/>
      <c r="K18" s="5"/>
      <c r="L18" s="5"/>
      <c r="M18" s="5"/>
      <c r="N18" s="5"/>
    </row>
    <row r="19" spans="1:14">
      <c r="A19" s="5"/>
      <c r="B19" s="5"/>
      <c r="C19" s="5"/>
      <c r="D19" s="5"/>
      <c r="E19" s="5"/>
      <c r="F19" s="5"/>
      <c r="G19" s="5"/>
      <c r="H19" s="5"/>
      <c r="I19" s="5"/>
      <c r="J19" s="5"/>
      <c r="K19" s="5"/>
      <c r="L19" s="5"/>
      <c r="M19" s="5"/>
      <c r="N19" s="5"/>
    </row>
    <row r="20" spans="1:14">
      <c r="A20" s="5"/>
      <c r="B20" s="5"/>
      <c r="C20" s="5"/>
      <c r="D20" s="5"/>
      <c r="E20" s="5"/>
      <c r="F20" s="5"/>
      <c r="G20" s="5"/>
      <c r="H20" s="5"/>
      <c r="I20" s="5"/>
      <c r="J20" s="5"/>
      <c r="K20" s="5"/>
      <c r="L20" s="5"/>
      <c r="M20" s="5"/>
      <c r="N20" s="5"/>
    </row>
    <row r="21" spans="1:14">
      <c r="A21" s="5"/>
      <c r="B21" s="5"/>
      <c r="C21" s="5"/>
      <c r="D21" s="5"/>
      <c r="E21" s="5"/>
      <c r="F21" s="5"/>
      <c r="G21" s="5"/>
      <c r="H21" s="5"/>
      <c r="I21" s="5"/>
      <c r="J21" s="5"/>
      <c r="K21" s="5"/>
      <c r="L21" s="5"/>
      <c r="M21" s="5"/>
      <c r="N21" s="5"/>
    </row>
    <row r="22" spans="1:14">
      <c r="A22" s="5"/>
      <c r="B22" s="5"/>
      <c r="C22" s="5"/>
      <c r="D22" s="5"/>
      <c r="E22" s="5"/>
      <c r="F22" s="5"/>
      <c r="G22" s="5"/>
      <c r="H22" s="5"/>
      <c r="I22" s="5"/>
      <c r="J22" s="5"/>
      <c r="K22" s="5"/>
      <c r="L22" s="5"/>
      <c r="M22" s="5"/>
      <c r="N22" s="5"/>
    </row>
    <row r="23" spans="1:14">
      <c r="A23" s="5"/>
      <c r="B23" s="5"/>
      <c r="C23" s="5"/>
      <c r="D23" s="5"/>
      <c r="E23" s="5"/>
      <c r="F23" s="5"/>
      <c r="G23" s="5"/>
      <c r="H23" s="5"/>
      <c r="I23" s="5"/>
      <c r="J23" s="5"/>
      <c r="K23" s="5"/>
      <c r="L23" s="5"/>
      <c r="M23" s="5"/>
      <c r="N23" s="5"/>
    </row>
    <row r="24" spans="1:14">
      <c r="A24" s="5"/>
      <c r="B24" s="5"/>
      <c r="C24" s="5"/>
      <c r="D24" s="5"/>
      <c r="E24" s="5"/>
      <c r="F24" s="5"/>
      <c r="G24" s="5"/>
      <c r="H24" s="5"/>
      <c r="I24" s="5"/>
      <c r="J24" s="5"/>
      <c r="K24" s="5"/>
      <c r="L24" s="5"/>
      <c r="M24" s="5"/>
      <c r="N24" s="5"/>
    </row>
    <row r="25" spans="1:14">
      <c r="A25" s="5"/>
      <c r="B25" s="5"/>
      <c r="C25" s="5"/>
      <c r="D25" s="5"/>
      <c r="E25" s="5"/>
      <c r="F25" s="5"/>
      <c r="G25" s="5"/>
      <c r="H25" s="5"/>
      <c r="I25" s="5"/>
      <c r="J25" s="5"/>
      <c r="K25" s="5"/>
      <c r="L25" s="5"/>
      <c r="M25" s="5"/>
      <c r="N25" s="5"/>
    </row>
    <row r="26" spans="1:14">
      <c r="A26" s="5"/>
      <c r="B26" s="5"/>
      <c r="C26" s="5"/>
      <c r="D26" s="5"/>
      <c r="E26" s="5"/>
      <c r="F26" s="5"/>
      <c r="G26" s="5"/>
      <c r="H26" s="5"/>
      <c r="I26" s="5"/>
      <c r="J26" s="5"/>
      <c r="K26" s="5"/>
      <c r="L26" s="5"/>
      <c r="M26" s="5"/>
      <c r="N26" s="5"/>
    </row>
    <row r="27" spans="1:14">
      <c r="A27" s="5"/>
      <c r="B27" s="5"/>
      <c r="C27" s="5"/>
      <c r="D27" s="5"/>
      <c r="E27" s="5"/>
      <c r="F27" s="5"/>
      <c r="G27" s="5"/>
      <c r="H27" s="5"/>
      <c r="I27" s="5"/>
      <c r="J27" s="5"/>
      <c r="K27" s="5"/>
      <c r="L27" s="5"/>
      <c r="M27" s="5"/>
      <c r="N27" s="5"/>
    </row>
    <row r="28" spans="1:14">
      <c r="A28" s="5"/>
      <c r="B28" s="5"/>
      <c r="D28" s="5"/>
      <c r="E28" s="5"/>
      <c r="F28" s="5"/>
      <c r="G28" s="5"/>
      <c r="H28" s="5"/>
      <c r="I28" s="5"/>
      <c r="J28" s="5"/>
      <c r="K28" s="5"/>
      <c r="L28" s="5"/>
      <c r="M28" s="5"/>
      <c r="N28" s="5"/>
    </row>
    <row r="29" spans="1:14">
      <c r="A29" s="5"/>
      <c r="B29" s="5"/>
      <c r="C29" s="5"/>
      <c r="D29" s="5"/>
      <c r="E29" s="5"/>
      <c r="F29" s="5"/>
      <c r="G29" s="5"/>
      <c r="H29" s="5"/>
      <c r="I29" s="5"/>
      <c r="J29" s="5"/>
      <c r="K29" s="5"/>
      <c r="L29" s="5"/>
      <c r="M29" s="5"/>
      <c r="N29" s="5"/>
    </row>
    <row r="30" spans="1:14">
      <c r="A30" s="5"/>
      <c r="B30" s="5"/>
      <c r="C30" s="5"/>
      <c r="D30" s="5"/>
      <c r="E30" s="5"/>
      <c r="F30" s="5"/>
      <c r="G30" s="5"/>
      <c r="H30" s="5"/>
      <c r="I30" s="5"/>
      <c r="J30" s="5"/>
      <c r="K30" s="5"/>
      <c r="L30" s="5"/>
      <c r="M30" s="5"/>
      <c r="N30" s="5"/>
    </row>
    <row r="31" spans="1:14">
      <c r="A31" s="5"/>
      <c r="B31" s="5"/>
      <c r="C31" s="5"/>
      <c r="D31" s="5"/>
      <c r="E31" s="5"/>
      <c r="F31" s="5"/>
      <c r="G31" s="5"/>
      <c r="H31" s="5"/>
      <c r="I31" s="5"/>
      <c r="J31" s="5"/>
      <c r="K31" s="5"/>
      <c r="L31" s="5"/>
      <c r="M31" s="5"/>
      <c r="N31" s="5"/>
    </row>
    <row r="32" spans="1:14">
      <c r="A32" s="5"/>
      <c r="B32" s="5"/>
      <c r="C32" s="5"/>
      <c r="D32" s="5"/>
      <c r="E32" s="5"/>
      <c r="F32" s="5"/>
      <c r="G32" s="5"/>
      <c r="H32" s="5"/>
      <c r="I32" s="5"/>
      <c r="J32" s="5"/>
      <c r="K32" s="5"/>
      <c r="L32" s="5"/>
      <c r="M32" s="5"/>
      <c r="N32" s="5"/>
    </row>
    <row r="33" spans="1:14">
      <c r="A33" s="5"/>
      <c r="B33" s="5"/>
      <c r="C33" s="5"/>
      <c r="D33" s="5"/>
      <c r="E33" s="5"/>
      <c r="F33" s="5"/>
      <c r="G33" s="5"/>
      <c r="H33" s="5"/>
      <c r="I33" s="5"/>
      <c r="J33" s="5"/>
      <c r="K33" s="5"/>
      <c r="L33" s="5"/>
      <c r="M33" s="5"/>
      <c r="N33" s="5"/>
    </row>
    <row r="34" spans="1:14">
      <c r="A34" s="5"/>
      <c r="B34" s="5"/>
      <c r="C34" s="5"/>
      <c r="D34" s="5"/>
      <c r="E34" s="5"/>
      <c r="F34" s="5"/>
      <c r="G34" s="5"/>
      <c r="H34" s="5"/>
      <c r="I34" s="5"/>
      <c r="J34" s="5"/>
      <c r="K34" s="5"/>
      <c r="L34" s="5"/>
      <c r="M34" s="5"/>
      <c r="N34" s="5"/>
    </row>
    <row r="35" spans="1:14">
      <c r="A35" s="5"/>
      <c r="B35" s="5"/>
      <c r="C35" s="5"/>
      <c r="D35" s="5"/>
      <c r="E35" s="5"/>
      <c r="F35" s="5"/>
      <c r="G35" s="5"/>
      <c r="H35" s="5"/>
      <c r="I35" s="5"/>
      <c r="J35" s="5"/>
      <c r="K35" s="5"/>
      <c r="L35" s="5"/>
      <c r="M35" s="5"/>
      <c r="N35" s="5"/>
    </row>
    <row r="36" spans="1:14">
      <c r="A36" s="5"/>
      <c r="B36" s="5"/>
      <c r="C36" s="5"/>
      <c r="D36" s="5"/>
      <c r="E36" s="5"/>
      <c r="F36" s="5"/>
      <c r="G36" s="5"/>
      <c r="H36" s="5"/>
      <c r="I36" s="5"/>
      <c r="J36" s="5"/>
      <c r="K36" s="5"/>
      <c r="L36" s="5"/>
      <c r="M36" s="5"/>
      <c r="N36" s="5"/>
    </row>
    <row r="37" spans="1:14">
      <c r="A37" s="5"/>
      <c r="B37" s="5"/>
      <c r="C37" s="5"/>
      <c r="D37" s="5"/>
      <c r="E37" s="5"/>
      <c r="F37" s="5"/>
      <c r="G37" s="5"/>
      <c r="H37" s="5"/>
      <c r="I37" s="5"/>
      <c r="J37" s="5"/>
      <c r="K37" s="5"/>
      <c r="L37" s="5"/>
      <c r="M37" s="5"/>
      <c r="N37" s="5"/>
    </row>
    <row r="38" spans="1:14">
      <c r="A38" s="5"/>
      <c r="B38" s="5"/>
      <c r="C38" s="5"/>
      <c r="D38" s="5"/>
      <c r="E38" s="5"/>
      <c r="F38" s="5"/>
      <c r="G38" s="5"/>
      <c r="H38" s="5"/>
      <c r="I38" s="5"/>
      <c r="J38" s="5"/>
      <c r="K38" s="5"/>
      <c r="L38" s="5"/>
      <c r="M38" s="5"/>
      <c r="N38" s="5"/>
    </row>
    <row r="39" spans="1:14">
      <c r="A39" s="5"/>
      <c r="B39" s="5"/>
      <c r="C39" s="5"/>
      <c r="D39" s="5"/>
      <c r="E39" s="5"/>
      <c r="F39" s="5"/>
      <c r="G39" s="5"/>
      <c r="H39" s="5"/>
      <c r="I39" s="5"/>
      <c r="J39" s="5"/>
      <c r="K39" s="5"/>
      <c r="L39" s="5"/>
      <c r="M39" s="5"/>
      <c r="N39" s="5"/>
    </row>
    <row r="40" spans="1:14">
      <c r="A40" s="5"/>
      <c r="B40" s="5"/>
      <c r="C40" s="5"/>
      <c r="D40" s="5"/>
      <c r="E40" s="5"/>
      <c r="F40" s="5"/>
      <c r="G40" s="5"/>
      <c r="H40" s="5"/>
      <c r="I40" s="5"/>
      <c r="J40" s="5"/>
      <c r="K40" s="5"/>
      <c r="L40" s="5"/>
      <c r="M40" s="5"/>
      <c r="N40" s="5"/>
    </row>
    <row r="41" spans="1:14">
      <c r="A41" s="5"/>
      <c r="B41" s="5"/>
      <c r="C41" s="5"/>
      <c r="D41" s="5"/>
      <c r="E41" s="5"/>
      <c r="F41" s="5"/>
      <c r="G41" s="5"/>
      <c r="H41" s="5"/>
      <c r="I41" s="5"/>
      <c r="J41" s="5"/>
      <c r="K41" s="5"/>
      <c r="L41" s="5"/>
      <c r="M41" s="5"/>
      <c r="N41" s="5"/>
    </row>
    <row r="42" spans="1:14">
      <c r="A42" s="5"/>
      <c r="B42" s="5"/>
      <c r="C42" s="5"/>
      <c r="D42" s="5"/>
      <c r="E42" s="5"/>
      <c r="F42" s="5"/>
      <c r="G42" s="5"/>
      <c r="H42" s="5"/>
      <c r="I42" s="5"/>
      <c r="J42" s="5"/>
      <c r="K42" s="5"/>
      <c r="L42" s="5"/>
      <c r="M42" s="5"/>
      <c r="N42" s="5"/>
    </row>
  </sheetData>
  <mergeCells count="6">
    <mergeCell ref="I15:L17"/>
    <mergeCell ref="B2:M3"/>
    <mergeCell ref="B5:M6"/>
    <mergeCell ref="A9:D9"/>
    <mergeCell ref="J10:M10"/>
    <mergeCell ref="J11:M11"/>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heetViews>
  <sheetFormatPr baseColWidth="10" defaultRowHeight="15"/>
  <cols>
    <col min="1" max="1" width="23.28515625" style="2" customWidth="1"/>
    <col min="2" max="4" width="11.42578125" style="3"/>
    <col min="5" max="5" width="30.7109375" style="3" bestFit="1" customWidth="1"/>
    <col min="6" max="6" width="6" style="3" customWidth="1"/>
    <col min="7" max="7" width="5.5703125" style="3" customWidth="1"/>
    <col min="8" max="8" width="6.5703125" style="3" customWidth="1"/>
    <col min="9" max="9" width="7.5703125" style="3" customWidth="1"/>
    <col min="10" max="10" width="5.42578125" style="3" customWidth="1"/>
    <col min="11" max="11" width="8" style="3" customWidth="1"/>
    <col min="12" max="16384" width="11.42578125" style="3"/>
  </cols>
  <sheetData>
    <row r="1" spans="1:12" s="4" customFormat="1">
      <c r="F1" s="155" t="s">
        <v>125</v>
      </c>
      <c r="G1" s="155"/>
      <c r="H1" s="155"/>
      <c r="I1" s="155"/>
      <c r="J1" s="155"/>
    </row>
    <row r="2" spans="1:12" s="4" customFormat="1">
      <c r="F2" s="155"/>
      <c r="G2" s="155"/>
      <c r="H2" s="155"/>
      <c r="I2" s="155"/>
      <c r="J2" s="155"/>
    </row>
    <row r="3" spans="1:12">
      <c r="A3" s="3"/>
    </row>
    <row r="4" spans="1:12">
      <c r="A4" s="3"/>
    </row>
    <row r="5" spans="1:12">
      <c r="A5" s="3"/>
    </row>
    <row r="6" spans="1:12">
      <c r="A6" s="3"/>
      <c r="E6" s="4" t="s">
        <v>126</v>
      </c>
      <c r="F6" s="181" t="s">
        <v>133</v>
      </c>
      <c r="G6" s="181"/>
      <c r="H6" s="181"/>
      <c r="I6" s="181"/>
      <c r="J6" s="181"/>
      <c r="K6" s="181"/>
      <c r="L6" s="181"/>
    </row>
    <row r="7" spans="1:12">
      <c r="A7" s="3"/>
      <c r="E7" s="35" t="s">
        <v>127</v>
      </c>
      <c r="F7" s="77">
        <f>'Métodos de Evaluación'!H12</f>
        <v>3</v>
      </c>
      <c r="G7" s="74" t="str">
        <f>'Métodos de Evaluación'!H11</f>
        <v>Años</v>
      </c>
      <c r="H7" s="80">
        <f>'Métodos de Evaluación'!I12</f>
        <v>3</v>
      </c>
      <c r="I7" s="74" t="str">
        <f>'Métodos de Evaluación'!I11</f>
        <v>Meses</v>
      </c>
      <c r="J7" s="80">
        <f>'Métodos de Evaluación'!J12</f>
        <v>19</v>
      </c>
      <c r="K7" s="75" t="str">
        <f>'Métodos de Evaluación'!J11</f>
        <v>Dias</v>
      </c>
      <c r="L7" s="20" t="str">
        <f>IF(Resultados!M11&lt;=2,"ACEPTADO","RECHAZADO")</f>
        <v>ACEPTADO</v>
      </c>
    </row>
    <row r="8" spans="1:12">
      <c r="A8" s="3"/>
      <c r="E8" s="10" t="s">
        <v>128</v>
      </c>
      <c r="F8" s="78">
        <f>'Métodos de Evaluación'!H21</f>
        <v>3</v>
      </c>
      <c r="G8" s="73" t="str">
        <f>'Métodos de Evaluación'!H20</f>
        <v>años</v>
      </c>
      <c r="H8" s="79">
        <f>'Métodos de Evaluación'!I21</f>
        <v>3</v>
      </c>
      <c r="I8" s="73" t="str">
        <f>'Métodos de Evaluación'!I20</f>
        <v>meses</v>
      </c>
      <c r="J8" s="79">
        <f>'Métodos de Evaluación'!J21</f>
        <v>19</v>
      </c>
      <c r="K8" s="20" t="str">
        <f>'Métodos de Evaluación'!J20</f>
        <v>dias</v>
      </c>
      <c r="L8" s="20" t="str">
        <f>IF('Métodos de Evaluación'!M20&lt;2,"ACEPTADO","RECHAZADO")</f>
        <v>RECHAZADO</v>
      </c>
    </row>
    <row r="9" spans="1:12">
      <c r="A9" s="3"/>
      <c r="E9" s="10" t="s">
        <v>129</v>
      </c>
      <c r="F9" s="177">
        <f>'Métodos de Evaluación'!J25</f>
        <v>-0.8406762044881243</v>
      </c>
      <c r="G9" s="178"/>
      <c r="H9" s="178"/>
      <c r="I9" s="178"/>
      <c r="J9" s="178"/>
      <c r="K9" s="178"/>
      <c r="L9" s="9" t="str">
        <f>'Métodos de Evaluación'!K25</f>
        <v>RECHAZADO</v>
      </c>
    </row>
    <row r="10" spans="1:12">
      <c r="A10" s="3"/>
      <c r="E10" s="10" t="s">
        <v>130</v>
      </c>
      <c r="F10" s="142">
        <f>'Métodos de Evaluación'!J30</f>
        <v>-8.4067620448812423</v>
      </c>
      <c r="G10" s="142"/>
      <c r="H10" s="142"/>
      <c r="I10" s="142"/>
      <c r="J10" s="142"/>
      <c r="K10" s="142"/>
      <c r="L10" s="9" t="str">
        <f>'Métodos de Evaluación'!K30</f>
        <v>RECHAZADO</v>
      </c>
    </row>
    <row r="11" spans="1:12">
      <c r="A11" s="3"/>
      <c r="E11" s="10" t="s">
        <v>131</v>
      </c>
      <c r="F11" s="179">
        <f>'Métodos de Evaluación'!H35</f>
        <v>-2068177.3130820948</v>
      </c>
      <c r="G11" s="179"/>
      <c r="H11" s="179"/>
      <c r="I11" s="179"/>
      <c r="J11" s="179"/>
      <c r="K11" s="179"/>
      <c r="L11" s="9" t="str">
        <f>'Métodos de Evaluación'!I35</f>
        <v>RECHAZADO</v>
      </c>
    </row>
    <row r="12" spans="1:12">
      <c r="A12" s="3"/>
      <c r="E12" s="10" t="s">
        <v>132</v>
      </c>
      <c r="F12" s="180">
        <f>'Métodos de Evaluación'!L49</f>
        <v>0.35851858518000568</v>
      </c>
      <c r="G12" s="142"/>
      <c r="H12" s="142"/>
      <c r="I12" s="142"/>
      <c r="J12" s="142"/>
      <c r="K12" s="142"/>
      <c r="L12" s="9" t="str">
        <f>'Métodos de Evaluación'!M49</f>
        <v>ACEPTADO</v>
      </c>
    </row>
    <row r="13" spans="1:12">
      <c r="A13" s="3"/>
    </row>
    <row r="14" spans="1:12">
      <c r="A14" s="3"/>
    </row>
    <row r="15" spans="1:12">
      <c r="A15" s="3"/>
    </row>
    <row r="16" spans="1:12">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sheetData>
  <mergeCells count="6">
    <mergeCell ref="F1:J2"/>
    <mergeCell ref="F9:K9"/>
    <mergeCell ref="F10:K10"/>
    <mergeCell ref="F11:K11"/>
    <mergeCell ref="F12:K12"/>
    <mergeCell ref="F6:L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topLeftCell="A13" workbookViewId="0">
      <selection activeCell="L31" sqref="L31"/>
    </sheetView>
  </sheetViews>
  <sheetFormatPr baseColWidth="10" defaultRowHeight="15"/>
  <cols>
    <col min="1" max="3" width="11.42578125" style="2"/>
    <col min="4" max="4" width="13.5703125" style="2" customWidth="1"/>
    <col min="5" max="8" width="11.42578125" style="2"/>
    <col min="9" max="9" width="14.7109375" style="2" customWidth="1"/>
    <col min="10" max="12" width="11.42578125" style="2"/>
    <col min="13" max="13" width="8.28515625" style="2" customWidth="1"/>
    <col min="14" max="14" width="8.42578125" style="2" customWidth="1"/>
    <col min="15" max="15" width="11.42578125" style="2"/>
    <col min="16" max="16" width="10.7109375" style="2" customWidth="1"/>
    <col min="17" max="16384" width="11.42578125" style="2"/>
  </cols>
  <sheetData>
    <row r="1" spans="1:25">
      <c r="A1" s="135" t="s">
        <v>79</v>
      </c>
      <c r="B1" s="135"/>
      <c r="C1" s="135"/>
      <c r="D1" s="135"/>
      <c r="E1" s="135"/>
      <c r="F1" s="135"/>
      <c r="G1" s="135"/>
      <c r="H1" s="135"/>
      <c r="I1" s="135"/>
      <c r="J1" s="135"/>
      <c r="K1" s="135"/>
      <c r="L1" s="4"/>
      <c r="M1" s="4"/>
      <c r="N1" s="4"/>
      <c r="O1" s="4"/>
      <c r="P1" s="4"/>
      <c r="Q1" s="4"/>
      <c r="R1" s="4"/>
      <c r="S1" s="4"/>
      <c r="T1" s="3"/>
      <c r="U1" s="3"/>
      <c r="V1" s="3"/>
      <c r="W1" s="3"/>
      <c r="X1" s="3"/>
    </row>
    <row r="2" spans="1:25">
      <c r="A2" s="135"/>
      <c r="B2" s="135"/>
      <c r="C2" s="135"/>
      <c r="D2" s="135"/>
      <c r="E2" s="135"/>
      <c r="F2" s="135"/>
      <c r="G2" s="135"/>
      <c r="H2" s="135"/>
      <c r="I2" s="135"/>
      <c r="J2" s="135"/>
      <c r="K2" s="135"/>
      <c r="L2" s="4"/>
      <c r="M2" s="4"/>
      <c r="N2" s="4"/>
      <c r="O2" s="4"/>
      <c r="P2" s="4"/>
      <c r="Q2" s="4"/>
      <c r="R2" s="4"/>
      <c r="S2" s="4"/>
      <c r="T2" s="3"/>
      <c r="U2" s="3"/>
      <c r="V2" s="3"/>
      <c r="W2" s="3"/>
      <c r="X2" s="3"/>
    </row>
    <row r="3" spans="1:25">
      <c r="A3" s="135"/>
      <c r="B3" s="135"/>
      <c r="C3" s="135"/>
      <c r="D3" s="135"/>
      <c r="E3" s="135"/>
      <c r="F3" s="135"/>
      <c r="G3" s="135"/>
      <c r="H3" s="135"/>
      <c r="I3" s="135"/>
      <c r="J3" s="135"/>
      <c r="K3" s="135"/>
      <c r="L3" s="4"/>
      <c r="M3" s="4"/>
      <c r="N3" s="4"/>
      <c r="O3" s="4"/>
      <c r="P3" s="4"/>
      <c r="Q3" s="4"/>
      <c r="R3" s="4"/>
      <c r="S3" s="4"/>
      <c r="T3" s="3"/>
      <c r="U3" s="3"/>
      <c r="V3" s="3"/>
      <c r="W3" s="3"/>
      <c r="X3" s="3"/>
    </row>
    <row r="4" spans="1:25">
      <c r="A4" s="3"/>
      <c r="B4" s="3"/>
      <c r="C4" s="3"/>
      <c r="D4" s="3"/>
      <c r="E4" s="3"/>
      <c r="F4" s="3"/>
      <c r="G4" s="3"/>
      <c r="H4" s="3"/>
      <c r="I4" s="3"/>
      <c r="J4" s="3"/>
      <c r="K4" s="3"/>
      <c r="L4" s="3"/>
      <c r="M4" s="3"/>
      <c r="N4" s="3"/>
      <c r="O4" s="3"/>
      <c r="P4" s="3"/>
      <c r="Q4" s="3"/>
      <c r="R4" s="3"/>
      <c r="S4" s="3"/>
      <c r="T4" s="3"/>
      <c r="U4" s="3"/>
      <c r="V4" s="3"/>
      <c r="W4" s="3"/>
      <c r="X4" s="3"/>
    </row>
    <row r="5" spans="1:25">
      <c r="A5" s="3"/>
      <c r="B5" s="3"/>
      <c r="C5" s="3"/>
      <c r="D5" s="3"/>
      <c r="E5" s="3"/>
      <c r="F5" s="3"/>
      <c r="G5" s="3"/>
      <c r="H5" s="3"/>
      <c r="I5" s="3"/>
      <c r="J5" s="3"/>
      <c r="K5" s="3"/>
      <c r="L5" s="3"/>
      <c r="M5" s="3"/>
      <c r="N5" s="3"/>
      <c r="O5" s="3"/>
      <c r="P5" s="3"/>
      <c r="Q5" s="3"/>
      <c r="R5" s="3"/>
      <c r="S5" s="3"/>
      <c r="T5" s="3"/>
      <c r="U5" s="3"/>
      <c r="V5" s="3"/>
      <c r="W5" s="3"/>
      <c r="X5" s="3"/>
    </row>
    <row r="6" spans="1:25">
      <c r="A6" s="3"/>
      <c r="B6" s="3"/>
      <c r="C6" s="3"/>
      <c r="D6" s="3"/>
      <c r="E6" s="3"/>
      <c r="F6" s="3"/>
      <c r="G6" s="3"/>
      <c r="H6" s="3"/>
      <c r="I6" s="3"/>
      <c r="J6" s="3"/>
      <c r="K6" s="3"/>
      <c r="L6" s="3"/>
      <c r="M6" s="3"/>
      <c r="N6" s="3"/>
      <c r="O6" s="3"/>
      <c r="P6" s="3"/>
      <c r="Q6" s="3"/>
      <c r="R6" s="3"/>
      <c r="S6" s="3"/>
      <c r="T6" s="3"/>
      <c r="U6" s="3"/>
      <c r="V6" s="3"/>
      <c r="W6" s="3"/>
      <c r="X6" s="3"/>
    </row>
    <row r="7" spans="1:25">
      <c r="A7" s="3"/>
      <c r="B7" s="3"/>
      <c r="C7" s="3"/>
      <c r="D7" s="3"/>
      <c r="E7" s="3"/>
      <c r="F7" s="3"/>
      <c r="G7" s="3"/>
      <c r="H7" s="3"/>
      <c r="I7" s="3"/>
      <c r="J7" s="3"/>
      <c r="K7" s="3"/>
      <c r="L7" s="5"/>
      <c r="M7" s="5"/>
      <c r="N7" s="5"/>
      <c r="O7" s="5"/>
      <c r="P7" s="5"/>
      <c r="Q7" s="5"/>
      <c r="R7" s="5"/>
      <c r="S7" s="5"/>
      <c r="T7" s="5"/>
      <c r="U7" s="5"/>
      <c r="V7" s="5"/>
      <c r="W7" s="5"/>
      <c r="X7" s="5"/>
      <c r="Y7" s="1"/>
    </row>
    <row r="8" spans="1:25">
      <c r="A8" s="3"/>
      <c r="B8" s="3"/>
      <c r="C8" s="3"/>
      <c r="D8" s="3"/>
      <c r="E8" s="3"/>
      <c r="F8" s="3"/>
      <c r="G8" s="3"/>
      <c r="H8" s="3"/>
      <c r="I8" s="3"/>
      <c r="J8" s="3"/>
      <c r="K8" s="3"/>
      <c r="L8" s="5"/>
      <c r="M8" s="131"/>
      <c r="N8" s="131"/>
      <c r="O8" s="131"/>
      <c r="P8" s="131"/>
      <c r="Q8" s="131"/>
      <c r="R8" s="131"/>
      <c r="S8" s="131"/>
      <c r="T8" s="131"/>
      <c r="U8" s="131"/>
      <c r="V8" s="131"/>
      <c r="W8" s="131"/>
      <c r="X8" s="131"/>
      <c r="Y8" s="1"/>
    </row>
    <row r="9" spans="1:25">
      <c r="A9" s="3"/>
      <c r="B9" s="3"/>
      <c r="C9" s="3"/>
      <c r="D9" s="3"/>
      <c r="E9" s="3"/>
      <c r="F9" s="3"/>
      <c r="G9" s="3"/>
      <c r="H9" s="3"/>
      <c r="I9" s="3"/>
      <c r="J9" s="3"/>
      <c r="K9" s="3"/>
      <c r="L9" s="5"/>
      <c r="M9" s="131"/>
      <c r="N9" s="131"/>
      <c r="O9" s="131"/>
      <c r="P9" s="131"/>
      <c r="Q9" s="131"/>
      <c r="R9" s="131"/>
      <c r="S9" s="131"/>
      <c r="T9" s="131"/>
      <c r="U9" s="131"/>
      <c r="V9" s="131"/>
      <c r="W9" s="131"/>
      <c r="X9" s="131"/>
      <c r="Y9" s="1"/>
    </row>
    <row r="10" spans="1:25">
      <c r="A10" s="3"/>
      <c r="B10" s="3"/>
      <c r="C10" s="3"/>
      <c r="D10" s="3"/>
      <c r="E10" s="3"/>
      <c r="F10" s="3"/>
      <c r="G10" s="3"/>
      <c r="H10" s="3"/>
      <c r="I10" s="3"/>
      <c r="J10" s="3"/>
      <c r="K10" s="3"/>
      <c r="L10" s="5"/>
      <c r="M10" s="5"/>
      <c r="N10" s="5"/>
      <c r="O10" s="5"/>
      <c r="P10" s="5"/>
      <c r="Q10" s="5"/>
      <c r="R10" s="5"/>
      <c r="S10" s="5"/>
      <c r="T10" s="5"/>
      <c r="U10" s="5"/>
      <c r="V10" s="5"/>
      <c r="W10" s="5"/>
      <c r="X10" s="5"/>
      <c r="Y10" s="1"/>
    </row>
    <row r="11" spans="1:25">
      <c r="A11" s="3"/>
      <c r="B11" s="3"/>
      <c r="C11" s="3"/>
      <c r="D11" s="3"/>
      <c r="E11" s="3"/>
      <c r="F11" s="3"/>
      <c r="G11" s="3"/>
      <c r="H11" s="3"/>
      <c r="I11" s="3"/>
      <c r="J11" s="3"/>
      <c r="K11" s="3"/>
      <c r="L11" s="5"/>
      <c r="M11" s="132"/>
      <c r="N11" s="132"/>
      <c r="O11" s="132"/>
      <c r="P11" s="132"/>
      <c r="Q11" s="132"/>
      <c r="R11" s="132"/>
      <c r="S11" s="132"/>
      <c r="T11" s="132"/>
      <c r="U11" s="132"/>
      <c r="V11" s="132"/>
      <c r="W11" s="132"/>
      <c r="X11" s="132"/>
      <c r="Y11" s="1"/>
    </row>
    <row r="12" spans="1:25">
      <c r="A12" s="3"/>
      <c r="B12" s="3"/>
      <c r="C12" s="3"/>
      <c r="D12" s="3"/>
      <c r="E12" s="3"/>
      <c r="F12" s="3"/>
      <c r="G12" s="3"/>
      <c r="H12" s="3"/>
      <c r="I12" s="3"/>
      <c r="J12" s="3"/>
      <c r="K12" s="3"/>
      <c r="L12" s="5"/>
      <c r="M12" s="132"/>
      <c r="N12" s="132"/>
      <c r="O12" s="132"/>
      <c r="P12" s="132"/>
      <c r="Q12" s="132"/>
      <c r="R12" s="132"/>
      <c r="S12" s="132"/>
      <c r="T12" s="132"/>
      <c r="U12" s="132"/>
      <c r="V12" s="132"/>
      <c r="W12" s="132"/>
      <c r="X12" s="132"/>
      <c r="Y12" s="1"/>
    </row>
    <row r="13" spans="1:25">
      <c r="A13" s="3"/>
      <c r="B13" s="3"/>
      <c r="C13" s="3"/>
      <c r="D13" s="3"/>
      <c r="E13" s="3"/>
      <c r="F13" s="3"/>
      <c r="G13" s="3"/>
      <c r="H13" s="3"/>
      <c r="I13" s="3"/>
      <c r="J13" s="3"/>
      <c r="K13" s="3"/>
      <c r="L13" s="3"/>
      <c r="M13" s="3"/>
      <c r="N13" s="3"/>
      <c r="O13" s="3"/>
      <c r="P13" s="3"/>
      <c r="Q13" s="3"/>
      <c r="R13" s="3"/>
      <c r="S13" s="3"/>
      <c r="T13" s="3"/>
      <c r="U13" s="3"/>
      <c r="V13" s="3"/>
      <c r="W13" s="3"/>
      <c r="X13" s="3"/>
    </row>
    <row r="14" spans="1:25">
      <c r="A14" s="3"/>
      <c r="B14" s="3"/>
      <c r="C14" s="3"/>
      <c r="D14" s="3"/>
      <c r="E14" s="3"/>
      <c r="F14" s="3"/>
      <c r="G14" s="3"/>
      <c r="H14" s="3"/>
      <c r="I14" s="3"/>
      <c r="J14" s="3"/>
      <c r="K14" s="3"/>
      <c r="L14" s="3"/>
      <c r="M14" s="3"/>
      <c r="N14" s="3"/>
      <c r="O14" s="3"/>
      <c r="P14" s="3"/>
      <c r="Q14" s="3"/>
      <c r="R14" s="3"/>
      <c r="S14" s="3"/>
      <c r="T14" s="3"/>
      <c r="U14" s="3"/>
      <c r="V14" s="3"/>
      <c r="W14" s="3"/>
      <c r="X14" s="3"/>
    </row>
    <row r="15" spans="1:25">
      <c r="A15" s="3"/>
      <c r="B15" s="3"/>
      <c r="C15" s="3"/>
      <c r="D15" s="3"/>
      <c r="E15" s="3"/>
      <c r="F15" s="3"/>
      <c r="G15" s="3"/>
      <c r="H15" s="3"/>
      <c r="I15" s="3"/>
      <c r="J15" s="3"/>
      <c r="K15" s="3"/>
      <c r="L15" s="3"/>
      <c r="M15" s="3"/>
      <c r="N15" s="3"/>
      <c r="O15" s="3"/>
      <c r="P15" s="3"/>
      <c r="Q15" s="3"/>
      <c r="R15" s="3"/>
      <c r="S15" s="3"/>
      <c r="T15" s="3"/>
      <c r="U15" s="3"/>
      <c r="V15" s="3"/>
      <c r="W15" s="3"/>
      <c r="X15" s="3"/>
    </row>
    <row r="16" spans="1:25">
      <c r="A16" s="3"/>
      <c r="B16" s="3"/>
      <c r="C16" s="3"/>
      <c r="D16" s="3"/>
      <c r="E16" s="3"/>
      <c r="F16" s="3"/>
      <c r="G16" s="3"/>
      <c r="H16" s="3"/>
      <c r="I16" s="3"/>
      <c r="J16" s="3"/>
      <c r="K16" s="3"/>
      <c r="L16" s="3"/>
      <c r="M16" s="3"/>
      <c r="N16" s="3"/>
      <c r="O16" s="3"/>
      <c r="P16" s="3"/>
      <c r="Q16" s="3"/>
      <c r="R16" s="3"/>
      <c r="S16" s="3"/>
      <c r="T16" s="3"/>
      <c r="U16" s="3"/>
      <c r="V16" s="3"/>
      <c r="W16" s="3"/>
      <c r="X16" s="3"/>
    </row>
    <row r="17" spans="1:24">
      <c r="A17" s="3"/>
      <c r="B17" s="3"/>
      <c r="C17" s="3"/>
      <c r="D17" s="3"/>
      <c r="E17" s="3"/>
      <c r="F17" s="3"/>
      <c r="G17" s="3"/>
      <c r="H17" s="3"/>
      <c r="I17" s="3"/>
      <c r="J17" s="3"/>
      <c r="K17" s="3"/>
      <c r="L17" s="3"/>
      <c r="M17" s="3"/>
      <c r="N17" s="3"/>
      <c r="O17" s="3"/>
      <c r="P17" s="3"/>
      <c r="Q17" s="3"/>
      <c r="R17" s="3"/>
      <c r="S17" s="3"/>
      <c r="T17" s="3"/>
      <c r="U17" s="3"/>
      <c r="V17" s="3"/>
      <c r="W17" s="3"/>
      <c r="X17" s="3"/>
    </row>
    <row r="18" spans="1:24">
      <c r="A18" s="3"/>
      <c r="B18" s="3"/>
      <c r="C18" s="3"/>
      <c r="D18" s="3"/>
      <c r="E18" s="3"/>
      <c r="F18" s="3"/>
      <c r="G18" s="3"/>
      <c r="H18" s="3"/>
      <c r="I18" s="3"/>
      <c r="J18" s="3"/>
      <c r="K18" s="3"/>
      <c r="L18" s="3"/>
      <c r="M18" s="3"/>
      <c r="N18" s="3"/>
      <c r="O18" s="3"/>
      <c r="P18" s="3"/>
      <c r="Q18" s="3"/>
      <c r="R18" s="3"/>
      <c r="S18" s="3"/>
      <c r="T18" s="3"/>
      <c r="U18" s="3"/>
      <c r="V18" s="3"/>
      <c r="W18" s="3"/>
      <c r="X18" s="3"/>
    </row>
    <row r="19" spans="1:24">
      <c r="A19" s="3"/>
      <c r="B19" s="3"/>
      <c r="C19" s="3"/>
      <c r="D19" s="3"/>
      <c r="E19" s="3"/>
      <c r="F19" s="3"/>
      <c r="G19" s="3"/>
      <c r="H19" s="3"/>
      <c r="I19" s="3"/>
      <c r="J19" s="3"/>
      <c r="K19" s="3"/>
      <c r="L19" s="3"/>
      <c r="M19" s="3"/>
      <c r="N19" s="3"/>
      <c r="O19" s="3"/>
      <c r="P19" s="3"/>
      <c r="Q19" s="3"/>
      <c r="R19" s="3"/>
      <c r="S19" s="3"/>
      <c r="T19" s="3"/>
      <c r="U19" s="3"/>
      <c r="V19" s="3"/>
      <c r="W19" s="3"/>
      <c r="X19" s="3"/>
    </row>
    <row r="20" spans="1:24">
      <c r="A20" s="3"/>
      <c r="B20" s="3"/>
      <c r="C20" s="3"/>
      <c r="D20" s="3"/>
      <c r="E20" s="3"/>
      <c r="F20" s="3"/>
      <c r="G20" s="3"/>
      <c r="H20" s="3"/>
      <c r="I20" s="3"/>
      <c r="J20" s="3"/>
      <c r="K20" s="3"/>
      <c r="L20" s="3"/>
      <c r="M20" s="3"/>
      <c r="N20" s="3"/>
      <c r="O20" s="3"/>
      <c r="P20" s="3"/>
      <c r="Q20" s="3"/>
      <c r="R20" s="3"/>
      <c r="S20" s="3"/>
      <c r="T20" s="3"/>
      <c r="U20" s="3"/>
      <c r="V20" s="3"/>
      <c r="W20" s="3"/>
      <c r="X20" s="3"/>
    </row>
    <row r="21" spans="1:24">
      <c r="A21" s="3"/>
      <c r="B21" s="3"/>
      <c r="C21" s="3"/>
      <c r="D21" s="3"/>
      <c r="E21" s="3"/>
      <c r="F21" s="3"/>
      <c r="G21" s="3"/>
      <c r="H21" s="3"/>
      <c r="I21" s="3"/>
      <c r="J21" s="3"/>
      <c r="K21" s="3"/>
      <c r="L21" s="3"/>
      <c r="M21" s="3"/>
      <c r="N21" s="3"/>
      <c r="O21" s="3"/>
      <c r="P21" s="3"/>
      <c r="Q21" s="3"/>
      <c r="R21" s="3"/>
      <c r="S21" s="3"/>
      <c r="T21" s="3"/>
      <c r="U21" s="3"/>
      <c r="V21" s="3"/>
      <c r="W21" s="3"/>
      <c r="X21" s="3"/>
    </row>
    <row r="22" spans="1:24">
      <c r="A22" s="3"/>
      <c r="B22" s="3"/>
      <c r="C22" s="3"/>
      <c r="D22" s="3"/>
      <c r="E22" s="3"/>
      <c r="F22" s="3"/>
      <c r="G22" s="3"/>
      <c r="H22" s="3"/>
      <c r="I22" s="3"/>
      <c r="J22" s="3"/>
      <c r="K22" s="3"/>
      <c r="L22" s="3"/>
      <c r="M22" s="3"/>
      <c r="N22" s="3"/>
      <c r="O22" s="3"/>
      <c r="P22" s="3"/>
      <c r="Q22" s="3"/>
      <c r="R22" s="3"/>
      <c r="S22" s="3"/>
      <c r="T22" s="3"/>
      <c r="U22" s="3"/>
      <c r="V22" s="3"/>
      <c r="W22" s="3"/>
      <c r="X22" s="3"/>
    </row>
    <row r="23" spans="1:24">
      <c r="A23" s="3"/>
      <c r="B23" s="3"/>
      <c r="C23" s="3"/>
      <c r="D23" s="3"/>
      <c r="E23" s="3"/>
      <c r="F23" s="3"/>
      <c r="G23" s="3"/>
      <c r="H23" s="3"/>
      <c r="I23" s="3"/>
      <c r="J23" s="3"/>
      <c r="K23" s="3"/>
      <c r="L23" s="3"/>
      <c r="M23" s="3"/>
      <c r="N23" s="3"/>
      <c r="O23" s="3"/>
      <c r="P23" s="3"/>
      <c r="Q23" s="3"/>
      <c r="R23" s="3"/>
      <c r="S23" s="3"/>
      <c r="T23" s="3"/>
      <c r="U23" s="3"/>
      <c r="V23" s="3"/>
      <c r="W23" s="3"/>
      <c r="X23" s="3"/>
    </row>
    <row r="24" spans="1:24">
      <c r="A24" s="3"/>
      <c r="B24" s="3"/>
      <c r="C24" s="3"/>
      <c r="D24" s="3"/>
      <c r="E24" s="3"/>
      <c r="F24" s="3"/>
      <c r="G24" s="3"/>
      <c r="H24" s="3"/>
      <c r="I24" s="3"/>
      <c r="J24" s="3"/>
      <c r="K24" s="3"/>
      <c r="L24" s="3"/>
      <c r="M24" s="3"/>
      <c r="N24" s="3"/>
      <c r="O24" s="3"/>
      <c r="P24" s="3"/>
      <c r="Q24" s="3"/>
      <c r="R24" s="3"/>
      <c r="S24" s="3"/>
      <c r="T24" s="3"/>
      <c r="U24" s="3"/>
      <c r="V24" s="3"/>
      <c r="W24" s="3"/>
      <c r="X24" s="3"/>
    </row>
    <row r="25" spans="1:24">
      <c r="A25" s="3"/>
      <c r="B25" s="3"/>
      <c r="C25" s="3"/>
      <c r="D25" s="3"/>
      <c r="E25" s="3"/>
      <c r="F25" s="3"/>
      <c r="G25" s="3"/>
      <c r="H25" s="3"/>
      <c r="I25" s="3"/>
      <c r="J25" s="3"/>
      <c r="K25" s="3"/>
      <c r="L25" s="3"/>
      <c r="M25" s="3"/>
      <c r="N25" s="3"/>
      <c r="O25" s="3"/>
      <c r="P25" s="3"/>
      <c r="Q25" s="3"/>
      <c r="R25" s="3"/>
      <c r="S25" s="3"/>
      <c r="T25" s="3"/>
      <c r="U25" s="3"/>
      <c r="V25" s="3"/>
      <c r="W25" s="3"/>
      <c r="X25" s="3"/>
    </row>
    <row r="26" spans="1:24">
      <c r="A26" s="3"/>
      <c r="B26" s="3"/>
      <c r="C26" s="3"/>
      <c r="D26" s="3"/>
      <c r="E26" s="3"/>
      <c r="F26" s="3"/>
      <c r="G26" s="3"/>
      <c r="H26" s="3"/>
      <c r="I26" s="3"/>
      <c r="J26" s="3"/>
      <c r="K26" s="3"/>
      <c r="L26" s="3"/>
      <c r="M26" s="3"/>
      <c r="N26" s="3"/>
      <c r="O26" s="3"/>
      <c r="P26" s="3"/>
      <c r="Q26" s="3"/>
      <c r="R26" s="3"/>
      <c r="S26" s="3"/>
      <c r="T26" s="3"/>
      <c r="U26" s="3"/>
      <c r="V26" s="3"/>
      <c r="W26" s="3"/>
      <c r="X26" s="3"/>
    </row>
    <row r="27" spans="1:24">
      <c r="A27" s="3"/>
      <c r="B27" s="3"/>
      <c r="C27" s="3"/>
      <c r="D27" s="3"/>
      <c r="E27" s="3"/>
      <c r="F27" s="3"/>
      <c r="G27" s="3"/>
      <c r="H27" s="3"/>
      <c r="I27" s="3"/>
      <c r="J27" s="3"/>
      <c r="K27" s="3"/>
      <c r="L27" s="3"/>
      <c r="M27" s="3"/>
      <c r="N27" s="3"/>
      <c r="O27" s="3"/>
      <c r="P27" s="3"/>
      <c r="Q27" s="3"/>
      <c r="R27" s="3"/>
      <c r="S27" s="3"/>
      <c r="T27" s="3"/>
      <c r="U27" s="3"/>
      <c r="V27" s="3"/>
      <c r="W27" s="3"/>
      <c r="X27" s="3"/>
    </row>
    <row r="28" spans="1:24">
      <c r="A28" s="3"/>
      <c r="B28" s="3"/>
      <c r="C28" s="3"/>
      <c r="D28" s="3"/>
      <c r="E28" s="3"/>
      <c r="F28" s="3"/>
      <c r="G28" s="3"/>
      <c r="H28" s="3"/>
      <c r="I28" s="3"/>
      <c r="J28" s="3"/>
      <c r="K28" s="3"/>
      <c r="L28" s="3"/>
      <c r="M28" s="3"/>
      <c r="N28" s="3"/>
      <c r="O28" s="3"/>
      <c r="P28" s="3"/>
      <c r="Q28" s="3"/>
      <c r="R28" s="3"/>
      <c r="S28" s="3"/>
      <c r="T28" s="3"/>
      <c r="U28" s="3"/>
      <c r="V28" s="3"/>
      <c r="W28" s="3"/>
      <c r="X28" s="3"/>
    </row>
    <row r="29" spans="1:24">
      <c r="A29" s="3"/>
      <c r="B29" s="3"/>
      <c r="C29" s="3"/>
      <c r="D29" s="3"/>
      <c r="E29" s="3"/>
      <c r="F29" s="3"/>
      <c r="G29" s="3"/>
      <c r="H29" s="3"/>
      <c r="I29" s="3"/>
      <c r="J29" s="3"/>
      <c r="K29" s="3"/>
      <c r="L29" s="3"/>
      <c r="M29" s="3"/>
      <c r="N29" s="3"/>
      <c r="O29" s="3"/>
      <c r="P29" s="3"/>
      <c r="Q29" s="3"/>
      <c r="R29" s="3"/>
      <c r="S29" s="3"/>
      <c r="T29" s="3"/>
      <c r="U29" s="3"/>
      <c r="V29" s="3"/>
      <c r="W29" s="3"/>
      <c r="X29" s="3"/>
    </row>
    <row r="30" spans="1:24">
      <c r="A30" s="3"/>
      <c r="B30" s="3"/>
      <c r="C30" s="3"/>
      <c r="D30" s="3"/>
      <c r="E30" s="3"/>
      <c r="F30" s="3"/>
      <c r="G30" s="3"/>
      <c r="H30" s="3"/>
      <c r="I30" s="3"/>
      <c r="J30" s="3"/>
      <c r="K30" s="3"/>
      <c r="L30" s="3"/>
      <c r="M30" s="3"/>
      <c r="N30" s="3"/>
      <c r="O30" s="3"/>
      <c r="P30" s="3"/>
      <c r="Q30" s="3"/>
      <c r="R30" s="3"/>
      <c r="S30" s="3"/>
      <c r="T30" s="3"/>
      <c r="U30" s="3"/>
      <c r="V30" s="3"/>
      <c r="W30" s="3"/>
      <c r="X30" s="3"/>
    </row>
    <row r="31" spans="1:24">
      <c r="A31" s="3"/>
      <c r="B31" s="3"/>
      <c r="C31" s="3"/>
      <c r="D31" s="3"/>
      <c r="E31" s="3"/>
      <c r="F31" s="3"/>
      <c r="G31" s="3"/>
      <c r="H31" s="3"/>
      <c r="I31" s="3"/>
      <c r="J31" s="3"/>
      <c r="K31" s="3"/>
      <c r="L31" s="3"/>
      <c r="M31" s="3"/>
      <c r="N31" s="3"/>
      <c r="O31" s="3"/>
      <c r="P31" s="3"/>
      <c r="Q31" s="3"/>
      <c r="R31" s="3"/>
      <c r="S31" s="3"/>
      <c r="T31" s="3"/>
      <c r="U31" s="3"/>
      <c r="V31" s="3"/>
      <c r="W31" s="3"/>
      <c r="X31" s="3"/>
    </row>
    <row r="32" spans="1:24">
      <c r="A32" s="3"/>
      <c r="B32" s="3"/>
      <c r="C32" s="3"/>
      <c r="D32" s="3"/>
      <c r="E32" s="3"/>
      <c r="F32" s="3"/>
      <c r="G32" s="3"/>
      <c r="H32" s="3"/>
      <c r="I32" s="3"/>
      <c r="J32" s="3"/>
      <c r="K32" s="3"/>
      <c r="L32" s="3"/>
      <c r="M32" s="3"/>
      <c r="N32" s="3"/>
      <c r="O32" s="3"/>
      <c r="P32" s="3"/>
      <c r="Q32" s="3"/>
      <c r="R32" s="3"/>
      <c r="S32" s="3"/>
      <c r="T32" s="3"/>
      <c r="U32" s="3"/>
      <c r="V32" s="3"/>
      <c r="W32" s="3"/>
      <c r="X32" s="3"/>
    </row>
    <row r="33" spans="1:24">
      <c r="A33" s="3"/>
      <c r="B33" s="3"/>
      <c r="C33" s="3"/>
      <c r="D33" s="3"/>
      <c r="E33" s="3"/>
      <c r="F33" s="3"/>
      <c r="G33" s="3"/>
      <c r="H33" s="3"/>
      <c r="I33" s="3"/>
      <c r="J33" s="3"/>
      <c r="K33" s="3"/>
      <c r="L33" s="3"/>
      <c r="M33" s="3"/>
      <c r="N33" s="3"/>
      <c r="O33" s="3"/>
      <c r="P33" s="3"/>
      <c r="Q33" s="3"/>
      <c r="R33" s="3"/>
      <c r="S33" s="3"/>
      <c r="T33" s="3"/>
      <c r="U33" s="3"/>
      <c r="V33" s="3"/>
      <c r="W33" s="3"/>
      <c r="X33" s="3"/>
    </row>
    <row r="34" spans="1:24">
      <c r="A34" s="3"/>
      <c r="B34" s="3"/>
      <c r="C34" s="3"/>
      <c r="D34" s="3"/>
      <c r="E34" s="3"/>
      <c r="F34" s="3"/>
      <c r="G34" s="3"/>
      <c r="H34" s="3"/>
      <c r="I34" s="3"/>
      <c r="J34" s="3"/>
      <c r="K34" s="3"/>
      <c r="L34" s="3"/>
      <c r="M34" s="3"/>
      <c r="N34" s="3"/>
      <c r="O34" s="3"/>
      <c r="P34" s="3"/>
      <c r="Q34" s="3"/>
      <c r="R34" s="3"/>
      <c r="S34" s="3"/>
      <c r="T34" s="3"/>
      <c r="U34" s="3"/>
      <c r="V34" s="3"/>
      <c r="W34" s="3"/>
      <c r="X34" s="3"/>
    </row>
    <row r="35" spans="1:24">
      <c r="A35" s="3"/>
      <c r="B35" s="3"/>
      <c r="C35" s="3"/>
      <c r="D35" s="3"/>
      <c r="E35" s="3"/>
      <c r="F35" s="3"/>
      <c r="G35" s="3"/>
      <c r="H35" s="3"/>
      <c r="I35" s="3"/>
      <c r="J35" s="3"/>
      <c r="K35" s="3"/>
      <c r="L35" s="3"/>
      <c r="M35" s="3"/>
      <c r="N35" s="3"/>
      <c r="O35" s="3"/>
      <c r="P35" s="3"/>
      <c r="Q35" s="3"/>
      <c r="R35" s="3"/>
      <c r="S35" s="3"/>
      <c r="T35" s="3"/>
      <c r="U35" s="3"/>
      <c r="V35" s="3"/>
      <c r="W35" s="3"/>
      <c r="X35" s="3"/>
    </row>
    <row r="47" spans="1:24" ht="25.5" customHeight="1"/>
    <row r="61" ht="16.5" customHeight="1"/>
    <row r="68" ht="13.5" customHeight="1"/>
    <row r="69" ht="15" customHeight="1"/>
    <row r="90" spans="1:1" ht="15" customHeight="1">
      <c r="A90" s="2" t="s">
        <v>80</v>
      </c>
    </row>
    <row r="91" spans="1:1" ht="15" customHeight="1"/>
  </sheetData>
  <mergeCells count="3">
    <mergeCell ref="A1:K3"/>
    <mergeCell ref="M8:X9"/>
    <mergeCell ref="M11:X12"/>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topLeftCell="A13" workbookViewId="0">
      <selection activeCell="L32" sqref="L32"/>
    </sheetView>
  </sheetViews>
  <sheetFormatPr baseColWidth="10" defaultRowHeight="15"/>
  <cols>
    <col min="1" max="12" width="11.42578125" style="2"/>
    <col min="13" max="13" width="7" style="2" customWidth="1"/>
    <col min="14" max="14" width="7.85546875" style="2" customWidth="1"/>
    <col min="15" max="15" width="10.85546875" style="2" customWidth="1"/>
    <col min="16" max="16384" width="11.42578125" style="2"/>
  </cols>
  <sheetData>
    <row r="1" spans="1:24" ht="15" customHeight="1">
      <c r="A1" s="135" t="s">
        <v>81</v>
      </c>
      <c r="B1" s="135"/>
      <c r="C1" s="135"/>
      <c r="D1" s="135"/>
      <c r="E1" s="135"/>
      <c r="F1" s="135"/>
      <c r="G1" s="135"/>
      <c r="H1" s="135"/>
      <c r="I1" s="135"/>
      <c r="J1" s="135"/>
      <c r="K1" s="135"/>
      <c r="L1" s="4"/>
      <c r="M1" s="4"/>
      <c r="N1" s="4"/>
      <c r="O1" s="4"/>
      <c r="P1" s="4"/>
      <c r="Q1" s="4"/>
    </row>
    <row r="2" spans="1:24" ht="15" customHeight="1">
      <c r="A2" s="135"/>
      <c r="B2" s="135"/>
      <c r="C2" s="135"/>
      <c r="D2" s="135"/>
      <c r="E2" s="135"/>
      <c r="F2" s="135"/>
      <c r="G2" s="135"/>
      <c r="H2" s="135"/>
      <c r="I2" s="135"/>
      <c r="J2" s="135"/>
      <c r="K2" s="135"/>
      <c r="L2" s="4"/>
      <c r="M2" s="4"/>
      <c r="N2" s="4"/>
      <c r="O2" s="4"/>
      <c r="P2" s="4"/>
      <c r="Q2" s="4"/>
    </row>
    <row r="3" spans="1:24" ht="15" customHeight="1">
      <c r="A3" s="135"/>
      <c r="B3" s="135"/>
      <c r="C3" s="135"/>
      <c r="D3" s="135"/>
      <c r="E3" s="135"/>
      <c r="F3" s="135"/>
      <c r="G3" s="135"/>
      <c r="H3" s="135"/>
      <c r="I3" s="135"/>
      <c r="J3" s="135"/>
      <c r="K3" s="135"/>
      <c r="L3" s="4"/>
      <c r="M3" s="4"/>
      <c r="N3" s="4"/>
      <c r="O3" s="4"/>
      <c r="P3" s="4"/>
      <c r="Q3" s="4"/>
    </row>
    <row r="4" spans="1:24">
      <c r="A4" s="3"/>
      <c r="B4" s="3"/>
      <c r="C4" s="3"/>
      <c r="D4" s="3"/>
      <c r="E4" s="3"/>
      <c r="F4" s="3"/>
      <c r="G4" s="3"/>
      <c r="H4" s="3"/>
      <c r="I4" s="3"/>
      <c r="J4" s="3"/>
      <c r="K4" s="3"/>
      <c r="L4" s="3"/>
      <c r="M4" s="3"/>
      <c r="N4" s="3"/>
      <c r="O4" s="3"/>
      <c r="P4" s="3"/>
      <c r="Q4" s="3"/>
      <c r="R4" s="3"/>
      <c r="S4" s="3"/>
      <c r="T4" s="3"/>
      <c r="U4" s="3"/>
      <c r="V4" s="3"/>
      <c r="W4" s="3"/>
      <c r="X4" s="3"/>
    </row>
    <row r="5" spans="1:24">
      <c r="A5" s="3"/>
      <c r="B5" s="3"/>
      <c r="C5" s="3"/>
      <c r="D5" s="3"/>
      <c r="E5" s="3"/>
      <c r="F5" s="3"/>
      <c r="G5" s="3"/>
      <c r="H5" s="3"/>
      <c r="I5" s="3"/>
      <c r="J5" s="3"/>
      <c r="K5" s="3"/>
      <c r="L5" s="3"/>
      <c r="M5" s="3"/>
      <c r="N5" s="3"/>
      <c r="O5" s="3"/>
      <c r="P5" s="3"/>
      <c r="Q5" s="3"/>
      <c r="R5" s="3"/>
      <c r="S5" s="3"/>
      <c r="T5" s="3"/>
      <c r="U5" s="3"/>
      <c r="V5" s="3"/>
      <c r="W5" s="3"/>
      <c r="X5" s="3"/>
    </row>
    <row r="6" spans="1:24" ht="15" customHeight="1">
      <c r="A6" s="3"/>
      <c r="B6" s="136" t="s">
        <v>82</v>
      </c>
      <c r="C6" s="136"/>
      <c r="D6" s="136"/>
      <c r="E6" s="136"/>
      <c r="F6" s="136"/>
      <c r="G6" s="136"/>
      <c r="H6" s="136"/>
      <c r="I6" s="136"/>
      <c r="J6" s="136"/>
      <c r="K6" s="3"/>
      <c r="L6" s="3"/>
      <c r="M6" s="3"/>
      <c r="N6" s="3"/>
      <c r="O6" s="3"/>
      <c r="P6" s="3"/>
      <c r="Q6" s="3"/>
      <c r="R6" s="3"/>
      <c r="S6" s="3"/>
      <c r="T6" s="3"/>
      <c r="U6" s="3"/>
      <c r="V6" s="3"/>
      <c r="W6" s="3"/>
      <c r="X6" s="3"/>
    </row>
    <row r="7" spans="1:24" ht="15" customHeight="1">
      <c r="A7" s="3"/>
      <c r="B7" s="136"/>
      <c r="C7" s="136"/>
      <c r="D7" s="136"/>
      <c r="E7" s="136"/>
      <c r="F7" s="136"/>
      <c r="G7" s="136"/>
      <c r="H7" s="136"/>
      <c r="I7" s="136"/>
      <c r="J7" s="136"/>
      <c r="K7" s="3"/>
      <c r="L7" s="3"/>
      <c r="M7" s="3"/>
      <c r="N7" s="3"/>
      <c r="O7" s="3"/>
      <c r="P7" s="3"/>
      <c r="Q7" s="3"/>
      <c r="R7" s="3"/>
      <c r="S7" s="3"/>
      <c r="T7" s="3"/>
      <c r="U7" s="3"/>
      <c r="V7" s="3"/>
      <c r="W7" s="3"/>
      <c r="X7" s="3"/>
    </row>
    <row r="8" spans="1:24" ht="15" customHeight="1">
      <c r="A8" s="3"/>
      <c r="B8" s="136"/>
      <c r="C8" s="136"/>
      <c r="D8" s="136"/>
      <c r="E8" s="136"/>
      <c r="F8" s="136"/>
      <c r="G8" s="136"/>
      <c r="H8" s="136"/>
      <c r="I8" s="136"/>
      <c r="J8" s="136"/>
      <c r="K8" s="3"/>
      <c r="L8" s="3"/>
      <c r="M8" s="3"/>
      <c r="N8" s="3"/>
      <c r="O8" s="3"/>
      <c r="P8" s="3"/>
      <c r="Q8" s="3"/>
      <c r="R8" s="3"/>
      <c r="S8" s="3"/>
      <c r="T8" s="3"/>
      <c r="U8" s="3"/>
      <c r="V8" s="3"/>
      <c r="W8" s="3"/>
      <c r="X8" s="3"/>
    </row>
    <row r="9" spans="1:24" ht="15" customHeight="1">
      <c r="A9" s="3"/>
      <c r="B9" s="136"/>
      <c r="C9" s="136"/>
      <c r="D9" s="136"/>
      <c r="E9" s="136"/>
      <c r="F9" s="136"/>
      <c r="G9" s="136"/>
      <c r="H9" s="136"/>
      <c r="I9" s="136"/>
      <c r="J9" s="136"/>
      <c r="K9" s="3"/>
      <c r="L9" s="3"/>
      <c r="M9" s="3"/>
      <c r="N9" s="3"/>
      <c r="O9" s="3"/>
      <c r="P9" s="3"/>
      <c r="Q9" s="3"/>
      <c r="R9" s="3"/>
      <c r="S9" s="3"/>
      <c r="T9" s="3"/>
      <c r="U9" s="3"/>
      <c r="V9" s="3"/>
      <c r="W9" s="3"/>
      <c r="X9" s="3"/>
    </row>
    <row r="10" spans="1:24" ht="15" customHeight="1">
      <c r="A10" s="3"/>
      <c r="B10" s="136"/>
      <c r="C10" s="136"/>
      <c r="D10" s="136"/>
      <c r="E10" s="136"/>
      <c r="F10" s="136"/>
      <c r="G10" s="136"/>
      <c r="H10" s="136"/>
      <c r="I10" s="136"/>
      <c r="J10" s="136"/>
      <c r="K10" s="3"/>
      <c r="L10" s="5"/>
      <c r="M10" s="5"/>
      <c r="N10" s="5"/>
      <c r="O10" s="5"/>
      <c r="P10" s="5"/>
      <c r="Q10" s="5"/>
      <c r="R10" s="5"/>
      <c r="S10" s="5"/>
      <c r="T10" s="5"/>
      <c r="U10" s="5"/>
      <c r="V10" s="5"/>
      <c r="W10" s="5"/>
      <c r="X10" s="5"/>
    </row>
    <row r="11" spans="1:24" ht="15" customHeight="1">
      <c r="A11" s="3"/>
      <c r="B11" s="136"/>
      <c r="C11" s="136"/>
      <c r="D11" s="136"/>
      <c r="E11" s="136"/>
      <c r="F11" s="136"/>
      <c r="G11" s="136"/>
      <c r="H11" s="136"/>
      <c r="I11" s="136"/>
      <c r="J11" s="136"/>
      <c r="K11" s="3"/>
      <c r="L11" s="5"/>
      <c r="M11" s="131"/>
      <c r="N11" s="131"/>
      <c r="O11" s="131"/>
      <c r="P11" s="131"/>
      <c r="Q11" s="131"/>
      <c r="R11" s="131"/>
      <c r="S11" s="131"/>
      <c r="T11" s="131"/>
      <c r="U11" s="131"/>
      <c r="V11" s="131"/>
      <c r="W11" s="131"/>
      <c r="X11" s="131"/>
    </row>
    <row r="12" spans="1:24" ht="15" customHeight="1">
      <c r="A12" s="3"/>
      <c r="B12" s="136"/>
      <c r="C12" s="136"/>
      <c r="D12" s="136"/>
      <c r="E12" s="136"/>
      <c r="F12" s="136"/>
      <c r="G12" s="136"/>
      <c r="H12" s="136"/>
      <c r="I12" s="136"/>
      <c r="J12" s="136"/>
      <c r="K12" s="3"/>
      <c r="L12" s="5"/>
      <c r="M12" s="131"/>
      <c r="N12" s="131"/>
      <c r="O12" s="131"/>
      <c r="P12" s="131"/>
      <c r="Q12" s="131"/>
      <c r="R12" s="131"/>
      <c r="S12" s="131"/>
      <c r="T12" s="131"/>
      <c r="U12" s="131"/>
      <c r="V12" s="131"/>
      <c r="W12" s="131"/>
      <c r="X12" s="131"/>
    </row>
    <row r="13" spans="1:24" ht="15" customHeight="1">
      <c r="A13" s="3"/>
      <c r="B13" s="136"/>
      <c r="C13" s="136"/>
      <c r="D13" s="136"/>
      <c r="E13" s="136"/>
      <c r="F13" s="136"/>
      <c r="G13" s="136"/>
      <c r="H13" s="136"/>
      <c r="I13" s="136"/>
      <c r="J13" s="136"/>
      <c r="K13" s="3"/>
      <c r="L13" s="5"/>
      <c r="M13" s="5"/>
      <c r="N13" s="5"/>
      <c r="O13" s="5"/>
      <c r="P13" s="5"/>
      <c r="Q13" s="5"/>
      <c r="R13" s="5"/>
      <c r="S13" s="5"/>
      <c r="T13" s="5"/>
      <c r="U13" s="5"/>
      <c r="V13" s="5"/>
      <c r="W13" s="5"/>
      <c r="X13" s="5"/>
    </row>
    <row r="14" spans="1:24" ht="15" customHeight="1">
      <c r="A14" s="3"/>
      <c r="B14" s="136"/>
      <c r="C14" s="136"/>
      <c r="D14" s="136"/>
      <c r="E14" s="136"/>
      <c r="F14" s="136"/>
      <c r="G14" s="136"/>
      <c r="H14" s="136"/>
      <c r="I14" s="136"/>
      <c r="J14" s="136"/>
      <c r="K14" s="3"/>
      <c r="L14" s="5"/>
      <c r="M14" s="132"/>
      <c r="N14" s="132"/>
      <c r="O14" s="132"/>
      <c r="P14" s="132"/>
      <c r="Q14" s="132"/>
      <c r="R14" s="132"/>
      <c r="S14" s="132"/>
      <c r="T14" s="132"/>
      <c r="U14" s="132"/>
      <c r="V14" s="132"/>
      <c r="W14" s="132"/>
      <c r="X14" s="132"/>
    </row>
    <row r="15" spans="1:24">
      <c r="A15" s="3"/>
      <c r="B15" s="136"/>
      <c r="C15" s="136"/>
      <c r="D15" s="136"/>
      <c r="E15" s="136"/>
      <c r="F15" s="136"/>
      <c r="G15" s="136"/>
      <c r="H15" s="136"/>
      <c r="I15" s="136"/>
      <c r="J15" s="136"/>
      <c r="K15" s="3"/>
      <c r="L15" s="5"/>
      <c r="M15" s="132"/>
      <c r="N15" s="132"/>
      <c r="O15" s="132"/>
      <c r="P15" s="132"/>
      <c r="Q15" s="132"/>
      <c r="R15" s="132"/>
      <c r="S15" s="132"/>
      <c r="T15" s="132"/>
      <c r="U15" s="132"/>
      <c r="V15" s="132"/>
      <c r="W15" s="132"/>
      <c r="X15" s="132"/>
    </row>
    <row r="16" spans="1:24">
      <c r="A16" s="3"/>
      <c r="B16" s="136"/>
      <c r="C16" s="136"/>
      <c r="D16" s="136"/>
      <c r="E16" s="136"/>
      <c r="F16" s="136"/>
      <c r="G16" s="136"/>
      <c r="H16" s="136"/>
      <c r="I16" s="136"/>
      <c r="J16" s="136"/>
      <c r="K16" s="3"/>
      <c r="L16" s="3"/>
      <c r="M16" s="3"/>
      <c r="N16" s="3"/>
      <c r="O16" s="3"/>
      <c r="P16" s="3"/>
      <c r="Q16" s="3"/>
      <c r="R16" s="3"/>
      <c r="S16" s="3"/>
      <c r="T16" s="3"/>
      <c r="U16" s="3"/>
      <c r="V16" s="3"/>
      <c r="W16" s="3"/>
      <c r="X16" s="3"/>
    </row>
    <row r="17" spans="1:26">
      <c r="A17" s="3"/>
      <c r="B17" s="3"/>
      <c r="C17" s="3"/>
      <c r="D17" s="3"/>
      <c r="E17" s="3"/>
      <c r="F17" s="3"/>
      <c r="G17" s="3"/>
      <c r="H17" s="3"/>
      <c r="I17" s="3"/>
      <c r="J17" s="3"/>
      <c r="K17" s="3"/>
      <c r="L17" s="3"/>
      <c r="M17" s="3"/>
      <c r="N17" s="3"/>
      <c r="O17" s="3"/>
      <c r="P17" s="3"/>
      <c r="Q17" s="3"/>
      <c r="R17" s="3"/>
      <c r="S17" s="3"/>
      <c r="T17" s="3"/>
      <c r="U17" s="3"/>
      <c r="V17" s="3"/>
      <c r="W17" s="3"/>
      <c r="X17" s="3"/>
    </row>
    <row r="18" spans="1:26">
      <c r="A18" s="3"/>
      <c r="B18" s="3"/>
      <c r="C18" s="3"/>
      <c r="D18" s="3"/>
      <c r="E18" s="3"/>
      <c r="F18" s="3"/>
      <c r="G18" s="3"/>
      <c r="H18" s="3"/>
      <c r="I18" s="3"/>
      <c r="J18" s="3"/>
      <c r="K18" s="3"/>
      <c r="L18" s="3"/>
      <c r="M18" s="3"/>
      <c r="N18" s="3"/>
      <c r="O18" s="3"/>
      <c r="P18" s="3"/>
      <c r="Q18" s="3"/>
      <c r="R18" s="3"/>
      <c r="S18" s="3"/>
      <c r="T18" s="3"/>
      <c r="U18" s="3"/>
      <c r="V18" s="3"/>
      <c r="W18" s="3"/>
      <c r="X18" s="3"/>
    </row>
    <row r="19" spans="1:26">
      <c r="A19" s="3"/>
      <c r="B19" s="3"/>
      <c r="C19" s="3"/>
      <c r="D19" s="3"/>
      <c r="E19" s="3"/>
      <c r="F19" s="3"/>
      <c r="G19" s="3"/>
      <c r="H19" s="3"/>
      <c r="I19" s="3"/>
      <c r="J19" s="3"/>
      <c r="K19" s="3"/>
      <c r="L19" s="3"/>
      <c r="M19" s="3"/>
      <c r="N19" s="3"/>
      <c r="O19" s="3"/>
      <c r="P19" s="3"/>
      <c r="Q19" s="3"/>
      <c r="R19" s="3"/>
      <c r="S19" s="3"/>
      <c r="T19" s="3"/>
      <c r="U19" s="3"/>
      <c r="V19" s="3"/>
      <c r="W19" s="3"/>
      <c r="X19" s="3"/>
    </row>
    <row r="20" spans="1:26">
      <c r="A20" s="3"/>
      <c r="B20" s="3"/>
      <c r="C20" s="3"/>
      <c r="D20" s="3"/>
      <c r="E20" s="3"/>
      <c r="F20" s="3"/>
      <c r="G20" s="3"/>
      <c r="H20" s="3"/>
      <c r="I20" s="3"/>
      <c r="J20" s="3"/>
      <c r="K20" s="3"/>
      <c r="L20" s="3"/>
      <c r="M20" s="3"/>
      <c r="N20" s="3"/>
      <c r="O20" s="3"/>
      <c r="P20" s="3"/>
      <c r="Q20" s="3"/>
      <c r="R20" s="3"/>
      <c r="S20" s="3"/>
      <c r="T20" s="3"/>
      <c r="U20" s="3"/>
      <c r="V20" s="3"/>
      <c r="W20" s="3"/>
      <c r="X20" s="3"/>
    </row>
    <row r="21" spans="1:26">
      <c r="A21" s="3"/>
      <c r="B21" s="3"/>
      <c r="C21" s="3"/>
      <c r="D21" s="3"/>
      <c r="E21" s="3"/>
      <c r="F21" s="3"/>
      <c r="G21" s="3"/>
      <c r="H21" s="3"/>
      <c r="I21" s="3"/>
      <c r="J21" s="3"/>
      <c r="K21" s="3"/>
      <c r="L21" s="3"/>
      <c r="M21" s="3"/>
      <c r="N21" s="3"/>
      <c r="O21" s="3"/>
      <c r="P21" s="3"/>
      <c r="Q21" s="3"/>
      <c r="R21" s="3"/>
      <c r="S21" s="3"/>
      <c r="T21" s="3"/>
      <c r="U21" s="3"/>
      <c r="V21" s="3"/>
      <c r="W21" s="3"/>
      <c r="X21" s="3"/>
    </row>
    <row r="22" spans="1:26">
      <c r="A22" s="3"/>
      <c r="B22" s="3"/>
      <c r="C22" s="3"/>
      <c r="D22" s="3"/>
      <c r="E22" s="3"/>
      <c r="F22" s="3"/>
      <c r="G22" s="3"/>
      <c r="H22" s="3"/>
      <c r="I22" s="3"/>
      <c r="J22" s="3"/>
      <c r="K22" s="3"/>
      <c r="L22" s="3"/>
      <c r="M22" s="3"/>
      <c r="N22" s="3"/>
      <c r="O22" s="3"/>
      <c r="P22" s="3"/>
      <c r="Q22" s="3"/>
      <c r="R22" s="3"/>
      <c r="S22" s="3"/>
      <c r="T22" s="3"/>
      <c r="U22" s="3"/>
      <c r="V22" s="3"/>
      <c r="W22" s="3"/>
      <c r="X22" s="3"/>
    </row>
    <row r="23" spans="1:26">
      <c r="A23" s="3"/>
      <c r="B23" s="3"/>
      <c r="C23" s="3"/>
      <c r="D23" s="3"/>
      <c r="E23" s="3"/>
      <c r="F23" s="3"/>
      <c r="G23" s="3"/>
      <c r="H23" s="3"/>
      <c r="I23" s="3"/>
      <c r="J23" s="3"/>
      <c r="K23" s="3"/>
      <c r="L23" s="3"/>
      <c r="M23" s="3"/>
      <c r="N23" s="3"/>
      <c r="O23" s="3"/>
      <c r="P23" s="3"/>
      <c r="Q23" s="3"/>
      <c r="R23" s="3"/>
      <c r="S23" s="3"/>
      <c r="T23" s="3"/>
      <c r="U23" s="3"/>
      <c r="V23" s="3"/>
      <c r="W23" s="3"/>
      <c r="X23" s="3"/>
    </row>
    <row r="24" spans="1:26">
      <c r="A24" s="3"/>
      <c r="B24" s="3"/>
      <c r="C24" s="3"/>
      <c r="D24" s="3"/>
      <c r="E24" s="3"/>
      <c r="F24" s="3"/>
      <c r="G24" s="3"/>
      <c r="H24" s="3"/>
      <c r="I24" s="3"/>
      <c r="J24" s="3"/>
      <c r="K24" s="3"/>
      <c r="L24" s="3"/>
      <c r="M24" s="3"/>
      <c r="N24" s="3"/>
      <c r="O24" s="3"/>
      <c r="P24" s="3"/>
      <c r="Q24" s="3"/>
      <c r="R24" s="3"/>
      <c r="S24" s="3"/>
      <c r="T24" s="3"/>
      <c r="U24" s="3"/>
      <c r="V24" s="3"/>
      <c r="W24" s="3"/>
      <c r="X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sheetData>
  <mergeCells count="4">
    <mergeCell ref="A1:K3"/>
    <mergeCell ref="B6:J16"/>
    <mergeCell ref="M11:X12"/>
    <mergeCell ref="M14:X15"/>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zoomScale="85" zoomScaleNormal="85" workbookViewId="0">
      <selection activeCell="C6" sqref="C6:D6"/>
    </sheetView>
  </sheetViews>
  <sheetFormatPr baseColWidth="10" defaultRowHeight="15"/>
  <cols>
    <col min="1" max="1" width="25.140625" style="2" customWidth="1"/>
    <col min="2" max="2" width="28.5703125" style="2" bestFit="1" customWidth="1"/>
    <col min="3" max="3" width="14.85546875" style="2" customWidth="1"/>
    <col min="4" max="4" width="25.85546875" style="2" bestFit="1" customWidth="1"/>
    <col min="5" max="5" width="18.85546875" style="2" bestFit="1" customWidth="1"/>
    <col min="6" max="6" width="29.85546875" style="2" customWidth="1"/>
    <col min="7" max="8" width="15.140625" style="2" bestFit="1" customWidth="1"/>
    <col min="9" max="9" width="15.42578125" style="2" customWidth="1"/>
    <col min="10" max="10" width="18.5703125" style="2" customWidth="1"/>
    <col min="11" max="16" width="15.140625" style="2" bestFit="1" customWidth="1"/>
    <col min="17" max="17" width="12.28515625" style="2" bestFit="1" customWidth="1"/>
    <col min="18" max="19" width="11.42578125" style="2"/>
    <col min="20" max="20" width="12.28515625" style="2" bestFit="1" customWidth="1"/>
    <col min="21" max="16384" width="11.42578125" style="2"/>
  </cols>
  <sheetData>
    <row r="1" spans="1:22">
      <c r="A1" s="4"/>
      <c r="B1" s="4"/>
      <c r="C1" s="4"/>
      <c r="D1" s="141" t="s">
        <v>83</v>
      </c>
      <c r="E1" s="141"/>
      <c r="F1" s="141"/>
      <c r="G1" s="141"/>
      <c r="H1" s="141"/>
      <c r="I1" s="141"/>
      <c r="J1" s="4"/>
      <c r="K1" s="4"/>
      <c r="L1" s="4"/>
      <c r="M1" s="4"/>
      <c r="N1" s="4"/>
      <c r="O1" s="4"/>
      <c r="P1" s="4"/>
      <c r="Q1" s="4"/>
      <c r="R1" s="4"/>
      <c r="S1" s="4"/>
      <c r="T1" s="4"/>
      <c r="U1" s="4"/>
      <c r="V1" s="4"/>
    </row>
    <row r="2" spans="1:22">
      <c r="A2" s="4"/>
      <c r="B2" s="4"/>
      <c r="C2" s="4"/>
      <c r="D2" s="141"/>
      <c r="E2" s="141"/>
      <c r="F2" s="141"/>
      <c r="G2" s="141"/>
      <c r="H2" s="141"/>
      <c r="I2" s="141"/>
      <c r="J2" s="4"/>
      <c r="K2" s="4"/>
      <c r="L2" s="4"/>
      <c r="M2" s="4"/>
      <c r="N2" s="4"/>
      <c r="O2" s="4"/>
      <c r="P2" s="4"/>
      <c r="Q2" s="4"/>
      <c r="R2" s="4"/>
      <c r="S2" s="4"/>
      <c r="T2" s="4"/>
      <c r="U2" s="4"/>
      <c r="V2" s="4"/>
    </row>
    <row r="3" spans="1:22">
      <c r="A3" s="3"/>
      <c r="B3" s="137"/>
      <c r="C3" s="137"/>
      <c r="D3" s="137"/>
      <c r="E3" s="3"/>
      <c r="F3" s="3"/>
      <c r="G3" s="3"/>
      <c r="H3" s="3"/>
      <c r="I3" s="3"/>
      <c r="J3" s="3"/>
      <c r="K3" s="3"/>
      <c r="L3" s="3"/>
      <c r="M3" s="3"/>
      <c r="N3" s="3"/>
      <c r="O3" s="3"/>
      <c r="P3" s="3"/>
      <c r="Q3" s="3"/>
      <c r="R3" s="3"/>
      <c r="S3" s="3"/>
      <c r="T3" s="3"/>
      <c r="U3" s="3"/>
      <c r="V3" s="3"/>
    </row>
    <row r="4" spans="1:22">
      <c r="A4" s="3"/>
      <c r="B4" s="145" t="s">
        <v>84</v>
      </c>
      <c r="C4" s="145"/>
      <c r="D4" s="145"/>
      <c r="E4" s="3"/>
      <c r="F4" s="7"/>
      <c r="G4" s="21">
        <v>1</v>
      </c>
      <c r="H4" s="21">
        <v>2</v>
      </c>
      <c r="I4" s="21">
        <v>3</v>
      </c>
      <c r="J4" s="21">
        <v>4</v>
      </c>
      <c r="K4" s="21">
        <v>5</v>
      </c>
      <c r="L4" s="21">
        <v>6</v>
      </c>
      <c r="M4" s="21">
        <v>7</v>
      </c>
      <c r="N4" s="21">
        <v>8</v>
      </c>
      <c r="O4" s="21">
        <v>9</v>
      </c>
      <c r="P4" s="21">
        <v>10</v>
      </c>
      <c r="Q4" s="3"/>
      <c r="R4" s="3"/>
      <c r="S4" s="3"/>
      <c r="T4" s="3"/>
      <c r="U4" s="3"/>
      <c r="V4" s="3"/>
    </row>
    <row r="5" spans="1:22">
      <c r="A5" s="3"/>
      <c r="B5" s="9" t="s">
        <v>0</v>
      </c>
      <c r="C5" s="182">
        <v>10000</v>
      </c>
      <c r="D5" s="182"/>
      <c r="E5" s="3"/>
      <c r="F5" s="9" t="s">
        <v>26</v>
      </c>
      <c r="G5" s="25">
        <f>C5</f>
        <v>10000</v>
      </c>
      <c r="H5" s="26">
        <f>C5*C6+C5</f>
        <v>10500</v>
      </c>
      <c r="I5" s="25">
        <f>H5+H5*C6</f>
        <v>11025</v>
      </c>
      <c r="J5" s="26">
        <f>I5+I5*C6</f>
        <v>11576.25</v>
      </c>
      <c r="K5" s="26">
        <f>J5+J5*C6</f>
        <v>12155.0625</v>
      </c>
      <c r="L5" s="25">
        <f>K5+K5*C6</f>
        <v>12762.815624999999</v>
      </c>
      <c r="M5" s="25">
        <f>L5+L5*C6</f>
        <v>13400.956406249999</v>
      </c>
      <c r="N5" s="26">
        <f>M5+M5*C6</f>
        <v>14071.0042265625</v>
      </c>
      <c r="O5" s="25">
        <f>N5+N5*C6</f>
        <v>14774.554437890625</v>
      </c>
      <c r="P5" s="25">
        <f>O5+O5*C6</f>
        <v>15513.282159785156</v>
      </c>
      <c r="Q5" s="3"/>
      <c r="R5" s="3"/>
      <c r="S5" s="3"/>
      <c r="T5" s="3"/>
      <c r="U5" s="3"/>
      <c r="V5" s="3"/>
    </row>
    <row r="6" spans="1:22">
      <c r="A6" s="3"/>
      <c r="B6" s="9" t="s">
        <v>1</v>
      </c>
      <c r="C6" s="143">
        <v>0.05</v>
      </c>
      <c r="D6" s="143"/>
      <c r="E6" s="3"/>
      <c r="F6" s="9"/>
      <c r="G6" s="25"/>
      <c r="H6" s="26"/>
      <c r="I6" s="25"/>
      <c r="J6" s="26"/>
      <c r="K6" s="26"/>
      <c r="L6" s="25">
        <v>25000</v>
      </c>
      <c r="M6" s="25">
        <v>25000</v>
      </c>
      <c r="N6" s="26">
        <v>25000</v>
      </c>
      <c r="O6" s="25">
        <v>25000</v>
      </c>
      <c r="P6" s="25">
        <v>25000</v>
      </c>
      <c r="Q6" s="3"/>
      <c r="R6" s="3"/>
      <c r="S6" s="3"/>
      <c r="T6" s="3"/>
      <c r="U6" s="3"/>
      <c r="V6" s="3"/>
    </row>
    <row r="7" spans="1:22">
      <c r="A7" s="3"/>
      <c r="B7" s="9" t="s">
        <v>32</v>
      </c>
      <c r="C7" s="144">
        <v>800</v>
      </c>
      <c r="D7" s="144"/>
      <c r="E7" s="3"/>
      <c r="F7" s="9" t="s">
        <v>33</v>
      </c>
      <c r="G7" s="16">
        <f>C7</f>
        <v>800</v>
      </c>
      <c r="H7" s="16">
        <f>C7+C7*C8</f>
        <v>840</v>
      </c>
      <c r="I7" s="16">
        <f>H7+H7*C8</f>
        <v>882</v>
      </c>
      <c r="J7" s="16">
        <f>I7+I7*C8</f>
        <v>926.1</v>
      </c>
      <c r="K7" s="16">
        <f>J7+J7*C8</f>
        <v>972.40499999999997</v>
      </c>
      <c r="L7" s="16">
        <f>K7+K7*C8</f>
        <v>1021.0252499999999</v>
      </c>
      <c r="M7" s="16">
        <f>L7+L7*C8</f>
        <v>1072.0765124999998</v>
      </c>
      <c r="N7" s="16">
        <f>M7+M7*C8</f>
        <v>1125.6803381249997</v>
      </c>
      <c r="O7" s="16">
        <f>N7+N7*C8</f>
        <v>1181.9643550312496</v>
      </c>
      <c r="P7" s="16">
        <f>O7+O7*C8</f>
        <v>1241.0625727828121</v>
      </c>
      <c r="Q7" s="3"/>
      <c r="R7" s="3"/>
      <c r="S7" s="3"/>
      <c r="T7" s="3"/>
      <c r="U7" s="3"/>
      <c r="V7" s="3"/>
    </row>
    <row r="8" spans="1:22">
      <c r="A8" s="3"/>
      <c r="B8" s="9" t="s">
        <v>1</v>
      </c>
      <c r="C8" s="143">
        <v>0.05</v>
      </c>
      <c r="D8" s="143"/>
      <c r="E8" s="3"/>
      <c r="F8" s="9" t="s">
        <v>72</v>
      </c>
      <c r="G8" s="16">
        <f t="shared" ref="G8:M8" si="0">G7/1.16</f>
        <v>689.65517241379314</v>
      </c>
      <c r="H8" s="16">
        <f t="shared" si="0"/>
        <v>724.13793103448279</v>
      </c>
      <c r="I8" s="16">
        <f t="shared" si="0"/>
        <v>760.34482758620697</v>
      </c>
      <c r="J8" s="16">
        <f t="shared" si="0"/>
        <v>798.36206896551732</v>
      </c>
      <c r="K8" s="16">
        <f t="shared" si="0"/>
        <v>838.28017241379314</v>
      </c>
      <c r="L8" s="16">
        <f t="shared" si="0"/>
        <v>880.19418103448277</v>
      </c>
      <c r="M8" s="16">
        <f t="shared" si="0"/>
        <v>924.2038900862068</v>
      </c>
      <c r="N8" s="16">
        <f>N7/1.16</f>
        <v>970.41408459051706</v>
      </c>
      <c r="O8" s="16">
        <f>O7/1.16</f>
        <v>1018.9347888200429</v>
      </c>
      <c r="P8" s="16">
        <f>O8/1.16</f>
        <v>878.3920593276232</v>
      </c>
      <c r="Q8" s="3"/>
      <c r="R8" s="3"/>
      <c r="S8" s="3"/>
      <c r="T8" s="3"/>
      <c r="U8" s="3"/>
      <c r="V8" s="3"/>
    </row>
    <row r="9" spans="1:22">
      <c r="A9" s="3"/>
      <c r="B9" s="9" t="s">
        <v>2</v>
      </c>
      <c r="C9" s="12">
        <v>100000</v>
      </c>
      <c r="D9" s="14" t="s">
        <v>55</v>
      </c>
      <c r="E9" s="3"/>
      <c r="F9" s="138" t="s">
        <v>9</v>
      </c>
      <c r="G9" s="139"/>
      <c r="H9" s="139"/>
      <c r="I9" s="139"/>
      <c r="J9" s="139"/>
      <c r="K9" s="139"/>
      <c r="L9" s="139"/>
      <c r="M9" s="139"/>
      <c r="N9" s="139"/>
      <c r="O9" s="139"/>
      <c r="P9" s="140"/>
      <c r="Q9" s="3"/>
      <c r="R9" s="3"/>
      <c r="S9" s="3"/>
      <c r="T9" s="3"/>
      <c r="U9" s="3"/>
      <c r="V9" s="3"/>
    </row>
    <row r="10" spans="1:22">
      <c r="A10" s="3"/>
      <c r="B10" s="9" t="s">
        <v>3</v>
      </c>
      <c r="C10" s="15">
        <v>500000</v>
      </c>
      <c r="D10" s="16">
        <f>C10/C11</f>
        <v>16666.666666666668</v>
      </c>
      <c r="E10" s="3"/>
      <c r="F10" s="27" t="s">
        <v>76</v>
      </c>
      <c r="G10" s="12">
        <f>IF(G5&gt;L6,((G5-L6)*C15),0)</f>
        <v>0</v>
      </c>
      <c r="H10" s="12">
        <f>IF(H5&gt;L6,(H5-L6)*C15,0)</f>
        <v>0</v>
      </c>
      <c r="I10" s="12">
        <f>IF(I5&gt;M6,(I5-M6)*D15,0)</f>
        <v>0</v>
      </c>
      <c r="J10" s="12">
        <f>IF(J5&gt;N6,(J5-N6)*E15,0)</f>
        <v>0</v>
      </c>
      <c r="K10" s="12">
        <f>IF(K5&gt;O6,(K5-O6)*C15,0)</f>
        <v>0</v>
      </c>
      <c r="L10" s="16">
        <f>IF(L5&gt;L6,(L5-25000)*C15,0)</f>
        <v>0</v>
      </c>
      <c r="M10" s="16">
        <f>IF(M5&gt;M6,(M5-25000)*C15,0)</f>
        <v>0</v>
      </c>
      <c r="N10" s="16">
        <f>IF(N5&gt;N6,(N5-25000)*C15,0)</f>
        <v>0</v>
      </c>
      <c r="O10" s="16">
        <f>IF(O5&gt;O6,(O5-25000)*C15,0)</f>
        <v>0</v>
      </c>
      <c r="P10" s="16">
        <f>IF(P5&gt;P6,(P5-25000)*C15,0)</f>
        <v>0</v>
      </c>
      <c r="Q10" s="3"/>
      <c r="R10" s="3"/>
      <c r="S10" s="3"/>
      <c r="T10" s="3"/>
      <c r="U10" s="3"/>
      <c r="V10" s="3"/>
    </row>
    <row r="11" spans="1:22">
      <c r="A11" s="3"/>
      <c r="B11" s="17" t="s">
        <v>4</v>
      </c>
      <c r="C11" s="17">
        <v>30</v>
      </c>
      <c r="D11" s="18" t="s">
        <v>5</v>
      </c>
      <c r="E11" s="3"/>
      <c r="F11" s="9" t="s">
        <v>10</v>
      </c>
      <c r="G11" s="16">
        <f>C18</f>
        <v>120</v>
      </c>
      <c r="H11" s="12">
        <f>C18+C18*D18</f>
        <v>129.6</v>
      </c>
      <c r="I11" s="16">
        <f>H11+H11*D18</f>
        <v>139.96799999999999</v>
      </c>
      <c r="J11" s="12">
        <f>I11+I11*D18</f>
        <v>151.16543999999999</v>
      </c>
      <c r="K11" s="12">
        <f>J11+J11*D18</f>
        <v>163.2586752</v>
      </c>
      <c r="L11" s="16">
        <f>K11+K11*D18</f>
        <v>176.31936921599998</v>
      </c>
      <c r="M11" s="16">
        <f>L11+L11*D18</f>
        <v>190.42491875328</v>
      </c>
      <c r="N11" s="12">
        <f>M11+M11*D18</f>
        <v>205.65891225354238</v>
      </c>
      <c r="O11" s="16">
        <f>N11+N11*D18</f>
        <v>222.11162523382578</v>
      </c>
      <c r="P11" s="16">
        <f>O11+O11*D18</f>
        <v>239.88055525253185</v>
      </c>
      <c r="Q11" s="3"/>
      <c r="R11" s="3"/>
      <c r="S11" s="3"/>
      <c r="T11" s="3"/>
      <c r="U11" s="3"/>
      <c r="V11" s="3"/>
    </row>
    <row r="12" spans="1:22">
      <c r="A12" s="3"/>
      <c r="B12" s="9" t="s">
        <v>6</v>
      </c>
      <c r="C12" s="19">
        <v>1000000</v>
      </c>
      <c r="D12" s="12">
        <f>(C12-C14)/C13</f>
        <v>180000</v>
      </c>
      <c r="E12" s="3"/>
      <c r="F12" s="9" t="s">
        <v>11</v>
      </c>
      <c r="G12" s="16">
        <f>C19</f>
        <v>80</v>
      </c>
      <c r="H12" s="12">
        <f>C19+C19*D19</f>
        <v>86.4</v>
      </c>
      <c r="I12" s="16">
        <f>H12+H12*D19</f>
        <v>93.312000000000012</v>
      </c>
      <c r="J12" s="12">
        <f>I12+I12*D19</f>
        <v>100.77696000000002</v>
      </c>
      <c r="K12" s="12">
        <f>J12+J12*D19</f>
        <v>108.83911680000001</v>
      </c>
      <c r="L12" s="16">
        <f>K12+K12*D19</f>
        <v>117.54624614400001</v>
      </c>
      <c r="M12" s="16">
        <f>L12+L12*D19</f>
        <v>126.94994583552001</v>
      </c>
      <c r="N12" s="12">
        <f>M12+M12*D19</f>
        <v>137.10594150236162</v>
      </c>
      <c r="O12" s="16">
        <f>N12+N12*D19</f>
        <v>148.07441682255055</v>
      </c>
      <c r="P12" s="16">
        <f>O12+O12*D19</f>
        <v>159.92037016835459</v>
      </c>
      <c r="Q12" s="3"/>
      <c r="R12" s="3"/>
      <c r="S12" s="3"/>
      <c r="T12" s="3"/>
      <c r="U12" s="3"/>
      <c r="V12" s="3"/>
    </row>
    <row r="13" spans="1:22">
      <c r="A13" s="3"/>
      <c r="B13" s="9" t="s">
        <v>4</v>
      </c>
      <c r="C13" s="17">
        <v>5</v>
      </c>
      <c r="D13" s="20" t="s">
        <v>5</v>
      </c>
      <c r="E13" s="3"/>
      <c r="F13" s="9" t="s">
        <v>12</v>
      </c>
      <c r="G13" s="16">
        <f>C20</f>
        <v>50</v>
      </c>
      <c r="H13" s="12">
        <f>C20+C20*D20</f>
        <v>54</v>
      </c>
      <c r="I13" s="16">
        <f>H13+H13*D20</f>
        <v>58.32</v>
      </c>
      <c r="J13" s="12">
        <f>I13+I13*D20</f>
        <v>62.985599999999998</v>
      </c>
      <c r="K13" s="12">
        <f>J13+J13*D20</f>
        <v>68.024447999999992</v>
      </c>
      <c r="L13" s="16">
        <f>K13+K13*D20</f>
        <v>73.466403839999998</v>
      </c>
      <c r="M13" s="16">
        <f>L13+L13*D20</f>
        <v>79.343716147199999</v>
      </c>
      <c r="N13" s="12">
        <f>M13+M13*D21</f>
        <v>85.691213438975993</v>
      </c>
      <c r="O13" s="16">
        <f>N13+N13*D21</f>
        <v>92.546510514094066</v>
      </c>
      <c r="P13" s="16">
        <f>O13+O13*D21</f>
        <v>99.95023135522159</v>
      </c>
      <c r="Q13" s="3"/>
      <c r="R13" s="3"/>
      <c r="S13" s="3"/>
      <c r="T13" s="3"/>
      <c r="U13" s="3"/>
      <c r="V13" s="3"/>
    </row>
    <row r="14" spans="1:22">
      <c r="A14" s="3"/>
      <c r="B14" s="9" t="s">
        <v>7</v>
      </c>
      <c r="C14" s="12">
        <v>100000</v>
      </c>
      <c r="D14" s="9"/>
      <c r="E14" s="3"/>
      <c r="F14" s="9" t="s">
        <v>13</v>
      </c>
      <c r="G14" s="16">
        <f>C21</f>
        <v>50</v>
      </c>
      <c r="H14" s="12">
        <f>C21+C21*D21</f>
        <v>54</v>
      </c>
      <c r="I14" s="16">
        <f>H14+H14*D21</f>
        <v>58.32</v>
      </c>
      <c r="J14" s="12">
        <f>I14+I14*D21</f>
        <v>62.985599999999998</v>
      </c>
      <c r="K14" s="12">
        <f>J14+J14*D21</f>
        <v>68.024447999999992</v>
      </c>
      <c r="L14" s="16">
        <f>K14+K14*D21</f>
        <v>73.466403839999998</v>
      </c>
      <c r="M14" s="16">
        <f>L14+L14*D21</f>
        <v>79.343716147199999</v>
      </c>
      <c r="N14" s="12">
        <f>M14+M14*D22</f>
        <v>85.691213438975993</v>
      </c>
      <c r="O14" s="16">
        <f>N14+N14*D22</f>
        <v>92.546510514094066</v>
      </c>
      <c r="P14" s="16">
        <f>O14+O14*D22</f>
        <v>99.95023135522159</v>
      </c>
      <c r="Q14" s="3"/>
      <c r="R14" s="3"/>
      <c r="S14" s="3"/>
      <c r="T14" s="3"/>
      <c r="U14" s="3"/>
      <c r="V14" s="3"/>
    </row>
    <row r="15" spans="1:22">
      <c r="A15" s="3"/>
      <c r="B15" s="9" t="s">
        <v>8</v>
      </c>
      <c r="C15" s="12">
        <v>400</v>
      </c>
      <c r="D15" s="9">
        <v>400</v>
      </c>
      <c r="E15" s="3"/>
      <c r="F15" s="9" t="s">
        <v>14</v>
      </c>
      <c r="G15" s="16">
        <f>C22</f>
        <v>150000</v>
      </c>
      <c r="H15" s="12">
        <f>C22+C22*D22</f>
        <v>162000</v>
      </c>
      <c r="I15" s="16">
        <f>H15+H15*D22</f>
        <v>174960</v>
      </c>
      <c r="J15" s="12">
        <f>I15+I15*D22</f>
        <v>188956.79999999999</v>
      </c>
      <c r="K15" s="12">
        <f>J15+J15*D22</f>
        <v>204073.34399999998</v>
      </c>
      <c r="L15" s="16">
        <f>K15+K15*D22</f>
        <v>220399.21151999998</v>
      </c>
      <c r="M15" s="16">
        <f>L15+L15*D22</f>
        <v>238031.14844159997</v>
      </c>
      <c r="N15" s="12">
        <f>M15+M15*D22</f>
        <v>257073.64031692798</v>
      </c>
      <c r="O15" s="16">
        <f>N15+N15*D22</f>
        <v>277639.5315422822</v>
      </c>
      <c r="P15" s="16">
        <f>O15+O15*D22</f>
        <v>299850.69406566478</v>
      </c>
      <c r="Q15" s="3"/>
      <c r="R15" s="3"/>
      <c r="S15" s="3"/>
      <c r="T15" s="3"/>
      <c r="U15" s="3"/>
      <c r="V15" s="3"/>
    </row>
    <row r="16" spans="1:22">
      <c r="A16" s="3"/>
      <c r="B16" s="3"/>
      <c r="C16" s="3"/>
      <c r="D16" s="3"/>
      <c r="E16" s="3"/>
      <c r="F16" s="138" t="s">
        <v>85</v>
      </c>
      <c r="G16" s="139"/>
      <c r="H16" s="139"/>
      <c r="I16" s="139"/>
      <c r="J16" s="139"/>
      <c r="K16" s="139"/>
      <c r="L16" s="139"/>
      <c r="M16" s="139"/>
      <c r="N16" s="139"/>
      <c r="O16" s="139"/>
      <c r="P16" s="140"/>
      <c r="Q16" s="3"/>
      <c r="R16" s="3"/>
      <c r="S16" s="3"/>
      <c r="T16" s="3"/>
      <c r="U16" s="3"/>
      <c r="V16" s="3"/>
    </row>
    <row r="17" spans="1:22">
      <c r="A17" s="3"/>
      <c r="B17" s="8" t="s">
        <v>9</v>
      </c>
      <c r="C17" s="8" t="s">
        <v>19</v>
      </c>
      <c r="D17" s="8" t="s">
        <v>20</v>
      </c>
      <c r="E17" s="3"/>
      <c r="F17" s="9" t="s">
        <v>15</v>
      </c>
      <c r="G17" s="16">
        <f>C23</f>
        <v>100</v>
      </c>
      <c r="H17" s="12">
        <f>C23+C23*D23</f>
        <v>105</v>
      </c>
      <c r="I17" s="16">
        <f>H17+H17*D23</f>
        <v>110.25</v>
      </c>
      <c r="J17" s="12">
        <f>I17+I17*D23</f>
        <v>115.7625</v>
      </c>
      <c r="K17" s="12">
        <f>J17+J17*D23</f>
        <v>121.550625</v>
      </c>
      <c r="L17" s="16">
        <f>K17+(K17*D23)</f>
        <v>127.62815624999999</v>
      </c>
      <c r="M17" s="16">
        <f>L17+L17*D23</f>
        <v>134.00956406249998</v>
      </c>
      <c r="N17" s="12">
        <f>M17+M17*D23</f>
        <v>140.71004226562496</v>
      </c>
      <c r="O17" s="16">
        <f>N17+N17*D23</f>
        <v>147.7455443789062</v>
      </c>
      <c r="P17" s="16">
        <f>O17+O17*D23</f>
        <v>155.13282159785152</v>
      </c>
      <c r="Q17" s="3"/>
      <c r="R17" s="3"/>
      <c r="S17" s="3"/>
      <c r="T17" s="3"/>
      <c r="U17" s="3"/>
      <c r="V17" s="3"/>
    </row>
    <row r="18" spans="1:22">
      <c r="A18" s="3"/>
      <c r="B18" s="9" t="s">
        <v>10</v>
      </c>
      <c r="C18" s="12">
        <v>120</v>
      </c>
      <c r="D18" s="13">
        <v>0.08</v>
      </c>
      <c r="E18" s="3"/>
      <c r="F18" s="9" t="s">
        <v>16</v>
      </c>
      <c r="G18" s="16">
        <f>C24</f>
        <v>200</v>
      </c>
      <c r="H18" s="12">
        <f>C24+C24*D24</f>
        <v>210</v>
      </c>
      <c r="I18" s="16">
        <f>H18+H18*D24</f>
        <v>220.5</v>
      </c>
      <c r="J18" s="12">
        <f>I18+I18*D24</f>
        <v>231.52500000000001</v>
      </c>
      <c r="K18" s="12">
        <f>J18+J18*D24</f>
        <v>243.10124999999999</v>
      </c>
      <c r="L18" s="16">
        <f>K18+K18*D24</f>
        <v>255.25631249999998</v>
      </c>
      <c r="M18" s="16">
        <f>L18+L18*D24</f>
        <v>268.01912812499995</v>
      </c>
      <c r="N18" s="12">
        <f>M18+M18*D24</f>
        <v>281.42008453124993</v>
      </c>
      <c r="O18" s="16">
        <f>N18+N18*D24</f>
        <v>295.49108875781241</v>
      </c>
      <c r="P18" s="16">
        <f>O18+O18*D24</f>
        <v>310.26564319570303</v>
      </c>
      <c r="Q18" s="3"/>
      <c r="R18" s="3"/>
      <c r="S18" s="3"/>
      <c r="T18" s="3"/>
      <c r="U18" s="3"/>
      <c r="V18" s="3"/>
    </row>
    <row r="19" spans="1:22">
      <c r="A19" s="3"/>
      <c r="B19" s="9" t="s">
        <v>11</v>
      </c>
      <c r="C19" s="12">
        <v>80</v>
      </c>
      <c r="D19" s="13">
        <v>0.08</v>
      </c>
      <c r="E19" s="3"/>
      <c r="F19" s="9" t="s">
        <v>17</v>
      </c>
      <c r="G19" s="16">
        <f>C25</f>
        <v>100000</v>
      </c>
      <c r="H19" s="12">
        <f>C25</f>
        <v>100000</v>
      </c>
      <c r="I19" s="16">
        <f>H19</f>
        <v>100000</v>
      </c>
      <c r="J19" s="16">
        <f>I19</f>
        <v>100000</v>
      </c>
      <c r="K19" s="12">
        <f t="shared" ref="K19:P19" si="1">J19</f>
        <v>100000</v>
      </c>
      <c r="L19" s="16">
        <f t="shared" si="1"/>
        <v>100000</v>
      </c>
      <c r="M19" s="16">
        <f t="shared" si="1"/>
        <v>100000</v>
      </c>
      <c r="N19" s="12">
        <f t="shared" si="1"/>
        <v>100000</v>
      </c>
      <c r="O19" s="16">
        <f t="shared" si="1"/>
        <v>100000</v>
      </c>
      <c r="P19" s="16">
        <f t="shared" si="1"/>
        <v>100000</v>
      </c>
      <c r="Q19" s="3"/>
      <c r="R19" s="3"/>
      <c r="S19" s="3"/>
      <c r="T19" s="3"/>
      <c r="U19" s="3"/>
      <c r="V19" s="3"/>
    </row>
    <row r="20" spans="1:22">
      <c r="A20" s="3"/>
      <c r="B20" s="9" t="s">
        <v>12</v>
      </c>
      <c r="C20" s="16">
        <v>50</v>
      </c>
      <c r="D20" s="31">
        <v>0.08</v>
      </c>
      <c r="E20" s="6"/>
      <c r="F20" s="9" t="s">
        <v>18</v>
      </c>
      <c r="G20" s="16">
        <f>C26</f>
        <v>200000</v>
      </c>
      <c r="H20" s="12">
        <f>C26</f>
        <v>200000</v>
      </c>
      <c r="I20" s="16">
        <f>H20</f>
        <v>200000</v>
      </c>
      <c r="J20" s="16">
        <f>I20</f>
        <v>200000</v>
      </c>
      <c r="K20" s="12">
        <f t="shared" ref="K20:P20" si="2">J20</f>
        <v>200000</v>
      </c>
      <c r="L20" s="12">
        <f t="shared" si="2"/>
        <v>200000</v>
      </c>
      <c r="M20" s="16">
        <f t="shared" si="2"/>
        <v>200000</v>
      </c>
      <c r="N20" s="12">
        <f t="shared" si="2"/>
        <v>200000</v>
      </c>
      <c r="O20" s="16">
        <f t="shared" si="2"/>
        <v>200000</v>
      </c>
      <c r="P20" s="16">
        <f t="shared" si="2"/>
        <v>200000</v>
      </c>
      <c r="Q20" s="3"/>
      <c r="R20" s="3"/>
      <c r="S20" s="3"/>
      <c r="T20" s="3"/>
      <c r="U20" s="3"/>
      <c r="V20" s="3"/>
    </row>
    <row r="21" spans="1:22">
      <c r="A21" s="3"/>
      <c r="B21" s="9" t="s">
        <v>13</v>
      </c>
      <c r="C21" s="12">
        <v>50</v>
      </c>
      <c r="D21" s="13">
        <v>0.08</v>
      </c>
      <c r="E21" s="6"/>
      <c r="F21" s="3"/>
      <c r="G21" s="3"/>
      <c r="H21" s="3"/>
      <c r="I21" s="3"/>
      <c r="J21" s="3"/>
      <c r="K21" s="3"/>
      <c r="L21" s="3"/>
      <c r="M21" s="3"/>
      <c r="N21" s="3"/>
      <c r="O21" s="3"/>
      <c r="P21" s="3"/>
      <c r="Q21" s="3"/>
      <c r="R21" s="3"/>
      <c r="S21" s="3"/>
      <c r="T21" s="3"/>
      <c r="U21" s="3"/>
      <c r="V21" s="3"/>
    </row>
    <row r="22" spans="1:22">
      <c r="A22" s="3"/>
      <c r="B22" s="9" t="s">
        <v>14</v>
      </c>
      <c r="C22" s="12">
        <v>150000</v>
      </c>
      <c r="D22" s="13">
        <v>0.08</v>
      </c>
      <c r="E22" s="6"/>
      <c r="F22" s="3"/>
      <c r="G22" s="42"/>
      <c r="H22" s="42"/>
      <c r="I22" s="42"/>
      <c r="J22" s="42"/>
      <c r="K22" s="42"/>
      <c r="L22" s="42"/>
      <c r="M22" s="42"/>
      <c r="N22" s="42"/>
      <c r="O22" s="42"/>
      <c r="P22" s="42"/>
      <c r="Q22" s="3"/>
      <c r="R22" s="3"/>
      <c r="S22" s="3"/>
      <c r="T22" s="3"/>
      <c r="U22" s="3"/>
      <c r="V22" s="3"/>
    </row>
    <row r="23" spans="1:22" ht="16.5">
      <c r="A23" s="3"/>
      <c r="B23" s="9" t="s">
        <v>15</v>
      </c>
      <c r="C23" s="12">
        <v>100</v>
      </c>
      <c r="D23" s="13">
        <v>0.05</v>
      </c>
      <c r="E23" s="6"/>
      <c r="F23" s="3"/>
      <c r="G23" s="121" t="s">
        <v>35</v>
      </c>
      <c r="H23" s="121" t="s">
        <v>170</v>
      </c>
      <c r="I23" s="121" t="s">
        <v>171</v>
      </c>
      <c r="J23" s="125" t="s">
        <v>172</v>
      </c>
      <c r="K23" s="125" t="s">
        <v>173</v>
      </c>
      <c r="L23" s="42"/>
      <c r="M23" s="42"/>
      <c r="N23" s="42"/>
      <c r="O23" s="42"/>
      <c r="P23" s="42"/>
      <c r="Q23" s="3"/>
      <c r="R23" s="3"/>
      <c r="S23" s="3"/>
      <c r="T23" s="3"/>
      <c r="U23" s="3"/>
      <c r="V23" s="3"/>
    </row>
    <row r="24" spans="1:22" ht="16.5">
      <c r="A24" s="3"/>
      <c r="B24" s="9" t="s">
        <v>16</v>
      </c>
      <c r="C24" s="12">
        <v>200</v>
      </c>
      <c r="D24" s="13">
        <v>0.05</v>
      </c>
      <c r="E24" s="6"/>
      <c r="F24" s="3"/>
      <c r="G24" s="126">
        <v>1</v>
      </c>
      <c r="H24" s="127">
        <f t="shared" ref="H24" si="3">G5</f>
        <v>10000</v>
      </c>
      <c r="I24" s="128">
        <f>C7</f>
        <v>800</v>
      </c>
      <c r="J24" s="127">
        <f>G11+G12+G13+G14</f>
        <v>300</v>
      </c>
      <c r="K24" s="127">
        <f t="shared" ref="K24" si="4">SUM(G15:G18)</f>
        <v>150300</v>
      </c>
      <c r="L24" s="42"/>
      <c r="M24" s="42"/>
      <c r="N24" s="42"/>
      <c r="O24" s="42"/>
      <c r="P24" s="42"/>
      <c r="Q24" s="3"/>
      <c r="R24" s="3"/>
      <c r="S24" s="3"/>
      <c r="T24" s="3"/>
      <c r="U24" s="3"/>
      <c r="V24" s="3"/>
    </row>
    <row r="25" spans="1:22" ht="16.5">
      <c r="A25" s="3"/>
      <c r="B25" s="9" t="s">
        <v>17</v>
      </c>
      <c r="C25" s="12">
        <v>100000</v>
      </c>
      <c r="D25" s="9"/>
      <c r="E25" s="6"/>
      <c r="F25" s="3"/>
      <c r="G25" s="126">
        <v>2</v>
      </c>
      <c r="H25" s="127">
        <f>H5</f>
        <v>10500</v>
      </c>
      <c r="I25" s="128">
        <f>I24*C8+I24</f>
        <v>840</v>
      </c>
      <c r="J25" s="127">
        <f>H11+H12+H13+H14</f>
        <v>324</v>
      </c>
      <c r="K25" s="127">
        <f>SUM(H15:H18)</f>
        <v>162315</v>
      </c>
      <c r="L25" s="3"/>
      <c r="M25" s="3"/>
      <c r="N25" s="3"/>
      <c r="O25" s="3"/>
      <c r="P25" s="3"/>
      <c r="Q25" s="3"/>
      <c r="R25" s="3"/>
      <c r="S25" s="3"/>
      <c r="T25" s="3"/>
      <c r="U25" s="3"/>
      <c r="V25" s="3"/>
    </row>
    <row r="26" spans="1:22" ht="16.5">
      <c r="A26" s="3"/>
      <c r="B26" s="9" t="s">
        <v>18</v>
      </c>
      <c r="C26" s="12">
        <v>200000</v>
      </c>
      <c r="D26" s="9"/>
      <c r="E26" s="6"/>
      <c r="F26" s="3"/>
      <c r="G26" s="126">
        <v>3</v>
      </c>
      <c r="H26" s="127">
        <f>I5</f>
        <v>11025</v>
      </c>
      <c r="I26" s="128">
        <f>I25*C8+I25</f>
        <v>882</v>
      </c>
      <c r="J26" s="127">
        <f>SUM(I11:I14)</f>
        <v>349.92</v>
      </c>
      <c r="K26" s="127">
        <f>SUM(I15:I18)</f>
        <v>175290.75</v>
      </c>
      <c r="L26" s="3"/>
      <c r="M26" s="3"/>
      <c r="N26" s="3"/>
      <c r="O26" s="3"/>
      <c r="P26" s="3"/>
      <c r="Q26" s="5"/>
      <c r="R26" s="5"/>
      <c r="S26" s="3"/>
      <c r="T26" s="3"/>
      <c r="U26" s="3"/>
      <c r="V26" s="3"/>
    </row>
    <row r="27" spans="1:22" ht="15" customHeight="1">
      <c r="A27" s="3"/>
      <c r="B27" s="6"/>
      <c r="C27" s="6"/>
      <c r="D27" s="6"/>
      <c r="E27" s="6"/>
      <c r="F27" s="3"/>
      <c r="G27" s="126">
        <v>4</v>
      </c>
      <c r="H27" s="127">
        <f>J5</f>
        <v>11576.25</v>
      </c>
      <c r="I27" s="128">
        <f>I26*C8+I26</f>
        <v>926.1</v>
      </c>
      <c r="J27" s="127">
        <f>SUM(J11:J14)</f>
        <v>377.91359999999997</v>
      </c>
      <c r="K27" s="127">
        <f>SUM(J15+J17+J18)</f>
        <v>189304.08749999999</v>
      </c>
      <c r="L27" s="3"/>
      <c r="M27" s="3"/>
      <c r="N27" s="3"/>
      <c r="O27" s="3"/>
      <c r="P27" s="3"/>
      <c r="Q27" s="28"/>
      <c r="R27" s="28"/>
      <c r="S27" s="3"/>
      <c r="T27" s="3"/>
      <c r="U27" s="3"/>
      <c r="V27" s="3"/>
    </row>
    <row r="28" spans="1:22" ht="18.75" customHeight="1">
      <c r="A28" s="3"/>
      <c r="B28" s="83" t="s">
        <v>21</v>
      </c>
      <c r="C28" s="83"/>
      <c r="D28" s="83"/>
      <c r="E28" s="83"/>
      <c r="F28" s="5"/>
      <c r="G28" s="126">
        <v>5</v>
      </c>
      <c r="H28" s="127">
        <f>K5</f>
        <v>12155.0625</v>
      </c>
      <c r="I28" s="128">
        <f>I27*C8+I27</f>
        <v>972.40499999999997</v>
      </c>
      <c r="J28" s="127">
        <f>SUM(K11:K14)</f>
        <v>408.14668800000004</v>
      </c>
      <c r="K28" s="127">
        <f>SUM(K15+K17+K18)</f>
        <v>204437.99587499999</v>
      </c>
      <c r="L28" s="5"/>
      <c r="M28" s="5"/>
      <c r="N28" s="5"/>
      <c r="O28" s="5"/>
      <c r="P28" s="5"/>
      <c r="Q28" s="28"/>
      <c r="R28" s="28"/>
      <c r="S28" s="3"/>
      <c r="T28" s="3"/>
      <c r="U28" s="3"/>
      <c r="V28" s="3"/>
    </row>
    <row r="29" spans="1:22" ht="24">
      <c r="A29" s="3"/>
      <c r="B29" s="11" t="s">
        <v>22</v>
      </c>
      <c r="C29" s="11" t="s">
        <v>23</v>
      </c>
      <c r="D29" s="11" t="s">
        <v>24</v>
      </c>
      <c r="E29" s="11" t="s">
        <v>25</v>
      </c>
      <c r="F29" s="5"/>
      <c r="G29" s="126">
        <v>6</v>
      </c>
      <c r="H29" s="127">
        <f>L5</f>
        <v>12762.815624999999</v>
      </c>
      <c r="I29" s="128">
        <f>I28*C8+I28</f>
        <v>1021.0252499999999</v>
      </c>
      <c r="J29" s="127">
        <f>SUM(L11:L14)</f>
        <v>440.79842303999999</v>
      </c>
      <c r="K29" s="127">
        <f>SUM(L15+L17+L18)</f>
        <v>220782.09598874996</v>
      </c>
      <c r="L29" s="28"/>
      <c r="M29" s="28"/>
      <c r="N29" s="28"/>
      <c r="O29" s="28"/>
      <c r="P29" s="28"/>
      <c r="Q29" s="5"/>
      <c r="R29" s="5"/>
      <c r="S29" s="3"/>
      <c r="T29" s="3"/>
      <c r="U29" s="3"/>
      <c r="V29" s="3"/>
    </row>
    <row r="30" spans="1:22" ht="15" customHeight="1">
      <c r="A30" s="3"/>
      <c r="B30" s="9">
        <v>0</v>
      </c>
      <c r="C30" s="9">
        <v>999</v>
      </c>
      <c r="D30" s="12">
        <v>0</v>
      </c>
      <c r="E30" s="13">
        <v>0.05</v>
      </c>
      <c r="F30" s="5"/>
      <c r="G30" s="126">
        <v>7</v>
      </c>
      <c r="H30" s="127">
        <f>M5</f>
        <v>13400.956406249999</v>
      </c>
      <c r="I30" s="128">
        <f>I29*C8+I29</f>
        <v>1072.0765124999998</v>
      </c>
      <c r="J30" s="127">
        <f>SUM(M11:M14)</f>
        <v>476.06229688319996</v>
      </c>
      <c r="K30" s="127">
        <f>M15+M17+M18</f>
        <v>238433.17713378745</v>
      </c>
      <c r="L30" s="28"/>
      <c r="M30" s="28"/>
      <c r="N30" s="28"/>
      <c r="O30" s="28"/>
      <c r="P30" s="28"/>
      <c r="Q30" s="29"/>
      <c r="R30" s="29"/>
      <c r="S30" s="3"/>
      <c r="T30" s="3"/>
      <c r="U30" s="3"/>
      <c r="V30" s="3"/>
    </row>
    <row r="31" spans="1:22" ht="15" customHeight="1">
      <c r="A31" s="3"/>
      <c r="B31" s="9">
        <v>1000</v>
      </c>
      <c r="C31" s="9">
        <v>9999</v>
      </c>
      <c r="D31" s="12">
        <v>50</v>
      </c>
      <c r="E31" s="13">
        <v>0.1</v>
      </c>
      <c r="F31" s="5"/>
      <c r="G31" s="126">
        <v>8</v>
      </c>
      <c r="H31" s="127">
        <f>N5</f>
        <v>14071.0042265625</v>
      </c>
      <c r="I31" s="128">
        <f>I30*C8+I30</f>
        <v>1125.6803381249997</v>
      </c>
      <c r="J31" s="127">
        <f>SUM(N11:N14)</f>
        <v>514.14728063385598</v>
      </c>
      <c r="K31" s="127">
        <f>SUM(N15+N17+N18)</f>
        <v>257495.77044372485</v>
      </c>
      <c r="L31" s="5"/>
      <c r="M31" s="5"/>
      <c r="N31" s="5"/>
      <c r="O31" s="5"/>
      <c r="P31" s="5"/>
      <c r="Q31" s="29"/>
      <c r="R31" s="29"/>
      <c r="S31" s="3"/>
      <c r="T31" s="3"/>
      <c r="U31" s="3"/>
      <c r="V31" s="3"/>
    </row>
    <row r="32" spans="1:22" ht="21">
      <c r="A32" s="3"/>
      <c r="B32" s="9">
        <v>10000</v>
      </c>
      <c r="C32" s="9">
        <v>49999</v>
      </c>
      <c r="D32" s="12">
        <v>950</v>
      </c>
      <c r="E32" s="13">
        <v>0.15</v>
      </c>
      <c r="F32" s="5"/>
      <c r="G32" s="126">
        <v>9</v>
      </c>
      <c r="H32" s="127">
        <f>O5</f>
        <v>14774.554437890625</v>
      </c>
      <c r="I32" s="128">
        <f>I31*C8+I31</f>
        <v>1181.9643550312496</v>
      </c>
      <c r="J32" s="127">
        <f>SUM(O11:O14)</f>
        <v>555.27906308456443</v>
      </c>
      <c r="K32" s="127">
        <f>SUM(O15+O17+O18)</f>
        <v>278082.7681754189</v>
      </c>
      <c r="L32" s="29"/>
      <c r="M32" s="29"/>
      <c r="N32" s="29"/>
      <c r="O32" s="29"/>
      <c r="P32" s="29"/>
      <c r="Q32" s="3"/>
      <c r="R32" s="3"/>
      <c r="S32" s="3"/>
      <c r="T32" s="3"/>
      <c r="U32" s="3"/>
      <c r="V32" s="3"/>
    </row>
    <row r="33" spans="1:22" ht="21">
      <c r="A33" s="3"/>
      <c r="B33" s="9">
        <v>50000</v>
      </c>
      <c r="C33" s="9">
        <v>99000</v>
      </c>
      <c r="D33" s="12">
        <v>6950</v>
      </c>
      <c r="E33" s="13">
        <v>0.2</v>
      </c>
      <c r="F33" s="5"/>
      <c r="G33" s="126">
        <v>10</v>
      </c>
      <c r="H33" s="127">
        <f>P5</f>
        <v>15513.282159785156</v>
      </c>
      <c r="I33" s="128">
        <f>I32*C8+I32</f>
        <v>1241.0625727828121</v>
      </c>
      <c r="J33" s="127">
        <f>SUM(P11:P14)</f>
        <v>599.70138813132962</v>
      </c>
      <c r="K33" s="127">
        <f>P15+P17+P18</f>
        <v>300316.09253045835</v>
      </c>
      <c r="L33" s="29"/>
      <c r="M33" s="29"/>
      <c r="N33" s="29"/>
      <c r="O33" s="29"/>
      <c r="P33" s="29"/>
      <c r="Q33" s="3"/>
      <c r="R33" s="3"/>
      <c r="S33" s="3"/>
      <c r="T33" s="3"/>
      <c r="U33" s="3"/>
      <c r="V33" s="3"/>
    </row>
    <row r="34" spans="1:22">
      <c r="A34" s="3"/>
      <c r="B34" s="9">
        <v>100000</v>
      </c>
      <c r="C34" s="9">
        <v>499000</v>
      </c>
      <c r="D34" s="12">
        <v>16950</v>
      </c>
      <c r="E34" s="13">
        <v>0.25</v>
      </c>
      <c r="F34" s="3"/>
      <c r="G34" s="3"/>
      <c r="H34" s="3"/>
      <c r="I34" s="3"/>
      <c r="J34" s="3"/>
      <c r="K34" s="3"/>
      <c r="L34" s="3"/>
      <c r="M34" s="3"/>
      <c r="N34" s="3"/>
      <c r="O34" s="3"/>
      <c r="P34" s="3"/>
      <c r="Q34" s="3"/>
      <c r="R34" s="3"/>
      <c r="S34" s="3"/>
      <c r="T34" s="3"/>
      <c r="U34" s="3"/>
      <c r="V34" s="3"/>
    </row>
    <row r="35" spans="1:22">
      <c r="A35" s="3"/>
      <c r="B35" s="9">
        <v>500000</v>
      </c>
      <c r="C35" s="9">
        <v>999999</v>
      </c>
      <c r="D35" s="12">
        <v>116949</v>
      </c>
      <c r="E35" s="13">
        <v>0.3</v>
      </c>
      <c r="F35" s="3"/>
      <c r="G35" s="3"/>
      <c r="H35" s="3"/>
      <c r="I35" s="3"/>
      <c r="J35" s="3"/>
      <c r="K35" s="3"/>
      <c r="L35" s="3"/>
      <c r="M35" s="3"/>
      <c r="N35" s="3"/>
      <c r="O35" s="3"/>
      <c r="P35" s="3"/>
      <c r="Q35" s="3"/>
      <c r="R35" s="3"/>
      <c r="S35" s="3"/>
      <c r="T35" s="3"/>
      <c r="U35" s="3"/>
      <c r="V35" s="3"/>
    </row>
    <row r="36" spans="1:22">
      <c r="A36" s="3"/>
      <c r="B36" s="9">
        <v>1000000</v>
      </c>
      <c r="C36" s="9"/>
      <c r="D36" s="12">
        <v>266949</v>
      </c>
      <c r="E36" s="13">
        <v>0.35</v>
      </c>
      <c r="F36" s="3"/>
      <c r="G36" s="3"/>
      <c r="H36" s="3"/>
      <c r="I36" s="3"/>
      <c r="J36" s="3"/>
      <c r="K36" s="3"/>
      <c r="L36" s="3"/>
      <c r="M36" s="3"/>
      <c r="N36" s="3"/>
      <c r="O36" s="3"/>
      <c r="P36" s="3"/>
      <c r="Q36" s="3"/>
      <c r="R36" s="3"/>
      <c r="S36" s="3"/>
      <c r="T36" s="3"/>
      <c r="U36" s="3"/>
      <c r="V36" s="3"/>
    </row>
    <row r="37" spans="1:22">
      <c r="A37" s="3"/>
      <c r="B37" s="3"/>
      <c r="C37" s="3"/>
      <c r="D37" s="3"/>
      <c r="E37" s="3"/>
      <c r="F37" s="3"/>
      <c r="G37" s="3"/>
      <c r="H37" s="3"/>
      <c r="I37" s="3"/>
      <c r="J37" s="3"/>
      <c r="K37" s="3"/>
      <c r="L37" s="3"/>
      <c r="M37" s="3"/>
      <c r="N37" s="3"/>
      <c r="O37" s="3"/>
      <c r="P37" s="3"/>
      <c r="Q37" s="3"/>
      <c r="R37" s="3"/>
      <c r="S37" s="3"/>
      <c r="T37" s="3"/>
      <c r="U37" s="3"/>
      <c r="V37" s="3"/>
    </row>
    <row r="38" spans="1:22">
      <c r="A38" s="3"/>
      <c r="B38" s="3"/>
      <c r="C38" s="3"/>
      <c r="D38" s="3"/>
      <c r="E38" s="3"/>
      <c r="F38" s="3"/>
      <c r="G38" s="3"/>
      <c r="H38" s="3"/>
      <c r="I38" s="3"/>
      <c r="J38" s="3"/>
      <c r="K38" s="3"/>
      <c r="L38" s="3"/>
      <c r="M38" s="3"/>
      <c r="N38" s="3"/>
      <c r="O38" s="3"/>
      <c r="P38" s="3"/>
      <c r="Q38" s="3"/>
      <c r="R38" s="3"/>
      <c r="S38" s="3"/>
      <c r="T38" s="3"/>
      <c r="U38" s="3"/>
      <c r="V38" s="3"/>
    </row>
    <row r="39" spans="1:22">
      <c r="A39" s="3"/>
      <c r="B39" s="3"/>
      <c r="C39" s="3"/>
      <c r="D39" s="3"/>
      <c r="E39" s="3"/>
      <c r="F39" s="3"/>
      <c r="G39" s="3"/>
      <c r="H39" s="3"/>
      <c r="I39" s="3"/>
      <c r="J39" s="3"/>
      <c r="K39" s="3"/>
      <c r="L39" s="3"/>
      <c r="M39" s="3"/>
      <c r="N39" s="3"/>
      <c r="O39" s="3"/>
      <c r="P39" s="3"/>
      <c r="Q39" s="3"/>
      <c r="R39" s="3"/>
      <c r="S39" s="3"/>
      <c r="T39" s="3"/>
      <c r="U39" s="3"/>
      <c r="V39" s="3"/>
    </row>
    <row r="40" spans="1:22">
      <c r="A40" s="3"/>
      <c r="B40" s="3"/>
      <c r="C40" s="3"/>
      <c r="D40" s="3"/>
      <c r="E40" s="3"/>
      <c r="F40" s="3"/>
      <c r="G40" s="3"/>
      <c r="H40" s="3"/>
      <c r="I40" s="3"/>
      <c r="J40" s="3"/>
      <c r="K40" s="3"/>
      <c r="L40" s="3"/>
      <c r="M40" s="3"/>
      <c r="N40" s="3"/>
      <c r="O40" s="3"/>
      <c r="P40" s="3"/>
      <c r="Q40" s="3"/>
      <c r="R40" s="3"/>
      <c r="S40" s="3"/>
      <c r="T40" s="3"/>
      <c r="U40" s="3"/>
      <c r="V40" s="3"/>
    </row>
    <row r="41" spans="1:22">
      <c r="A41" s="3"/>
      <c r="B41" s="3"/>
      <c r="C41" s="3"/>
      <c r="D41" s="3"/>
      <c r="E41" s="3"/>
      <c r="F41" s="3"/>
      <c r="G41" s="3"/>
      <c r="H41" s="3"/>
      <c r="I41" s="3"/>
      <c r="J41" s="3"/>
      <c r="K41" s="3"/>
      <c r="L41" s="3"/>
      <c r="M41" s="3"/>
      <c r="N41" s="3"/>
      <c r="O41" s="3"/>
      <c r="P41" s="3"/>
      <c r="Q41" s="3"/>
      <c r="R41" s="3"/>
      <c r="S41" s="3"/>
      <c r="T41" s="3"/>
      <c r="U41" s="3"/>
      <c r="V41" s="3"/>
    </row>
    <row r="42" spans="1:22">
      <c r="A42" s="3"/>
      <c r="B42" s="3"/>
      <c r="C42" s="3"/>
      <c r="D42" s="3"/>
      <c r="E42" s="3"/>
      <c r="F42" s="3"/>
      <c r="G42" s="3"/>
      <c r="H42" s="3"/>
      <c r="I42" s="3"/>
      <c r="J42" s="3"/>
      <c r="K42" s="3"/>
      <c r="L42" s="3"/>
      <c r="M42" s="3"/>
      <c r="N42" s="3"/>
      <c r="O42" s="3"/>
      <c r="P42" s="3"/>
      <c r="Q42" s="3"/>
      <c r="R42" s="3"/>
      <c r="S42" s="3"/>
      <c r="T42" s="3"/>
      <c r="U42" s="3"/>
      <c r="V42" s="3"/>
    </row>
    <row r="43" spans="1:22">
      <c r="A43" s="3"/>
      <c r="B43" s="3"/>
      <c r="C43" s="3"/>
      <c r="D43" s="3"/>
      <c r="E43" s="3"/>
      <c r="F43" s="3"/>
      <c r="G43" s="3"/>
      <c r="H43" s="3"/>
      <c r="I43" s="3"/>
      <c r="J43" s="3"/>
      <c r="K43" s="3"/>
      <c r="L43" s="3"/>
      <c r="M43" s="3"/>
      <c r="N43" s="3"/>
      <c r="O43" s="3"/>
      <c r="P43" s="3"/>
      <c r="Q43" s="3"/>
      <c r="R43" s="3"/>
      <c r="S43" s="3"/>
      <c r="T43" s="3"/>
      <c r="U43" s="3"/>
      <c r="V43" s="3"/>
    </row>
    <row r="44" spans="1:22">
      <c r="A44" s="3"/>
      <c r="B44" s="3"/>
      <c r="C44" s="3"/>
      <c r="D44" s="3"/>
      <c r="E44" s="3"/>
      <c r="F44" s="3"/>
      <c r="G44" s="3"/>
      <c r="H44" s="3"/>
      <c r="I44" s="3"/>
      <c r="J44" s="3"/>
      <c r="K44" s="3"/>
      <c r="L44" s="3"/>
      <c r="M44" s="3"/>
      <c r="N44" s="3"/>
      <c r="O44" s="3"/>
      <c r="P44" s="3"/>
      <c r="Q44" s="3"/>
      <c r="R44" s="3"/>
      <c r="S44" s="3"/>
      <c r="T44" s="3"/>
      <c r="U44" s="3"/>
      <c r="V44" s="3"/>
    </row>
    <row r="45" spans="1:22">
      <c r="A45" s="3"/>
      <c r="B45" s="3"/>
      <c r="C45" s="3"/>
      <c r="D45" s="3"/>
      <c r="E45" s="3"/>
      <c r="F45" s="3"/>
      <c r="G45" s="3"/>
      <c r="H45" s="3"/>
      <c r="I45" s="3"/>
      <c r="J45" s="3"/>
      <c r="K45" s="3"/>
      <c r="L45" s="3"/>
      <c r="M45" s="3"/>
      <c r="N45" s="3"/>
      <c r="O45" s="3"/>
      <c r="P45" s="3"/>
      <c r="Q45" s="3"/>
      <c r="R45" s="3"/>
      <c r="S45" s="3"/>
      <c r="T45" s="3"/>
      <c r="U45" s="3"/>
      <c r="V45" s="3"/>
    </row>
    <row r="46" spans="1:22">
      <c r="A46" s="3"/>
      <c r="B46" s="3"/>
      <c r="C46" s="3"/>
      <c r="D46" s="3"/>
      <c r="E46" s="3"/>
      <c r="F46" s="3"/>
      <c r="G46" s="3"/>
      <c r="H46" s="3"/>
      <c r="I46" s="3"/>
      <c r="J46" s="3"/>
      <c r="K46" s="3"/>
      <c r="L46" s="3"/>
      <c r="M46" s="3"/>
      <c r="N46" s="3"/>
      <c r="O46" s="3"/>
      <c r="P46" s="3"/>
      <c r="Q46" s="3"/>
      <c r="R46" s="3"/>
      <c r="S46" s="3"/>
      <c r="T46" s="3"/>
      <c r="U46" s="3"/>
      <c r="V46" s="3"/>
    </row>
    <row r="47" spans="1:22">
      <c r="A47" s="3"/>
      <c r="B47" s="3"/>
      <c r="C47" s="3"/>
      <c r="D47" s="3"/>
      <c r="E47" s="3"/>
      <c r="F47" s="3"/>
      <c r="G47" s="3"/>
      <c r="H47" s="3"/>
      <c r="I47" s="3"/>
      <c r="J47" s="3"/>
      <c r="K47" s="3"/>
      <c r="L47" s="3"/>
      <c r="M47" s="3"/>
      <c r="N47" s="3"/>
      <c r="O47" s="3"/>
      <c r="P47" s="3"/>
      <c r="Q47" s="3"/>
      <c r="R47" s="3"/>
      <c r="S47" s="3"/>
      <c r="T47" s="3"/>
      <c r="U47" s="3"/>
      <c r="V47" s="3"/>
    </row>
    <row r="48" spans="1:22">
      <c r="A48" s="3"/>
      <c r="B48" s="3"/>
      <c r="C48" s="3"/>
      <c r="D48" s="3"/>
      <c r="E48" s="3"/>
      <c r="F48" s="3"/>
      <c r="G48" s="3"/>
      <c r="H48" s="3"/>
      <c r="I48" s="3"/>
      <c r="J48" s="3"/>
      <c r="K48" s="3"/>
      <c r="L48" s="3"/>
      <c r="M48" s="3"/>
      <c r="N48" s="3"/>
      <c r="O48" s="3"/>
      <c r="P48" s="3"/>
      <c r="Q48" s="3"/>
      <c r="R48" s="3"/>
      <c r="S48" s="3"/>
      <c r="T48" s="3"/>
      <c r="U48" s="3"/>
      <c r="V48" s="3"/>
    </row>
    <row r="49" spans="1:22">
      <c r="A49" s="3"/>
      <c r="B49" s="3"/>
      <c r="C49" s="3"/>
      <c r="D49" s="3"/>
      <c r="E49" s="3"/>
      <c r="F49" s="3"/>
      <c r="G49" s="3"/>
      <c r="H49" s="3"/>
      <c r="I49" s="3"/>
      <c r="J49" s="3"/>
      <c r="K49" s="3"/>
      <c r="L49" s="3"/>
      <c r="M49" s="3"/>
      <c r="N49" s="3"/>
      <c r="O49" s="3"/>
      <c r="P49" s="3"/>
      <c r="Q49" s="3"/>
      <c r="R49" s="3"/>
      <c r="S49" s="3"/>
      <c r="T49" s="3"/>
      <c r="U49" s="3"/>
      <c r="V49" s="3"/>
    </row>
    <row r="50" spans="1:22">
      <c r="A50" s="3"/>
      <c r="B50" s="3"/>
      <c r="C50" s="3"/>
      <c r="D50" s="3"/>
      <c r="E50" s="3"/>
      <c r="F50" s="3"/>
      <c r="G50" s="3"/>
      <c r="H50" s="3"/>
      <c r="I50" s="3"/>
      <c r="J50" s="3"/>
      <c r="K50" s="3"/>
      <c r="L50" s="3"/>
      <c r="M50" s="3"/>
      <c r="N50" s="3"/>
      <c r="O50" s="3"/>
      <c r="P50" s="3"/>
      <c r="Q50" s="3"/>
      <c r="R50" s="3"/>
      <c r="S50" s="3"/>
      <c r="T50" s="3"/>
      <c r="U50" s="3"/>
      <c r="V50" s="3"/>
    </row>
    <row r="51" spans="1:22">
      <c r="A51" s="3"/>
      <c r="B51" s="3"/>
      <c r="C51" s="3"/>
      <c r="D51" s="3"/>
      <c r="E51" s="3"/>
      <c r="F51" s="3"/>
      <c r="G51" s="3"/>
      <c r="H51" s="3"/>
      <c r="I51" s="3"/>
      <c r="J51" s="3"/>
      <c r="K51" s="3"/>
      <c r="L51" s="3"/>
      <c r="M51" s="3"/>
      <c r="N51" s="3"/>
      <c r="O51" s="3"/>
      <c r="P51" s="3"/>
      <c r="Q51" s="3"/>
      <c r="R51" s="3"/>
      <c r="S51" s="3"/>
      <c r="T51" s="3"/>
      <c r="U51" s="3"/>
      <c r="V51" s="3"/>
    </row>
    <row r="52" spans="1:22">
      <c r="A52" s="3"/>
      <c r="B52" s="3"/>
      <c r="C52" s="3"/>
      <c r="D52" s="3"/>
      <c r="E52" s="3"/>
      <c r="F52" s="3"/>
      <c r="G52" s="3"/>
      <c r="H52" s="3"/>
      <c r="I52" s="3"/>
      <c r="J52" s="3"/>
      <c r="K52" s="3"/>
      <c r="L52" s="3"/>
      <c r="M52" s="3"/>
      <c r="N52" s="3"/>
      <c r="O52" s="3"/>
      <c r="P52" s="3"/>
      <c r="Q52" s="3"/>
      <c r="R52" s="3"/>
      <c r="S52" s="3"/>
      <c r="T52" s="3"/>
      <c r="U52" s="3"/>
      <c r="V52" s="3"/>
    </row>
    <row r="53" spans="1:22">
      <c r="A53" s="3"/>
      <c r="B53" s="3"/>
      <c r="C53" s="3"/>
      <c r="D53" s="3"/>
      <c r="E53" s="3"/>
      <c r="F53" s="3"/>
      <c r="G53" s="3"/>
      <c r="H53" s="3"/>
      <c r="I53" s="3"/>
      <c r="J53" s="3"/>
      <c r="K53" s="3"/>
      <c r="L53" s="3"/>
      <c r="M53" s="3"/>
      <c r="N53" s="3"/>
      <c r="O53" s="3"/>
      <c r="P53" s="3"/>
      <c r="Q53" s="3"/>
      <c r="R53" s="3"/>
      <c r="S53" s="3"/>
      <c r="T53" s="3"/>
      <c r="U53" s="3"/>
      <c r="V53" s="3"/>
    </row>
    <row r="54" spans="1:22">
      <c r="F54" s="3"/>
      <c r="G54" s="3"/>
      <c r="H54" s="3"/>
      <c r="I54" s="3"/>
      <c r="J54" s="3"/>
      <c r="K54" s="3"/>
      <c r="L54" s="3"/>
      <c r="M54" s="3"/>
      <c r="N54" s="3"/>
      <c r="O54" s="3"/>
      <c r="P54" s="3"/>
    </row>
    <row r="55" spans="1:22">
      <c r="F55" s="3"/>
      <c r="G55" s="3"/>
      <c r="H55" s="3"/>
      <c r="I55" s="3"/>
      <c r="J55" s="3"/>
      <c r="K55" s="3"/>
      <c r="L55" s="3"/>
      <c r="M55" s="3"/>
      <c r="N55" s="3"/>
      <c r="O55" s="3"/>
      <c r="P55" s="3"/>
    </row>
  </sheetData>
  <mergeCells count="9">
    <mergeCell ref="B3:D3"/>
    <mergeCell ref="F16:P16"/>
    <mergeCell ref="D1:I2"/>
    <mergeCell ref="C5:D5"/>
    <mergeCell ref="C6:D6"/>
    <mergeCell ref="C7:D7"/>
    <mergeCell ref="C8:D8"/>
    <mergeCell ref="B4:D4"/>
    <mergeCell ref="F9:P9"/>
  </mergeCells>
  <pageMargins left="0.7" right="0.7" top="0.75" bottom="0.75" header="0.3" footer="0.3"/>
  <pageSetup orientation="portrait" horizontalDpi="360" verticalDpi="360" r:id="rId1"/>
  <ignoredErrors>
    <ignoredError sqref="L17" formula="1"/>
  </ignoredErrors>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7"/>
  <sheetViews>
    <sheetView topLeftCell="A3" workbookViewId="0">
      <selection activeCell="A90" sqref="A90"/>
    </sheetView>
  </sheetViews>
  <sheetFormatPr baseColWidth="10" defaultRowHeight="15"/>
  <cols>
    <col min="1" max="1" width="25.140625" style="2" customWidth="1"/>
    <col min="2" max="2" width="11.42578125" style="3" customWidth="1"/>
    <col min="3" max="4" width="13.85546875" style="3" customWidth="1"/>
    <col min="5" max="5" width="13.85546875" style="3" bestFit="1" customWidth="1"/>
    <col min="6" max="6" width="14.140625" style="3" bestFit="1" customWidth="1"/>
    <col min="7" max="8" width="13.85546875" style="3" bestFit="1" customWidth="1"/>
    <col min="9" max="9" width="14.140625" style="3" bestFit="1" customWidth="1"/>
    <col min="10" max="12" width="13.85546875" style="3" bestFit="1" customWidth="1"/>
    <col min="13" max="14" width="12.42578125" style="3" bestFit="1" customWidth="1"/>
    <col min="15" max="15" width="14.140625" style="3" bestFit="1" customWidth="1"/>
    <col min="16" max="17" width="11.42578125" style="3"/>
    <col min="18" max="18" width="13.85546875" style="3" bestFit="1" customWidth="1"/>
    <col min="19" max="16384" width="11.42578125" style="3"/>
  </cols>
  <sheetData>
    <row r="1" spans="1:21" s="4" customFormat="1" ht="15" customHeight="1">
      <c r="A1" s="129"/>
      <c r="B1" s="129"/>
      <c r="C1" s="129"/>
      <c r="D1" s="147" t="s">
        <v>145</v>
      </c>
      <c r="E1" s="147"/>
      <c r="F1" s="147"/>
      <c r="G1" s="147"/>
      <c r="H1" s="114"/>
      <c r="I1" s="114"/>
      <c r="J1" s="114"/>
      <c r="K1" s="114"/>
      <c r="L1" s="114"/>
      <c r="M1" s="114"/>
      <c r="N1" s="114"/>
      <c r="O1" s="114"/>
      <c r="P1" s="114"/>
      <c r="Q1" s="114"/>
      <c r="R1" s="114"/>
      <c r="S1" s="114"/>
      <c r="T1" s="114"/>
      <c r="U1" s="114"/>
    </row>
    <row r="2" spans="1:21" s="4" customFormat="1" ht="15" customHeight="1">
      <c r="A2" s="129"/>
      <c r="B2" s="129"/>
      <c r="C2" s="129"/>
      <c r="D2" s="147"/>
      <c r="E2" s="147"/>
      <c r="F2" s="147"/>
      <c r="G2" s="147"/>
      <c r="H2" s="114"/>
      <c r="I2" s="114"/>
      <c r="J2" s="114"/>
      <c r="K2" s="114"/>
      <c r="L2" s="114"/>
      <c r="M2" s="114"/>
      <c r="N2" s="114"/>
      <c r="O2" s="114"/>
      <c r="P2" s="114"/>
      <c r="Q2" s="114"/>
      <c r="R2" s="114"/>
      <c r="S2" s="114"/>
      <c r="T2" s="114"/>
      <c r="U2" s="114"/>
    </row>
    <row r="3" spans="1:21">
      <c r="A3" s="3"/>
      <c r="B3" s="110"/>
      <c r="C3" s="110"/>
      <c r="D3" s="110"/>
      <c r="E3" s="110"/>
      <c r="F3" s="110"/>
      <c r="G3" s="110"/>
      <c r="H3" s="110"/>
      <c r="I3" s="110"/>
      <c r="K3" s="110"/>
      <c r="L3" s="110"/>
      <c r="M3" s="110"/>
      <c r="N3" s="110"/>
      <c r="O3" s="110"/>
      <c r="P3" s="110"/>
      <c r="Q3" s="110"/>
      <c r="R3" s="110"/>
      <c r="S3" s="110"/>
      <c r="T3" s="110"/>
      <c r="U3" s="110"/>
    </row>
    <row r="4" spans="1:21" ht="16.5">
      <c r="A4" s="3"/>
      <c r="C4" s="123" t="s">
        <v>175</v>
      </c>
      <c r="D4" s="124" t="s">
        <v>174</v>
      </c>
      <c r="E4" s="121" t="s">
        <v>152</v>
      </c>
      <c r="F4" s="121" t="s">
        <v>153</v>
      </c>
      <c r="G4" s="121" t="s">
        <v>154</v>
      </c>
      <c r="H4" s="121" t="s">
        <v>155</v>
      </c>
      <c r="I4" s="121" t="s">
        <v>156</v>
      </c>
      <c r="J4" s="121" t="s">
        <v>157</v>
      </c>
      <c r="K4" s="122" t="s">
        <v>158</v>
      </c>
      <c r="L4" s="121" t="s">
        <v>159</v>
      </c>
      <c r="M4" s="110"/>
      <c r="N4" s="110"/>
      <c r="O4" s="111"/>
      <c r="P4" s="111"/>
      <c r="Q4" s="111"/>
      <c r="R4" s="111"/>
      <c r="S4" s="110"/>
      <c r="T4" s="110"/>
      <c r="U4" s="110"/>
    </row>
    <row r="5" spans="1:21">
      <c r="A5" s="3"/>
      <c r="B5" s="149" t="s">
        <v>176</v>
      </c>
      <c r="C5" s="150">
        <f>Datos!K24/(Datos!I24-Datos!J24)</f>
        <v>300.60000000000002</v>
      </c>
      <c r="D5" s="150">
        <f>Datos!K25/(Datos!I25-Datos!J25)</f>
        <v>314.56395348837208</v>
      </c>
      <c r="E5" s="150">
        <f>Datos!K26/(Datos!I26-Datos!J26)</f>
        <v>329.44435047361304</v>
      </c>
      <c r="F5" s="150">
        <f>Datos!K27/(Datos!I27-Datos!J27)</f>
        <v>345.32795322904758</v>
      </c>
      <c r="G5" s="150">
        <f>Datos!K28/(Datos!I28-Datos!J28)</f>
        <v>362.31277683863345</v>
      </c>
      <c r="H5" s="150">
        <f>Datos!K29/(Datos!I29-Datos!J29)</f>
        <v>380.50997597870531</v>
      </c>
      <c r="I5" s="150">
        <f>Datos!K30/(Datos!I30-Datos!J30)</f>
        <v>400.04612454929293</v>
      </c>
      <c r="J5" s="150">
        <f>Datos!K31/(Datos!I31-Datos!J31)</f>
        <v>421.0659870132269</v>
      </c>
      <c r="K5" s="150">
        <f>Datos!K32/(Datos!I32-Datos!J32)</f>
        <v>443.73590979230545</v>
      </c>
      <c r="L5" s="150">
        <f>Datos!K33/(Datos!I33-Datos!J33)</f>
        <v>468.24800084160216</v>
      </c>
      <c r="N5" s="110"/>
    </row>
    <row r="6" spans="1:21">
      <c r="A6" s="3"/>
      <c r="B6" s="149"/>
      <c r="C6" s="150"/>
      <c r="D6" s="150"/>
      <c r="E6" s="150"/>
      <c r="F6" s="150"/>
      <c r="G6" s="150"/>
      <c r="H6" s="150"/>
      <c r="I6" s="150"/>
      <c r="J6" s="150"/>
      <c r="K6" s="150"/>
      <c r="L6" s="150"/>
    </row>
    <row r="7" spans="1:21">
      <c r="A7" s="3"/>
      <c r="B7" s="149"/>
      <c r="C7" s="150"/>
      <c r="D7" s="150"/>
      <c r="E7" s="150"/>
      <c r="F7" s="150"/>
      <c r="G7" s="150"/>
      <c r="H7" s="150"/>
      <c r="I7" s="150"/>
      <c r="J7" s="150"/>
      <c r="K7" s="150"/>
      <c r="L7" s="150"/>
    </row>
    <row r="8" spans="1:21">
      <c r="A8" s="3"/>
      <c r="B8" s="149" t="s">
        <v>177</v>
      </c>
      <c r="C8" s="151">
        <f>Datos!K24/(1-(Datos!J24/Datos!I24))</f>
        <v>240480</v>
      </c>
      <c r="D8" s="151">
        <f>Datos!K25/(1-(Datos!J25/Datos!I25))</f>
        <v>264233.72093023255</v>
      </c>
      <c r="E8" s="151">
        <f>Datos!K26/(1-(Datos!J26/Datos!I26))</f>
        <v>290569.9171177267</v>
      </c>
      <c r="F8" s="151">
        <f>Datos!K27/(1-(Datos!J27/Datos!I27))</f>
        <v>319808.21748542099</v>
      </c>
      <c r="G8" s="151">
        <f>Datos!K28/(1-(Datos!J28/Datos!I28))</f>
        <v>352314.75576177135</v>
      </c>
      <c r="H8" s="151">
        <f>Datos!K29/(1-(Datos!J29/Datos!I29))</f>
        <v>388510.29335115151</v>
      </c>
      <c r="I8" s="151">
        <f>Datos!K30/(1-(Datos!J30/Datos!I30))</f>
        <v>428880.05404594657</v>
      </c>
      <c r="J8" s="151">
        <f>Datos!K31/(1-(Datos!J31/Datos!I31))</f>
        <v>473985.70263398602</v>
      </c>
      <c r="K8" s="151">
        <f>Datos!K32/(1-(Datos!J32/Datos!I32))</f>
        <v>524480.02842186706</v>
      </c>
      <c r="L8" s="151">
        <f>Datos!K33/(1-(Datos!J33/Datos!I33))</f>
        <v>581125.06862488715</v>
      </c>
    </row>
    <row r="9" spans="1:21">
      <c r="A9" s="3"/>
      <c r="B9" s="149"/>
      <c r="C9" s="149"/>
      <c r="D9" s="149"/>
      <c r="E9" s="149"/>
      <c r="F9" s="149"/>
      <c r="G9" s="149"/>
      <c r="H9" s="149"/>
      <c r="I9" s="149"/>
      <c r="J9" s="149"/>
      <c r="K9" s="149"/>
      <c r="L9" s="149"/>
    </row>
    <row r="10" spans="1:21">
      <c r="A10" s="3"/>
      <c r="B10" s="149"/>
      <c r="C10" s="149"/>
      <c r="D10" s="149"/>
      <c r="E10" s="149"/>
      <c r="F10" s="149"/>
      <c r="G10" s="149"/>
      <c r="H10" s="149"/>
      <c r="I10" s="149"/>
      <c r="J10" s="149"/>
      <c r="K10" s="149"/>
      <c r="L10" s="149"/>
    </row>
    <row r="11" spans="1:21">
      <c r="A11" s="3"/>
      <c r="B11" s="5"/>
      <c r="C11" s="5"/>
      <c r="D11" s="5"/>
      <c r="E11" s="112"/>
      <c r="F11" s="112"/>
      <c r="G11" s="110"/>
      <c r="H11" s="110"/>
      <c r="I11" s="110"/>
      <c r="J11" s="110"/>
      <c r="K11" s="110"/>
      <c r="L11" s="110"/>
      <c r="M11" s="110"/>
      <c r="N11" s="110"/>
      <c r="O11" s="110"/>
      <c r="P11" s="110"/>
      <c r="Q11" s="110"/>
      <c r="R11" s="110"/>
      <c r="S11" s="110"/>
      <c r="T11" s="110"/>
      <c r="U11" s="110"/>
    </row>
    <row r="12" spans="1:21" ht="16.5">
      <c r="A12" s="3"/>
      <c r="C12" s="111"/>
      <c r="D12" s="111"/>
      <c r="F12" s="111"/>
      <c r="G12" s="110"/>
      <c r="I12" s="111"/>
      <c r="J12" s="111"/>
      <c r="K12" s="111"/>
      <c r="L12" s="111"/>
      <c r="M12" s="110"/>
      <c r="N12" s="110"/>
      <c r="O12" s="111"/>
      <c r="P12" s="111"/>
      <c r="Q12" s="111"/>
      <c r="R12" s="111"/>
      <c r="S12" s="110"/>
      <c r="T12" s="110"/>
      <c r="U12" s="110"/>
    </row>
    <row r="13" spans="1:21">
      <c r="A13" s="3"/>
      <c r="D13" s="110"/>
      <c r="G13" s="110"/>
      <c r="J13" s="110"/>
      <c r="K13" s="110"/>
      <c r="L13" s="110"/>
    </row>
    <row r="14" spans="1:21">
      <c r="A14" s="3"/>
      <c r="D14" s="110"/>
      <c r="G14" s="110"/>
      <c r="J14" s="113"/>
      <c r="K14" s="110"/>
      <c r="L14" s="110"/>
    </row>
    <row r="15" spans="1:21">
      <c r="A15" s="3"/>
      <c r="D15" s="110"/>
      <c r="G15" s="110"/>
      <c r="J15" s="110"/>
      <c r="K15" s="110"/>
      <c r="L15" s="110"/>
    </row>
    <row r="16" spans="1:21">
      <c r="A16" s="3"/>
      <c r="D16" s="110"/>
      <c r="G16" s="110"/>
      <c r="J16" s="110"/>
      <c r="K16" s="110"/>
      <c r="L16" s="110"/>
    </row>
    <row r="17" spans="1:21">
      <c r="A17" s="3"/>
      <c r="D17" s="110"/>
      <c r="G17" s="110"/>
      <c r="J17" s="110"/>
      <c r="K17" s="110"/>
      <c r="L17" s="110"/>
    </row>
    <row r="18" spans="1:21">
      <c r="A18" s="3"/>
      <c r="D18" s="110"/>
      <c r="G18" s="110"/>
      <c r="J18" s="110"/>
      <c r="K18" s="110"/>
      <c r="L18" s="110"/>
    </row>
    <row r="19" spans="1:21">
      <c r="A19" s="3"/>
      <c r="B19" s="110"/>
      <c r="C19" s="110"/>
      <c r="D19" s="110"/>
      <c r="E19" s="110"/>
      <c r="F19" s="110"/>
      <c r="G19" s="110"/>
      <c r="H19" s="110"/>
      <c r="I19" s="110"/>
      <c r="J19" s="110"/>
      <c r="K19" s="110"/>
      <c r="L19" s="110"/>
      <c r="M19" s="110"/>
      <c r="N19" s="110"/>
      <c r="O19" s="110"/>
      <c r="P19" s="110"/>
      <c r="Q19" s="110"/>
      <c r="R19" s="110"/>
      <c r="S19" s="110"/>
      <c r="T19" s="110"/>
      <c r="U19" s="110"/>
    </row>
    <row r="20" spans="1:21" ht="16.5">
      <c r="A20" s="3"/>
      <c r="C20" s="111"/>
      <c r="D20" s="110"/>
      <c r="F20" s="111"/>
      <c r="G20" s="111"/>
      <c r="I20" s="111"/>
      <c r="J20" s="111"/>
      <c r="K20" s="111"/>
      <c r="L20" s="111"/>
      <c r="M20" s="110"/>
      <c r="N20" s="110"/>
      <c r="O20" s="110"/>
    </row>
    <row r="21" spans="1:21">
      <c r="A21" s="3"/>
      <c r="D21" s="110"/>
      <c r="G21" s="110"/>
      <c r="J21" s="110"/>
      <c r="K21" s="110"/>
      <c r="L21" s="110"/>
    </row>
    <row r="22" spans="1:21">
      <c r="A22" s="3"/>
      <c r="D22" s="110"/>
      <c r="G22" s="110"/>
      <c r="J22" s="113"/>
      <c r="K22" s="110"/>
      <c r="L22" s="110"/>
    </row>
    <row r="23" spans="1:21">
      <c r="A23" s="3"/>
      <c r="D23" s="110"/>
      <c r="G23" s="110"/>
      <c r="J23" s="110"/>
      <c r="K23" s="110"/>
      <c r="L23" s="110"/>
    </row>
    <row r="24" spans="1:21">
      <c r="A24" s="3"/>
      <c r="D24" s="110"/>
      <c r="G24" s="110"/>
      <c r="J24" s="110"/>
      <c r="K24" s="110"/>
      <c r="L24" s="110"/>
    </row>
    <row r="25" spans="1:21">
      <c r="A25" s="3"/>
      <c r="D25" s="110"/>
      <c r="G25" s="110"/>
      <c r="J25" s="110"/>
      <c r="K25" s="110"/>
      <c r="L25" s="110"/>
    </row>
    <row r="26" spans="1:21">
      <c r="A26" s="3"/>
      <c r="D26" s="110"/>
      <c r="G26" s="110"/>
      <c r="J26" s="110"/>
      <c r="K26" s="110"/>
      <c r="L26" s="110"/>
    </row>
    <row r="27" spans="1:21">
      <c r="A27" s="3"/>
      <c r="B27" s="110"/>
      <c r="C27" s="110"/>
      <c r="D27" s="110"/>
      <c r="E27" s="110"/>
      <c r="F27" s="110"/>
      <c r="G27" s="110"/>
      <c r="H27" s="110"/>
      <c r="I27" s="110"/>
      <c r="J27" s="110"/>
      <c r="K27" s="110"/>
      <c r="L27" s="110"/>
      <c r="M27" s="110"/>
      <c r="N27" s="110"/>
      <c r="O27" s="110"/>
      <c r="P27" s="110"/>
      <c r="Q27" s="110"/>
      <c r="R27" s="110"/>
      <c r="S27" s="110"/>
      <c r="T27" s="110"/>
      <c r="U27" s="110"/>
    </row>
    <row r="28" spans="1:21" ht="16.5">
      <c r="A28" s="3"/>
      <c r="C28" s="111"/>
      <c r="D28" s="111"/>
      <c r="E28" s="111"/>
      <c r="F28" s="111"/>
      <c r="G28" s="110"/>
      <c r="H28" s="110"/>
      <c r="I28" s="110"/>
      <c r="J28" s="110"/>
      <c r="K28" s="110"/>
      <c r="L28" s="110"/>
      <c r="M28" s="110"/>
      <c r="N28" s="110"/>
      <c r="O28" s="110"/>
      <c r="P28" s="110"/>
      <c r="Q28" s="110"/>
      <c r="R28" s="110"/>
      <c r="S28" s="110"/>
      <c r="T28" s="110"/>
      <c r="U28" s="110"/>
    </row>
    <row r="29" spans="1:21">
      <c r="A29" s="3"/>
      <c r="D29" s="110"/>
      <c r="E29" s="110"/>
      <c r="F29" s="110"/>
      <c r="G29" s="110"/>
      <c r="H29" s="110"/>
      <c r="I29" s="110"/>
      <c r="J29" s="110"/>
      <c r="K29" s="110"/>
      <c r="L29" s="110"/>
      <c r="M29" s="110"/>
      <c r="N29" s="110"/>
      <c r="O29" s="110"/>
      <c r="P29" s="110"/>
      <c r="Q29" s="110"/>
      <c r="R29" s="110"/>
    </row>
    <row r="30" spans="1:21">
      <c r="A30" s="3"/>
      <c r="D30" s="110"/>
      <c r="E30" s="113"/>
      <c r="F30" s="110"/>
      <c r="G30" s="110"/>
      <c r="H30" s="110"/>
      <c r="I30" s="110"/>
      <c r="J30" s="110"/>
      <c r="K30" s="110"/>
      <c r="L30" s="110"/>
      <c r="M30" s="110"/>
      <c r="N30" s="110"/>
      <c r="O30" s="110"/>
      <c r="P30" s="110"/>
      <c r="Q30" s="110"/>
      <c r="R30" s="110"/>
    </row>
    <row r="31" spans="1:21">
      <c r="A31" s="3"/>
      <c r="D31" s="110"/>
      <c r="E31" s="110"/>
      <c r="F31" s="110"/>
      <c r="G31" s="110"/>
      <c r="H31" s="110"/>
      <c r="I31" s="110"/>
      <c r="J31" s="110"/>
      <c r="K31" s="110"/>
      <c r="L31" s="110"/>
      <c r="M31" s="110"/>
      <c r="N31" s="110"/>
      <c r="O31" s="110"/>
      <c r="P31" s="110"/>
      <c r="Q31" s="110"/>
      <c r="R31" s="110"/>
    </row>
    <row r="32" spans="1:21">
      <c r="A32" s="3"/>
      <c r="D32" s="110"/>
      <c r="E32" s="110"/>
      <c r="F32" s="110"/>
      <c r="G32" s="110"/>
      <c r="H32" s="110"/>
      <c r="I32" s="110"/>
      <c r="J32" s="110"/>
      <c r="K32" s="110"/>
      <c r="L32" s="110"/>
      <c r="M32" s="110"/>
      <c r="N32" s="110"/>
      <c r="O32" s="110"/>
      <c r="P32" s="110"/>
      <c r="Q32" s="110"/>
      <c r="R32" s="110"/>
    </row>
    <row r="33" spans="1:21">
      <c r="A33" s="3"/>
      <c r="D33" s="110"/>
      <c r="E33" s="110"/>
      <c r="F33" s="110"/>
      <c r="G33" s="110"/>
      <c r="H33" s="110"/>
      <c r="I33" s="110"/>
      <c r="J33" s="110"/>
      <c r="K33" s="110"/>
      <c r="L33" s="110"/>
      <c r="M33" s="110"/>
      <c r="N33" s="110"/>
      <c r="O33" s="110"/>
      <c r="P33" s="110"/>
      <c r="Q33" s="110"/>
      <c r="R33" s="110"/>
    </row>
    <row r="34" spans="1:21">
      <c r="A34" s="3"/>
      <c r="D34" s="110"/>
      <c r="E34" s="110"/>
      <c r="F34" s="110"/>
      <c r="G34" s="110"/>
      <c r="H34" s="110"/>
      <c r="I34" s="110"/>
      <c r="J34" s="110"/>
      <c r="K34" s="110"/>
      <c r="L34" s="110"/>
      <c r="M34" s="110"/>
      <c r="N34" s="110"/>
      <c r="O34" s="110"/>
      <c r="P34" s="110"/>
      <c r="Q34" s="110"/>
      <c r="R34" s="110"/>
    </row>
    <row r="35" spans="1:21">
      <c r="A35" s="3"/>
      <c r="B35" s="110"/>
      <c r="C35" s="110"/>
      <c r="D35" s="110"/>
      <c r="E35" s="110"/>
      <c r="F35" s="110"/>
      <c r="G35" s="110"/>
      <c r="H35" s="110"/>
      <c r="I35" s="110"/>
      <c r="J35" s="110"/>
      <c r="K35" s="110"/>
      <c r="L35" s="110"/>
      <c r="M35" s="110"/>
      <c r="N35" s="110"/>
      <c r="O35" s="110"/>
      <c r="P35" s="110"/>
      <c r="Q35" s="110"/>
      <c r="R35" s="110"/>
      <c r="S35" s="110"/>
      <c r="T35" s="110"/>
      <c r="U35" s="110"/>
    </row>
    <row r="36" spans="1:21" ht="15" customHeight="1">
      <c r="A36" s="3"/>
      <c r="B36" s="110"/>
      <c r="C36" s="110"/>
      <c r="D36" s="110"/>
      <c r="E36" s="110"/>
      <c r="F36" s="110"/>
      <c r="G36" s="110"/>
      <c r="H36" s="110"/>
      <c r="I36" s="110"/>
      <c r="J36" s="110"/>
      <c r="K36" s="110"/>
      <c r="L36" s="110"/>
      <c r="M36" s="110"/>
      <c r="N36" s="110"/>
      <c r="O36" s="110"/>
      <c r="P36" s="110"/>
      <c r="Q36" s="110"/>
      <c r="R36" s="110"/>
      <c r="S36" s="110"/>
      <c r="T36" s="110"/>
      <c r="U36" s="110"/>
    </row>
    <row r="37" spans="1:21" ht="15" customHeight="1">
      <c r="A37" s="3"/>
      <c r="B37" s="110"/>
      <c r="C37" s="110"/>
      <c r="D37" s="110"/>
      <c r="E37" s="110"/>
      <c r="F37" s="110"/>
      <c r="G37" s="110"/>
      <c r="H37" s="110"/>
      <c r="I37" s="110"/>
      <c r="J37" s="110"/>
      <c r="K37" s="110"/>
      <c r="L37" s="110"/>
      <c r="M37" s="110"/>
      <c r="N37" s="110"/>
      <c r="O37" s="110"/>
      <c r="P37" s="110"/>
      <c r="Q37" s="110"/>
      <c r="R37" s="110"/>
      <c r="S37" s="110"/>
      <c r="T37" s="110"/>
      <c r="U37" s="110"/>
    </row>
    <row r="38" spans="1:21" ht="15.75" customHeight="1">
      <c r="A38" s="3"/>
      <c r="B38" s="110"/>
      <c r="C38" s="110"/>
      <c r="D38" s="110"/>
      <c r="E38" s="110"/>
      <c r="F38" s="110"/>
      <c r="G38" s="110"/>
      <c r="H38" s="110"/>
      <c r="I38" s="110"/>
      <c r="J38" s="110"/>
      <c r="K38" s="110"/>
      <c r="L38" s="110"/>
      <c r="M38" s="110"/>
      <c r="N38" s="110"/>
      <c r="O38" s="110"/>
      <c r="P38" s="110"/>
      <c r="Q38" s="110"/>
      <c r="R38" s="110"/>
      <c r="S38" s="110"/>
      <c r="T38" s="110"/>
      <c r="U38" s="110"/>
    </row>
    <row r="39" spans="1:21">
      <c r="A39" s="3"/>
      <c r="B39" s="110"/>
      <c r="C39" s="110"/>
      <c r="D39" s="110"/>
      <c r="E39" s="110"/>
      <c r="F39" s="110"/>
      <c r="G39" s="110"/>
      <c r="H39" s="110"/>
      <c r="I39" s="110"/>
      <c r="J39" s="110"/>
      <c r="K39" s="110"/>
      <c r="L39" s="110"/>
      <c r="M39" s="110"/>
      <c r="N39" s="110"/>
      <c r="O39" s="110"/>
      <c r="P39" s="110"/>
      <c r="Q39" s="110"/>
      <c r="R39" s="110"/>
      <c r="S39" s="110"/>
      <c r="T39" s="110"/>
      <c r="U39" s="110"/>
    </row>
    <row r="40" spans="1:21" ht="16.5">
      <c r="A40" s="3"/>
      <c r="B40" s="110"/>
      <c r="C40" s="119" t="s">
        <v>150</v>
      </c>
      <c r="D40" s="119" t="s">
        <v>151</v>
      </c>
      <c r="E40" s="119" t="s">
        <v>152</v>
      </c>
      <c r="F40" s="119" t="s">
        <v>153</v>
      </c>
      <c r="G40" s="119" t="s">
        <v>154</v>
      </c>
      <c r="H40" s="119" t="s">
        <v>155</v>
      </c>
      <c r="I40" s="119" t="s">
        <v>156</v>
      </c>
      <c r="J40" s="119" t="s">
        <v>157</v>
      </c>
      <c r="K40" s="119" t="s">
        <v>158</v>
      </c>
      <c r="L40" s="119" t="s">
        <v>159</v>
      </c>
      <c r="M40" s="110"/>
      <c r="N40" s="110"/>
      <c r="O40" s="110"/>
      <c r="P40" s="110"/>
      <c r="Q40" s="110"/>
      <c r="R40" s="110"/>
      <c r="S40" s="110"/>
      <c r="T40" s="110"/>
      <c r="U40" s="110"/>
    </row>
    <row r="41" spans="1:21" ht="16.5">
      <c r="A41" s="3"/>
      <c r="B41" s="120" t="s">
        <v>160</v>
      </c>
      <c r="C41" s="115">
        <f>Datos!I24</f>
        <v>800</v>
      </c>
      <c r="D41" s="115">
        <f>Datos!I25</f>
        <v>840</v>
      </c>
      <c r="E41" s="115">
        <f>Datos!I26</f>
        <v>882</v>
      </c>
      <c r="F41" s="115">
        <f>Datos!I27</f>
        <v>926.1</v>
      </c>
      <c r="G41" s="115">
        <f>Datos!I28</f>
        <v>972.40499999999997</v>
      </c>
      <c r="H41" s="115">
        <f>Datos!I29</f>
        <v>1021.0252499999999</v>
      </c>
      <c r="I41" s="115">
        <f>Datos!I30</f>
        <v>1072.0765124999998</v>
      </c>
      <c r="J41" s="115">
        <f>Datos!I31</f>
        <v>1125.6803381249997</v>
      </c>
      <c r="K41" s="115">
        <f>Datos!I32</f>
        <v>1181.9643550312496</v>
      </c>
      <c r="L41" s="115">
        <f>Datos!I33</f>
        <v>1241.0625727828121</v>
      </c>
      <c r="M41" s="110"/>
      <c r="N41" s="110"/>
      <c r="O41" s="110"/>
      <c r="P41" s="110"/>
      <c r="Q41" s="110"/>
      <c r="R41" s="110"/>
      <c r="S41" s="110"/>
      <c r="T41" s="110"/>
      <c r="U41" s="110"/>
    </row>
    <row r="42" spans="1:21" ht="16.5">
      <c r="A42" s="3"/>
      <c r="B42" s="120" t="s">
        <v>161</v>
      </c>
      <c r="C42" s="115">
        <f>Datos!J24</f>
        <v>300</v>
      </c>
      <c r="D42" s="115">
        <f>Datos!J25</f>
        <v>324</v>
      </c>
      <c r="E42" s="115">
        <f>Datos!J26</f>
        <v>349.92</v>
      </c>
      <c r="F42" s="115">
        <f>Datos!J27</f>
        <v>377.91359999999997</v>
      </c>
      <c r="G42" s="115">
        <f>Datos!J28</f>
        <v>408.14668800000004</v>
      </c>
      <c r="H42" s="115">
        <f>Datos!J29</f>
        <v>440.79842303999999</v>
      </c>
      <c r="I42" s="115">
        <f>Datos!J30</f>
        <v>476.06229688319996</v>
      </c>
      <c r="J42" s="115">
        <f>Datos!J31</f>
        <v>514.14728063385598</v>
      </c>
      <c r="K42" s="115">
        <f>Datos!J32</f>
        <v>555.27906308456443</v>
      </c>
      <c r="L42" s="115">
        <f>Datos!J33</f>
        <v>599.70138813132962</v>
      </c>
      <c r="M42" s="110"/>
      <c r="N42" s="110"/>
      <c r="O42" s="110"/>
      <c r="P42" s="110"/>
      <c r="Q42" s="110"/>
      <c r="R42" s="110"/>
      <c r="S42" s="110"/>
      <c r="T42" s="110"/>
      <c r="U42" s="110"/>
    </row>
    <row r="43" spans="1:21" ht="16.5">
      <c r="A43" s="3"/>
      <c r="B43" s="120" t="s">
        <v>162</v>
      </c>
      <c r="C43" s="115">
        <f>C41-C42</f>
        <v>500</v>
      </c>
      <c r="D43" s="115">
        <f>D41-D42</f>
        <v>516</v>
      </c>
      <c r="E43" s="115">
        <f t="shared" ref="E43:L43" si="0">E41-E42</f>
        <v>532.07999999999993</v>
      </c>
      <c r="F43" s="115">
        <f t="shared" si="0"/>
        <v>548.18640000000005</v>
      </c>
      <c r="G43" s="115">
        <f t="shared" si="0"/>
        <v>564.25831199999993</v>
      </c>
      <c r="H43" s="115">
        <f t="shared" si="0"/>
        <v>580.22682695999993</v>
      </c>
      <c r="I43" s="115">
        <f t="shared" si="0"/>
        <v>596.0142156167999</v>
      </c>
      <c r="J43" s="115">
        <f t="shared" si="0"/>
        <v>611.53305749114372</v>
      </c>
      <c r="K43" s="115">
        <f t="shared" si="0"/>
        <v>626.6852919466852</v>
      </c>
      <c r="L43" s="115">
        <f t="shared" si="0"/>
        <v>641.36118465148252</v>
      </c>
      <c r="M43" s="110"/>
      <c r="N43" s="110"/>
      <c r="O43" s="110"/>
      <c r="P43" s="110"/>
      <c r="Q43" s="110"/>
      <c r="R43" s="110"/>
      <c r="S43" s="110"/>
      <c r="T43" s="110"/>
      <c r="U43" s="110"/>
    </row>
    <row r="44" spans="1:21" ht="16.5">
      <c r="A44" s="3"/>
      <c r="B44" s="120" t="s">
        <v>163</v>
      </c>
      <c r="C44" s="116">
        <f>K59</f>
        <v>150300</v>
      </c>
      <c r="D44" s="116">
        <f>K60</f>
        <v>162315</v>
      </c>
      <c r="E44" s="116">
        <f>K61</f>
        <v>175290.75</v>
      </c>
      <c r="F44" s="116">
        <f>K62</f>
        <v>189304.08749999999</v>
      </c>
      <c r="G44" s="116">
        <f>K63</f>
        <v>204437.99587499999</v>
      </c>
      <c r="H44" s="116">
        <f>K64</f>
        <v>220782.09598874996</v>
      </c>
      <c r="I44" s="116">
        <f>K65</f>
        <v>238433.17713378745</v>
      </c>
      <c r="J44" s="116">
        <f>K66</f>
        <v>257495.77044372485</v>
      </c>
      <c r="K44" s="116">
        <f>K67</f>
        <v>278082.7681754189</v>
      </c>
      <c r="L44" s="116">
        <f>K68</f>
        <v>300316.09253045835</v>
      </c>
      <c r="M44" s="110"/>
      <c r="N44" s="110"/>
      <c r="O44" s="110"/>
      <c r="P44" s="110"/>
      <c r="Q44" s="110"/>
      <c r="R44" s="110"/>
      <c r="S44" s="110"/>
      <c r="T44" s="110"/>
      <c r="U44" s="110"/>
    </row>
    <row r="45" spans="1:21" ht="16.5">
      <c r="A45" s="3"/>
      <c r="B45" s="120" t="s">
        <v>164</v>
      </c>
      <c r="C45" s="115">
        <f t="shared" ref="C45:L45" si="1">C43*200-C44</f>
        <v>-50300</v>
      </c>
      <c r="D45" s="115">
        <f t="shared" si="1"/>
        <v>-59115</v>
      </c>
      <c r="E45" s="115">
        <f t="shared" si="1"/>
        <v>-68874.750000000015</v>
      </c>
      <c r="F45" s="115">
        <f t="shared" si="1"/>
        <v>-79666.807499999981</v>
      </c>
      <c r="G45" s="115">
        <f t="shared" si="1"/>
        <v>-91586.333475000007</v>
      </c>
      <c r="H45" s="115">
        <f t="shared" si="1"/>
        <v>-104736.73059674999</v>
      </c>
      <c r="I45" s="115">
        <f t="shared" si="1"/>
        <v>-119230.33401042747</v>
      </c>
      <c r="J45" s="115">
        <f t="shared" si="1"/>
        <v>-135189.15894549611</v>
      </c>
      <c r="K45" s="115">
        <f t="shared" si="1"/>
        <v>-152745.70978608186</v>
      </c>
      <c r="L45" s="115">
        <f t="shared" si="1"/>
        <v>-172043.85560016183</v>
      </c>
      <c r="M45" s="110"/>
      <c r="N45" s="110"/>
      <c r="O45" s="110"/>
      <c r="P45" s="110"/>
      <c r="Q45" s="110"/>
      <c r="R45" s="110"/>
      <c r="S45" s="110"/>
      <c r="T45" s="110"/>
      <c r="U45" s="110"/>
    </row>
    <row r="46" spans="1:21" ht="16.5">
      <c r="A46" s="3"/>
      <c r="B46" s="120" t="s">
        <v>165</v>
      </c>
      <c r="C46" s="115">
        <f>C43*300-C44</f>
        <v>-300</v>
      </c>
      <c r="D46" s="115">
        <f>D43*300-D44</f>
        <v>-7515</v>
      </c>
      <c r="E46" s="115">
        <f>E43*300-E44</f>
        <v>-15666.750000000029</v>
      </c>
      <c r="F46" s="115">
        <f>F43*300-F44</f>
        <v>-24848.167499999981</v>
      </c>
      <c r="G46" s="115">
        <f t="shared" ref="G46:L46" si="2">G43*300-G44</f>
        <v>-35160.502275000006</v>
      </c>
      <c r="H46" s="115">
        <f t="shared" si="2"/>
        <v>-46714.047900749982</v>
      </c>
      <c r="I46" s="115">
        <f t="shared" si="2"/>
        <v>-59628.912448747491</v>
      </c>
      <c r="J46" s="115">
        <f t="shared" si="2"/>
        <v>-74035.853196381737</v>
      </c>
      <c r="K46" s="115">
        <f t="shared" si="2"/>
        <v>-90077.180591413344</v>
      </c>
      <c r="L46" s="115">
        <f t="shared" si="2"/>
        <v>-107907.73713501359</v>
      </c>
      <c r="M46" s="110"/>
      <c r="N46" s="110"/>
      <c r="O46" s="110"/>
      <c r="P46" s="110"/>
      <c r="Q46" s="110"/>
      <c r="R46" s="110"/>
      <c r="S46" s="110"/>
      <c r="T46" s="110"/>
      <c r="U46" s="110"/>
    </row>
    <row r="47" spans="1:21" ht="16.5">
      <c r="A47" s="3"/>
      <c r="B47" s="120" t="s">
        <v>166</v>
      </c>
      <c r="C47" s="115">
        <f>C43*400-C44</f>
        <v>49700</v>
      </c>
      <c r="D47" s="115">
        <f>D43*400-D44</f>
        <v>44085</v>
      </c>
      <c r="E47" s="115">
        <f t="shared" ref="E47:L47" si="3">E43*400-E44</f>
        <v>37541.249999999971</v>
      </c>
      <c r="F47" s="115">
        <f t="shared" si="3"/>
        <v>29970.472500000033</v>
      </c>
      <c r="G47" s="115">
        <f t="shared" si="3"/>
        <v>21265.32892499998</v>
      </c>
      <c r="H47" s="115">
        <f t="shared" si="3"/>
        <v>11308.634795249993</v>
      </c>
      <c r="I47" s="115">
        <f t="shared" si="3"/>
        <v>-27.490887067484437</v>
      </c>
      <c r="J47" s="115">
        <f t="shared" si="3"/>
        <v>-12882.547447267367</v>
      </c>
      <c r="K47" s="115">
        <f t="shared" si="3"/>
        <v>-27408.651396744826</v>
      </c>
      <c r="L47" s="115">
        <f t="shared" si="3"/>
        <v>-43771.618669865333</v>
      </c>
      <c r="M47" s="110"/>
      <c r="N47" s="110"/>
      <c r="O47" s="110"/>
      <c r="P47" s="110"/>
      <c r="Q47" s="110"/>
      <c r="R47" s="110"/>
      <c r="S47" s="110"/>
      <c r="T47" s="110"/>
      <c r="U47" s="110"/>
    </row>
    <row r="48" spans="1:21" ht="16.5">
      <c r="A48" s="3"/>
      <c r="B48" s="120" t="s">
        <v>167</v>
      </c>
      <c r="C48" s="115">
        <f>C43*500-C44</f>
        <v>99700</v>
      </c>
      <c r="D48" s="115">
        <f>D43*500-D44</f>
        <v>95685</v>
      </c>
      <c r="E48" s="115">
        <f t="shared" ref="E48:L48" si="4">E43*500-E44</f>
        <v>90749.249999999942</v>
      </c>
      <c r="F48" s="115">
        <f t="shared" si="4"/>
        <v>84789.112500000017</v>
      </c>
      <c r="G48" s="115">
        <f t="shared" si="4"/>
        <v>77691.160124999966</v>
      </c>
      <c r="H48" s="115">
        <f t="shared" si="4"/>
        <v>69331.317491250025</v>
      </c>
      <c r="I48" s="115">
        <f t="shared" si="4"/>
        <v>59573.930674612493</v>
      </c>
      <c r="J48" s="115">
        <f t="shared" si="4"/>
        <v>48270.758301847003</v>
      </c>
      <c r="K48" s="115">
        <f t="shared" si="4"/>
        <v>35259.877797923691</v>
      </c>
      <c r="L48" s="115">
        <f t="shared" si="4"/>
        <v>20364.4997952829</v>
      </c>
      <c r="M48" s="110"/>
      <c r="N48" s="110"/>
      <c r="O48" s="110"/>
      <c r="P48" s="110"/>
      <c r="Q48" s="110"/>
      <c r="R48" s="110"/>
      <c r="S48" s="110"/>
      <c r="T48" s="110"/>
      <c r="U48" s="110"/>
    </row>
    <row r="49" spans="1:21">
      <c r="A49" s="3"/>
      <c r="B49" s="110"/>
      <c r="C49" s="110"/>
      <c r="D49" s="110"/>
      <c r="E49" s="110"/>
      <c r="F49" s="110"/>
      <c r="G49" s="110"/>
      <c r="H49" s="110"/>
      <c r="I49" s="110"/>
      <c r="J49" s="110"/>
      <c r="K49" s="110"/>
      <c r="L49" s="110"/>
      <c r="M49" s="110"/>
      <c r="N49" s="110"/>
      <c r="O49" s="110"/>
      <c r="P49" s="110"/>
      <c r="Q49" s="110"/>
      <c r="R49" s="110"/>
      <c r="S49" s="110"/>
      <c r="T49" s="110"/>
      <c r="U49" s="110"/>
    </row>
    <row r="50" spans="1:21">
      <c r="A50" s="3"/>
      <c r="B50" s="110"/>
      <c r="C50" s="110"/>
      <c r="D50" s="110"/>
      <c r="E50" s="110"/>
      <c r="F50" s="110"/>
      <c r="G50" s="110"/>
      <c r="H50" s="110"/>
      <c r="I50" s="110"/>
      <c r="J50" s="110"/>
      <c r="K50" s="110"/>
      <c r="L50" s="110"/>
      <c r="M50" s="110"/>
      <c r="N50" s="110"/>
      <c r="O50" s="110"/>
      <c r="P50" s="110"/>
      <c r="Q50" s="110"/>
      <c r="R50" s="110"/>
      <c r="S50" s="110"/>
      <c r="T50" s="110"/>
      <c r="U50" s="110"/>
    </row>
    <row r="51" spans="1:21">
      <c r="A51" s="3"/>
      <c r="B51" s="110"/>
      <c r="C51" s="110"/>
      <c r="D51" s="110"/>
      <c r="E51" s="110"/>
      <c r="F51" s="110"/>
      <c r="G51" s="110"/>
      <c r="H51" s="110"/>
      <c r="I51" s="110"/>
      <c r="J51" s="110"/>
      <c r="K51" s="110"/>
      <c r="L51" s="110"/>
      <c r="M51" s="110"/>
      <c r="N51" s="110"/>
      <c r="O51" s="110"/>
      <c r="P51" s="110"/>
      <c r="Q51" s="110"/>
      <c r="R51" s="110"/>
      <c r="S51" s="110"/>
      <c r="T51" s="110"/>
      <c r="U51" s="110"/>
    </row>
    <row r="52" spans="1:21">
      <c r="A52" s="3"/>
      <c r="B52" s="110"/>
      <c r="C52" s="110"/>
      <c r="D52" s="110"/>
      <c r="E52" s="110"/>
      <c r="F52" s="110"/>
      <c r="G52" s="110"/>
      <c r="H52" s="110"/>
      <c r="I52" s="110"/>
      <c r="J52" s="110"/>
      <c r="K52" s="110"/>
      <c r="L52" s="110"/>
      <c r="M52" s="110"/>
      <c r="N52" s="110"/>
      <c r="O52" s="110"/>
      <c r="P52" s="110"/>
      <c r="Q52" s="110"/>
      <c r="R52" s="110"/>
      <c r="S52" s="110"/>
      <c r="T52" s="110"/>
      <c r="U52" s="110"/>
    </row>
    <row r="53" spans="1:21">
      <c r="A53" s="3"/>
      <c r="B53" s="110"/>
      <c r="C53" s="110"/>
      <c r="D53" s="110"/>
      <c r="E53" s="110"/>
      <c r="F53" s="110"/>
      <c r="G53" s="110"/>
      <c r="H53" s="110"/>
      <c r="I53" s="110"/>
      <c r="J53" s="110"/>
      <c r="K53" s="110"/>
      <c r="L53" s="110"/>
      <c r="M53" s="110"/>
      <c r="N53" s="110"/>
      <c r="O53" s="110"/>
      <c r="P53" s="110"/>
      <c r="Q53" s="110"/>
      <c r="R53" s="110"/>
      <c r="S53" s="110"/>
      <c r="T53" s="110"/>
      <c r="U53" s="110"/>
    </row>
    <row r="54" spans="1:21">
      <c r="A54" s="3"/>
      <c r="B54" s="110"/>
      <c r="C54" s="110"/>
      <c r="D54" s="110"/>
      <c r="E54" s="110"/>
      <c r="F54" s="110"/>
      <c r="G54" s="110"/>
      <c r="H54" s="110"/>
      <c r="I54" s="110"/>
      <c r="J54" s="110"/>
      <c r="K54" s="110"/>
      <c r="L54" s="110"/>
      <c r="M54" s="110"/>
      <c r="N54" s="110"/>
      <c r="O54" s="110"/>
      <c r="P54" s="110"/>
      <c r="Q54" s="110"/>
      <c r="R54" s="110"/>
      <c r="S54" s="110"/>
      <c r="T54" s="110"/>
      <c r="U54" s="110"/>
    </row>
    <row r="55" spans="1:21">
      <c r="A55" s="3"/>
      <c r="B55" s="110"/>
      <c r="C55" s="110"/>
      <c r="D55" s="110"/>
      <c r="E55" s="110"/>
      <c r="F55" s="110"/>
      <c r="G55" s="110"/>
      <c r="H55" s="110"/>
      <c r="I55" s="110"/>
      <c r="J55" s="110"/>
      <c r="K55" s="110"/>
      <c r="L55" s="110"/>
      <c r="M55" s="110"/>
      <c r="N55" s="110"/>
      <c r="O55" s="110"/>
      <c r="P55" s="110"/>
      <c r="Q55" s="110"/>
      <c r="R55" s="110"/>
      <c r="S55" s="110"/>
      <c r="T55" s="110"/>
      <c r="U55" s="110"/>
    </row>
    <row r="56" spans="1:21">
      <c r="A56" s="3"/>
      <c r="B56" s="110"/>
      <c r="C56" s="110"/>
      <c r="D56" s="110"/>
      <c r="E56" s="110"/>
      <c r="F56" s="110"/>
      <c r="G56" s="110"/>
      <c r="H56" s="110"/>
      <c r="I56" s="110"/>
      <c r="J56" s="110"/>
      <c r="K56" s="110"/>
      <c r="L56" s="110"/>
      <c r="M56" s="110"/>
      <c r="N56" s="110"/>
      <c r="O56" s="110"/>
      <c r="P56" s="110"/>
      <c r="Q56" s="110"/>
      <c r="R56" s="110"/>
      <c r="S56" s="110"/>
      <c r="T56" s="110"/>
      <c r="U56" s="110"/>
    </row>
    <row r="57" spans="1:21" ht="16.5">
      <c r="A57" s="3"/>
      <c r="B57" s="117"/>
      <c r="C57" s="148" t="s">
        <v>168</v>
      </c>
      <c r="D57" s="148"/>
      <c r="E57" s="148"/>
      <c r="F57" s="148"/>
      <c r="G57" s="148" t="s">
        <v>169</v>
      </c>
      <c r="H57" s="148"/>
      <c r="I57" s="148"/>
      <c r="J57" s="148"/>
      <c r="K57" s="148" t="s">
        <v>137</v>
      </c>
      <c r="L57" s="148"/>
      <c r="M57" s="148"/>
      <c r="N57" s="148"/>
      <c r="O57" s="110"/>
      <c r="P57" s="110"/>
      <c r="Q57" s="110"/>
      <c r="R57" s="110"/>
      <c r="S57" s="110"/>
      <c r="T57" s="110"/>
      <c r="U57" s="110"/>
    </row>
    <row r="58" spans="1:21" ht="16.5">
      <c r="A58" s="3"/>
      <c r="B58" s="118" t="s">
        <v>139</v>
      </c>
      <c r="C58" s="118">
        <v>200</v>
      </c>
      <c r="D58" s="118">
        <v>300</v>
      </c>
      <c r="E58" s="118">
        <v>400</v>
      </c>
      <c r="F58" s="118">
        <v>500</v>
      </c>
      <c r="G58" s="118">
        <v>200</v>
      </c>
      <c r="H58" s="118">
        <v>300</v>
      </c>
      <c r="I58" s="118">
        <v>400</v>
      </c>
      <c r="J58" s="118">
        <v>500</v>
      </c>
      <c r="K58" s="118">
        <v>200</v>
      </c>
      <c r="L58" s="118">
        <v>300</v>
      </c>
      <c r="M58" s="118">
        <v>400</v>
      </c>
      <c r="N58" s="118">
        <v>500</v>
      </c>
      <c r="O58" s="110"/>
      <c r="P58" s="110"/>
      <c r="Q58" s="110"/>
      <c r="R58" s="110"/>
      <c r="S58" s="110"/>
      <c r="T58" s="110"/>
      <c r="U58" s="110"/>
    </row>
    <row r="59" spans="1:21" ht="16.5">
      <c r="A59" s="3"/>
      <c r="B59" s="118" t="s">
        <v>150</v>
      </c>
      <c r="C59" s="115">
        <f>C45+C41*C58</f>
        <v>109700</v>
      </c>
      <c r="D59" s="115">
        <f>C46+C41*D58</f>
        <v>239700</v>
      </c>
      <c r="E59" s="115">
        <f>C47+C41*E58</f>
        <v>369700</v>
      </c>
      <c r="F59" s="115">
        <f>C48+C41*F58</f>
        <v>499700</v>
      </c>
      <c r="G59" s="116">
        <f>K59+C42*G58</f>
        <v>210300</v>
      </c>
      <c r="H59" s="116">
        <f>K59+C42*H58</f>
        <v>240300</v>
      </c>
      <c r="I59" s="116">
        <f>K59+C42*I58</f>
        <v>270300</v>
      </c>
      <c r="J59" s="116">
        <f>K59+C42*J58</f>
        <v>300300</v>
      </c>
      <c r="K59" s="116">
        <f>[1]Datos!K20</f>
        <v>150300</v>
      </c>
      <c r="L59" s="116">
        <f>K59</f>
        <v>150300</v>
      </c>
      <c r="M59" s="116">
        <f t="shared" ref="M59:N60" si="5">L59</f>
        <v>150300</v>
      </c>
      <c r="N59" s="116">
        <f t="shared" si="5"/>
        <v>150300</v>
      </c>
      <c r="O59" s="110"/>
      <c r="P59" s="110"/>
      <c r="Q59" s="110"/>
      <c r="R59" s="110"/>
      <c r="S59" s="110"/>
      <c r="T59" s="110"/>
      <c r="U59" s="110"/>
    </row>
    <row r="60" spans="1:21" ht="16.5">
      <c r="A60" s="3"/>
      <c r="B60" s="118" t="s">
        <v>151</v>
      </c>
      <c r="C60" s="115">
        <f>D45+D41*C58</f>
        <v>108885</v>
      </c>
      <c r="D60" s="115">
        <f>D46+D41*D58</f>
        <v>244485</v>
      </c>
      <c r="E60" s="115">
        <f>D47+D41*E58</f>
        <v>380085</v>
      </c>
      <c r="F60" s="115">
        <f>D48+D41*F58</f>
        <v>515685</v>
      </c>
      <c r="G60" s="116">
        <f>K60+D42*G58</f>
        <v>227115</v>
      </c>
      <c r="H60" s="116">
        <f>K60+D42*H58</f>
        <v>259515</v>
      </c>
      <c r="I60" s="116">
        <f>K60+D42*I58</f>
        <v>291915</v>
      </c>
      <c r="J60" s="116">
        <f>K60+D42*J58</f>
        <v>324315</v>
      </c>
      <c r="K60" s="116">
        <f>[1]Datos!K21</f>
        <v>162315</v>
      </c>
      <c r="L60" s="116">
        <f>K60</f>
        <v>162315</v>
      </c>
      <c r="M60" s="116">
        <f t="shared" si="5"/>
        <v>162315</v>
      </c>
      <c r="N60" s="116">
        <f t="shared" si="5"/>
        <v>162315</v>
      </c>
      <c r="O60" s="110"/>
      <c r="P60" s="110"/>
      <c r="Q60" s="110"/>
      <c r="R60" s="110"/>
      <c r="S60" s="110"/>
      <c r="T60" s="110"/>
      <c r="U60" s="110"/>
    </row>
    <row r="61" spans="1:21" ht="16.5">
      <c r="A61" s="3"/>
      <c r="B61" s="118" t="s">
        <v>152</v>
      </c>
      <c r="C61" s="115">
        <f>E45+E41*C58</f>
        <v>107525.24999999999</v>
      </c>
      <c r="D61" s="115">
        <f>E46+E41*D58</f>
        <v>248933.24999999997</v>
      </c>
      <c r="E61" s="115">
        <f>E47+E41*E58</f>
        <v>390341.25</v>
      </c>
      <c r="F61" s="115">
        <f>E48+E41*F58</f>
        <v>531749.25</v>
      </c>
      <c r="G61" s="116">
        <f>K61+E42*G58</f>
        <v>245274.75</v>
      </c>
      <c r="H61" s="116">
        <f>K61+E42*H58</f>
        <v>280266.75</v>
      </c>
      <c r="I61" s="116">
        <f>K61+E42*I58</f>
        <v>315258.75</v>
      </c>
      <c r="J61" s="116">
        <f>K61+E42*J58</f>
        <v>350250.75</v>
      </c>
      <c r="K61" s="116">
        <f>[1]Datos!K22</f>
        <v>175290.75</v>
      </c>
      <c r="L61" s="116">
        <f t="shared" ref="L61:N68" si="6">K61</f>
        <v>175290.75</v>
      </c>
      <c r="M61" s="116">
        <f t="shared" si="6"/>
        <v>175290.75</v>
      </c>
      <c r="N61" s="116">
        <f t="shared" si="6"/>
        <v>175290.75</v>
      </c>
      <c r="O61" s="110"/>
      <c r="P61" s="110"/>
      <c r="Q61" s="110"/>
      <c r="R61" s="110"/>
      <c r="S61" s="110"/>
      <c r="T61" s="110"/>
      <c r="U61" s="110"/>
    </row>
    <row r="62" spans="1:21" ht="16.5">
      <c r="A62" s="3"/>
      <c r="B62" s="118" t="s">
        <v>153</v>
      </c>
      <c r="C62" s="115">
        <f>F45+F41*C58</f>
        <v>105553.19250000002</v>
      </c>
      <c r="D62" s="115">
        <f>F46+F41*D58</f>
        <v>252981.83250000002</v>
      </c>
      <c r="E62" s="115">
        <f>F47+F41*E58</f>
        <v>400410.47250000003</v>
      </c>
      <c r="F62" s="115">
        <f>F48+F41*F58</f>
        <v>547839.11250000005</v>
      </c>
      <c r="G62" s="116">
        <f>K62+F42*G58</f>
        <v>264886.8075</v>
      </c>
      <c r="H62" s="116">
        <f>K62+F42*H58</f>
        <v>302678.16749999998</v>
      </c>
      <c r="I62" s="116">
        <f>K62+F42*I58</f>
        <v>340469.52749999997</v>
      </c>
      <c r="J62" s="116">
        <f>K62+F42*J58</f>
        <v>378260.88749999995</v>
      </c>
      <c r="K62" s="116">
        <f>[1]Datos!K23</f>
        <v>189304.08749999999</v>
      </c>
      <c r="L62" s="116">
        <f t="shared" si="6"/>
        <v>189304.08749999999</v>
      </c>
      <c r="M62" s="116">
        <f t="shared" si="6"/>
        <v>189304.08749999999</v>
      </c>
      <c r="N62" s="116">
        <f t="shared" si="6"/>
        <v>189304.08749999999</v>
      </c>
      <c r="O62" s="110"/>
      <c r="P62" s="110"/>
      <c r="Q62" s="110"/>
      <c r="R62" s="110"/>
      <c r="S62" s="110"/>
      <c r="T62" s="110"/>
      <c r="U62" s="110"/>
    </row>
    <row r="63" spans="1:21" ht="16.5">
      <c r="A63" s="3"/>
      <c r="B63" s="118" t="s">
        <v>154</v>
      </c>
      <c r="C63" s="115">
        <f>G45+G41*C58</f>
        <v>102894.66652499999</v>
      </c>
      <c r="D63" s="115">
        <f>G46+G41*D58</f>
        <v>256560.99772499999</v>
      </c>
      <c r="E63" s="115">
        <f>G47+G41*E58</f>
        <v>410227.32892499998</v>
      </c>
      <c r="F63" s="115">
        <f>G48+G41*F58</f>
        <v>563893.66012499994</v>
      </c>
      <c r="G63" s="116">
        <f>K63+G42*G58</f>
        <v>286067.33347499999</v>
      </c>
      <c r="H63" s="116">
        <f>K63+G42*H58</f>
        <v>326882.00227499998</v>
      </c>
      <c r="I63" s="116">
        <f>K63+G42*I58</f>
        <v>367696.67107500002</v>
      </c>
      <c r="J63" s="116">
        <f>K63+G42*J58</f>
        <v>408511.33987500001</v>
      </c>
      <c r="K63" s="116">
        <f>[1]Datos!K24</f>
        <v>204437.99587499999</v>
      </c>
      <c r="L63" s="116">
        <f t="shared" si="6"/>
        <v>204437.99587499999</v>
      </c>
      <c r="M63" s="116">
        <f t="shared" si="6"/>
        <v>204437.99587499999</v>
      </c>
      <c r="N63" s="116">
        <f t="shared" si="6"/>
        <v>204437.99587499999</v>
      </c>
      <c r="O63" s="110"/>
      <c r="P63" s="110"/>
      <c r="Q63" s="110"/>
      <c r="R63" s="110"/>
      <c r="S63" s="110"/>
      <c r="T63" s="110"/>
      <c r="U63" s="110"/>
    </row>
    <row r="64" spans="1:21" ht="16.5">
      <c r="A64" s="3"/>
      <c r="B64" s="118" t="s">
        <v>155</v>
      </c>
      <c r="C64" s="115">
        <f>H45+H41*C58</f>
        <v>99468.319403250003</v>
      </c>
      <c r="D64" s="115">
        <f>H46+H41*D58</f>
        <v>259593.52709924997</v>
      </c>
      <c r="E64" s="115">
        <f>H47+H41*E58</f>
        <v>419718.73479525</v>
      </c>
      <c r="F64" s="115">
        <f>H48+H41*F58</f>
        <v>579843.94249125</v>
      </c>
      <c r="G64" s="116">
        <f>K64+H42*G58</f>
        <v>308941.78059674997</v>
      </c>
      <c r="H64" s="116">
        <f>K64+H42*H58</f>
        <v>353021.62290074996</v>
      </c>
      <c r="I64" s="116">
        <f>K64+H42*I58</f>
        <v>397101.46520474995</v>
      </c>
      <c r="J64" s="116">
        <f>K64+H42*J58</f>
        <v>441181.30750874995</v>
      </c>
      <c r="K64" s="116">
        <f>[1]Datos!K25</f>
        <v>220782.09598874996</v>
      </c>
      <c r="L64" s="116">
        <f t="shared" si="6"/>
        <v>220782.09598874996</v>
      </c>
      <c r="M64" s="116">
        <f t="shared" si="6"/>
        <v>220782.09598874996</v>
      </c>
      <c r="N64" s="116">
        <f t="shared" si="6"/>
        <v>220782.09598874996</v>
      </c>
      <c r="O64" s="110"/>
      <c r="P64" s="110"/>
      <c r="Q64" s="110"/>
      <c r="R64" s="110"/>
      <c r="S64" s="110"/>
      <c r="T64" s="110"/>
      <c r="U64" s="110"/>
    </row>
    <row r="65" spans="1:21" ht="16.5">
      <c r="A65" s="3"/>
      <c r="B65" s="118" t="s">
        <v>156</v>
      </c>
      <c r="C65" s="115">
        <f>I45+I41*C58</f>
        <v>95184.968489572493</v>
      </c>
      <c r="D65" s="115">
        <f>I46+I41*D58</f>
        <v>261994.04130125244</v>
      </c>
      <c r="E65" s="115">
        <f>I47+I41*E58</f>
        <v>428803.11411293247</v>
      </c>
      <c r="F65" s="115">
        <f>I48+I41*F58</f>
        <v>595612.18692461238</v>
      </c>
      <c r="G65" s="116">
        <f>K65+I42*G58</f>
        <v>333645.63651042746</v>
      </c>
      <c r="H65" s="116">
        <f>K65+I42*H58</f>
        <v>381251.86619874742</v>
      </c>
      <c r="I65" s="116">
        <f>K65+I42*I58</f>
        <v>428858.09588706744</v>
      </c>
      <c r="J65" s="116">
        <f>K65+I42*J58</f>
        <v>476464.32557538745</v>
      </c>
      <c r="K65" s="116">
        <f>[1]Datos!K26</f>
        <v>238433.17713378745</v>
      </c>
      <c r="L65" s="116">
        <f>K65</f>
        <v>238433.17713378745</v>
      </c>
      <c r="M65" s="116">
        <f>L65</f>
        <v>238433.17713378745</v>
      </c>
      <c r="N65" s="116">
        <f t="shared" si="6"/>
        <v>238433.17713378745</v>
      </c>
      <c r="O65" s="110"/>
      <c r="P65" s="110"/>
      <c r="Q65" s="110"/>
      <c r="R65" s="110"/>
      <c r="S65" s="110"/>
      <c r="T65" s="110"/>
      <c r="U65" s="110"/>
    </row>
    <row r="66" spans="1:21" ht="16.5">
      <c r="A66" s="3"/>
      <c r="B66" s="118" t="s">
        <v>157</v>
      </c>
      <c r="C66" s="115">
        <f>J45+J41*C58</f>
        <v>89946.908679503831</v>
      </c>
      <c r="D66" s="115">
        <f>J46+J41*D58</f>
        <v>263668.24824111816</v>
      </c>
      <c r="E66" s="115">
        <f>J47+J41*E58</f>
        <v>437389.58780273248</v>
      </c>
      <c r="F66" s="115">
        <f>J48+J41*F58</f>
        <v>611110.92736434692</v>
      </c>
      <c r="G66" s="116">
        <f>K66+J42*G58</f>
        <v>360325.22657049604</v>
      </c>
      <c r="H66" s="116">
        <f>K66+J42*H58</f>
        <v>411739.95463388163</v>
      </c>
      <c r="I66" s="116">
        <f>K66+J42*I58</f>
        <v>463154.68269726727</v>
      </c>
      <c r="J66" s="116">
        <f>K66+J42*J58</f>
        <v>514569.41076065286</v>
      </c>
      <c r="K66" s="116">
        <f>[1]Datos!K27</f>
        <v>257495.77044372485</v>
      </c>
      <c r="L66" s="116">
        <f t="shared" si="6"/>
        <v>257495.77044372485</v>
      </c>
      <c r="M66" s="116">
        <f t="shared" si="6"/>
        <v>257495.77044372485</v>
      </c>
      <c r="N66" s="116">
        <f t="shared" si="6"/>
        <v>257495.77044372485</v>
      </c>
      <c r="O66" s="110"/>
      <c r="P66" s="110"/>
      <c r="Q66" s="110"/>
      <c r="R66" s="110"/>
      <c r="S66" s="110"/>
      <c r="T66" s="110"/>
      <c r="U66" s="110"/>
    </row>
    <row r="67" spans="1:21" ht="16.5">
      <c r="A67" s="3"/>
      <c r="B67" s="118" t="s">
        <v>158</v>
      </c>
      <c r="C67" s="115">
        <f>K45+K41*C58</f>
        <v>83647.161220168055</v>
      </c>
      <c r="D67" s="115">
        <f>K46+K41*D58</f>
        <v>264512.12591796153</v>
      </c>
      <c r="E67" s="115">
        <f>K47+K41*E58</f>
        <v>445377.09061575501</v>
      </c>
      <c r="F67" s="115">
        <f>K48+K41*F58</f>
        <v>626242.05531354854</v>
      </c>
      <c r="G67" s="116">
        <f>K67+K42*G58</f>
        <v>389138.58079233178</v>
      </c>
      <c r="H67" s="116">
        <f>K67+K42*H58</f>
        <v>444666.48710078822</v>
      </c>
      <c r="I67" s="116">
        <f>M67+K42*I58</f>
        <v>500194.39340924466</v>
      </c>
      <c r="J67" s="116">
        <f>N67+K42*J58</f>
        <v>555722.29971770104</v>
      </c>
      <c r="K67" s="116">
        <f>[1]Datos!K28</f>
        <v>278082.7681754189</v>
      </c>
      <c r="L67" s="116">
        <f t="shared" si="6"/>
        <v>278082.7681754189</v>
      </c>
      <c r="M67" s="116">
        <f t="shared" si="6"/>
        <v>278082.7681754189</v>
      </c>
      <c r="N67" s="116">
        <f t="shared" si="6"/>
        <v>278082.7681754189</v>
      </c>
      <c r="O67" s="110"/>
      <c r="P67" s="110"/>
      <c r="Q67" s="110"/>
      <c r="R67" s="110"/>
      <c r="S67" s="110"/>
      <c r="T67" s="110"/>
      <c r="U67" s="110"/>
    </row>
    <row r="68" spans="1:21" ht="16.5">
      <c r="A68" s="3"/>
      <c r="B68" s="118" t="s">
        <v>159</v>
      </c>
      <c r="C68" s="115">
        <f>L45+L41*C58</f>
        <v>76168.658956400614</v>
      </c>
      <c r="D68" s="115">
        <f>L46+L41*D58</f>
        <v>264411.03469982999</v>
      </c>
      <c r="E68" s="115">
        <f>L47+L41*E58</f>
        <v>452653.41044325952</v>
      </c>
      <c r="F68" s="115">
        <f>L48+L41*F58</f>
        <v>640895.78618668905</v>
      </c>
      <c r="G68" s="116">
        <f>K68+L42*G58</f>
        <v>420256.37015672424</v>
      </c>
      <c r="H68" s="116">
        <f>L68+L42*H58</f>
        <v>480226.50896985724</v>
      </c>
      <c r="I68" s="116">
        <f>M68+L42*I58</f>
        <v>540196.64778299024</v>
      </c>
      <c r="J68" s="116">
        <f>N68+L42*J58</f>
        <v>600166.78659612313</v>
      </c>
      <c r="K68" s="116">
        <f>[1]Datos!K29</f>
        <v>300316.09253045835</v>
      </c>
      <c r="L68" s="116">
        <f t="shared" si="6"/>
        <v>300316.09253045835</v>
      </c>
      <c r="M68" s="116">
        <f t="shared" si="6"/>
        <v>300316.09253045835</v>
      </c>
      <c r="N68" s="116">
        <f t="shared" si="6"/>
        <v>300316.09253045835</v>
      </c>
      <c r="O68" s="110"/>
      <c r="P68" s="110"/>
      <c r="Q68" s="110"/>
      <c r="R68" s="110"/>
      <c r="S68" s="110"/>
      <c r="T68" s="110"/>
      <c r="U68" s="110"/>
    </row>
    <row r="69" spans="1:21">
      <c r="A69" s="3"/>
      <c r="B69" s="110"/>
      <c r="C69" s="110"/>
      <c r="D69" s="110"/>
      <c r="E69" s="110"/>
      <c r="F69" s="110"/>
      <c r="G69" s="110"/>
      <c r="H69" s="110"/>
      <c r="I69" s="110"/>
      <c r="J69" s="110"/>
      <c r="K69" s="110"/>
      <c r="L69" s="110"/>
      <c r="M69" s="110"/>
      <c r="N69" s="110"/>
      <c r="O69" s="110"/>
      <c r="P69" s="110"/>
      <c r="Q69" s="110"/>
      <c r="R69" s="110"/>
      <c r="S69" s="110"/>
      <c r="T69" s="110"/>
      <c r="U69" s="110"/>
    </row>
    <row r="70" spans="1:21">
      <c r="A70" s="3"/>
      <c r="B70" s="146" t="s">
        <v>150</v>
      </c>
      <c r="C70" s="146"/>
      <c r="D70" s="110"/>
      <c r="E70" s="110"/>
      <c r="F70" s="110"/>
      <c r="G70" s="110"/>
      <c r="H70" s="146" t="s">
        <v>151</v>
      </c>
      <c r="I70" s="146"/>
      <c r="J70" s="110"/>
      <c r="K70" s="110"/>
      <c r="L70" s="110"/>
      <c r="M70" s="110"/>
      <c r="N70" s="146" t="s">
        <v>152</v>
      </c>
      <c r="O70" s="146"/>
      <c r="P70" s="110"/>
      <c r="Q70" s="110"/>
      <c r="R70" s="110"/>
      <c r="S70" s="110"/>
      <c r="T70" s="110"/>
      <c r="U70" s="110"/>
    </row>
    <row r="71" spans="1:21">
      <c r="A71" s="3"/>
      <c r="B71" s="110"/>
      <c r="C71" s="110"/>
      <c r="D71" s="110"/>
      <c r="E71" s="110"/>
      <c r="F71" s="110"/>
      <c r="G71" s="110"/>
      <c r="H71" s="110"/>
      <c r="I71" s="110"/>
      <c r="J71" s="110"/>
      <c r="K71" s="110"/>
      <c r="L71" s="110"/>
      <c r="M71" s="110"/>
      <c r="N71" s="110"/>
      <c r="O71" s="110"/>
      <c r="P71" s="110"/>
      <c r="Q71" s="110"/>
      <c r="R71" s="110"/>
      <c r="S71" s="110"/>
      <c r="T71" s="110"/>
      <c r="U71" s="110"/>
    </row>
    <row r="72" spans="1:21">
      <c r="A72" s="3"/>
      <c r="B72" s="110"/>
      <c r="C72" s="110"/>
      <c r="D72" s="110"/>
      <c r="E72" s="110"/>
      <c r="F72" s="110"/>
      <c r="G72" s="110"/>
      <c r="H72" s="110"/>
      <c r="I72" s="110"/>
      <c r="J72" s="110"/>
      <c r="K72" s="110"/>
      <c r="L72" s="110"/>
      <c r="M72" s="110"/>
      <c r="N72" s="110"/>
      <c r="O72" s="110"/>
      <c r="P72" s="110"/>
      <c r="Q72" s="110"/>
      <c r="R72" s="110"/>
      <c r="S72" s="110"/>
      <c r="T72" s="110"/>
      <c r="U72" s="110"/>
    </row>
    <row r="73" spans="1:21">
      <c r="A73" s="3"/>
      <c r="B73" s="110"/>
      <c r="C73" s="110"/>
      <c r="D73" s="110"/>
      <c r="E73" s="110"/>
      <c r="F73" s="110"/>
      <c r="G73" s="110"/>
      <c r="H73" s="110"/>
      <c r="I73" s="110"/>
      <c r="J73" s="110"/>
      <c r="K73" s="110"/>
      <c r="L73" s="110"/>
      <c r="M73" s="110"/>
      <c r="N73" s="110"/>
      <c r="O73" s="110"/>
      <c r="P73" s="110"/>
      <c r="Q73" s="110"/>
      <c r="R73" s="110"/>
      <c r="S73" s="110"/>
      <c r="T73" s="110"/>
      <c r="U73" s="110"/>
    </row>
    <row r="74" spans="1:21">
      <c r="A74" s="3"/>
      <c r="B74" s="110"/>
      <c r="C74" s="110"/>
      <c r="D74" s="110"/>
      <c r="E74" s="110"/>
      <c r="F74" s="110"/>
      <c r="G74" s="110"/>
      <c r="H74" s="110"/>
      <c r="I74" s="110"/>
      <c r="J74" s="110"/>
      <c r="K74" s="110"/>
      <c r="L74" s="110"/>
      <c r="M74" s="110"/>
      <c r="N74" s="110"/>
      <c r="O74" s="110"/>
      <c r="P74" s="110"/>
      <c r="Q74" s="110"/>
      <c r="R74" s="110"/>
      <c r="S74" s="110"/>
      <c r="T74" s="110"/>
      <c r="U74" s="110"/>
    </row>
    <row r="75" spans="1:21">
      <c r="A75" s="3"/>
      <c r="B75" s="110"/>
      <c r="C75" s="110"/>
      <c r="D75" s="110"/>
      <c r="E75" s="110"/>
      <c r="F75" s="110"/>
      <c r="G75" s="110"/>
      <c r="H75" s="110"/>
      <c r="I75" s="110"/>
      <c r="J75" s="110"/>
      <c r="K75" s="110"/>
      <c r="L75" s="110"/>
      <c r="M75" s="110"/>
      <c r="N75" s="110"/>
      <c r="O75" s="110"/>
      <c r="P75" s="110"/>
      <c r="Q75" s="110"/>
      <c r="R75" s="110"/>
      <c r="S75" s="110"/>
      <c r="T75" s="110"/>
      <c r="U75" s="110"/>
    </row>
    <row r="76" spans="1:21">
      <c r="A76" s="3"/>
      <c r="B76" s="110"/>
      <c r="C76" s="110"/>
      <c r="D76" s="110"/>
      <c r="E76" s="110"/>
      <c r="F76" s="110"/>
      <c r="G76" s="110"/>
      <c r="H76" s="110"/>
      <c r="I76" s="110"/>
      <c r="J76" s="110"/>
      <c r="K76" s="110"/>
      <c r="L76" s="110"/>
      <c r="M76" s="110"/>
      <c r="N76" s="110"/>
      <c r="O76" s="110"/>
      <c r="P76" s="110"/>
      <c r="Q76" s="110"/>
      <c r="R76" s="110"/>
      <c r="S76" s="110"/>
      <c r="T76" s="110"/>
      <c r="U76" s="110"/>
    </row>
    <row r="77" spans="1:21">
      <c r="A77" s="3"/>
      <c r="B77" s="110"/>
      <c r="C77" s="110"/>
      <c r="D77" s="110"/>
      <c r="E77" s="110"/>
      <c r="F77" s="110"/>
      <c r="G77" s="110"/>
      <c r="H77" s="110"/>
      <c r="I77" s="110"/>
      <c r="J77" s="110"/>
      <c r="K77" s="110"/>
      <c r="L77" s="110"/>
      <c r="M77" s="110"/>
      <c r="N77" s="110"/>
      <c r="O77" s="110"/>
      <c r="P77" s="110"/>
      <c r="Q77" s="110"/>
      <c r="R77" s="110"/>
      <c r="S77" s="110"/>
      <c r="T77" s="110"/>
      <c r="U77" s="110"/>
    </row>
    <row r="78" spans="1:21">
      <c r="A78" s="3"/>
      <c r="B78" s="110"/>
      <c r="C78" s="110"/>
      <c r="D78" s="110"/>
      <c r="E78" s="110"/>
      <c r="F78" s="110"/>
      <c r="G78" s="110"/>
      <c r="H78" s="110"/>
      <c r="I78" s="110"/>
      <c r="J78" s="110"/>
      <c r="K78" s="110"/>
      <c r="L78" s="110"/>
      <c r="M78" s="110"/>
      <c r="N78" s="110"/>
      <c r="O78" s="110"/>
      <c r="P78" s="110"/>
      <c r="Q78" s="110"/>
      <c r="R78" s="110"/>
      <c r="S78" s="110"/>
      <c r="T78" s="110"/>
      <c r="U78" s="110"/>
    </row>
    <row r="79" spans="1:21">
      <c r="A79" s="3"/>
      <c r="B79" s="110"/>
      <c r="C79" s="110"/>
      <c r="D79" s="110"/>
      <c r="E79" s="110"/>
      <c r="F79" s="110"/>
      <c r="G79" s="110"/>
      <c r="H79" s="110"/>
      <c r="I79" s="110"/>
      <c r="J79" s="110"/>
      <c r="K79" s="110"/>
      <c r="L79" s="110"/>
      <c r="M79" s="110"/>
      <c r="N79" s="110"/>
      <c r="O79" s="110"/>
      <c r="P79" s="110"/>
      <c r="Q79" s="110"/>
      <c r="R79" s="110"/>
      <c r="S79" s="110"/>
      <c r="T79" s="110"/>
      <c r="U79" s="110"/>
    </row>
    <row r="80" spans="1:21">
      <c r="A80" s="3"/>
      <c r="B80" s="110"/>
      <c r="C80" s="110"/>
      <c r="D80" s="110"/>
      <c r="E80" s="110"/>
      <c r="F80" s="110"/>
      <c r="G80" s="110"/>
      <c r="H80" s="110"/>
      <c r="I80" s="110"/>
      <c r="J80" s="110"/>
      <c r="K80" s="110"/>
      <c r="L80" s="110"/>
      <c r="M80" s="110"/>
      <c r="N80" s="110"/>
      <c r="O80" s="110"/>
      <c r="P80" s="110"/>
      <c r="Q80" s="110"/>
      <c r="R80" s="110"/>
      <c r="S80" s="110"/>
      <c r="T80" s="110"/>
      <c r="U80" s="110"/>
    </row>
    <row r="81" spans="1:21">
      <c r="A81" s="3"/>
      <c r="B81" s="110"/>
      <c r="C81" s="110"/>
      <c r="D81" s="110"/>
      <c r="E81" s="110"/>
      <c r="F81" s="110"/>
      <c r="G81" s="110"/>
      <c r="H81" s="110"/>
      <c r="I81" s="110"/>
      <c r="J81" s="110"/>
      <c r="K81" s="110"/>
      <c r="L81" s="110"/>
      <c r="M81" s="110"/>
      <c r="N81" s="110"/>
      <c r="O81" s="110"/>
      <c r="P81" s="110"/>
      <c r="Q81" s="110"/>
      <c r="R81" s="110"/>
      <c r="S81" s="110"/>
      <c r="T81" s="110"/>
      <c r="U81" s="110"/>
    </row>
    <row r="82" spans="1:21">
      <c r="A82" s="3"/>
      <c r="B82" s="110"/>
      <c r="C82" s="110"/>
      <c r="D82" s="110"/>
      <c r="E82" s="110"/>
      <c r="F82" s="110"/>
      <c r="G82" s="110"/>
      <c r="H82" s="110"/>
      <c r="I82" s="110"/>
      <c r="J82" s="110"/>
      <c r="K82" s="110"/>
      <c r="L82" s="110"/>
      <c r="M82" s="110"/>
      <c r="N82" s="110"/>
      <c r="O82" s="110"/>
      <c r="P82" s="110"/>
      <c r="Q82" s="110"/>
      <c r="R82" s="110"/>
      <c r="S82" s="110"/>
      <c r="T82" s="110"/>
      <c r="U82" s="110"/>
    </row>
    <row r="83" spans="1:21">
      <c r="A83" s="3"/>
      <c r="B83" s="110"/>
      <c r="C83" s="110"/>
      <c r="D83" s="110"/>
      <c r="E83" s="110"/>
      <c r="F83" s="110"/>
      <c r="G83" s="110"/>
      <c r="H83" s="110"/>
      <c r="I83" s="110"/>
      <c r="J83" s="110"/>
      <c r="K83" s="110"/>
      <c r="L83" s="110"/>
      <c r="M83" s="110"/>
      <c r="N83" s="110"/>
      <c r="O83" s="110"/>
      <c r="P83" s="110"/>
      <c r="Q83" s="110"/>
      <c r="R83" s="110"/>
      <c r="S83" s="110"/>
      <c r="T83" s="110"/>
      <c r="U83" s="110"/>
    </row>
    <row r="84" spans="1:21">
      <c r="A84" s="3"/>
      <c r="B84" s="110"/>
      <c r="C84" s="110"/>
      <c r="D84" s="110"/>
      <c r="E84" s="110"/>
      <c r="F84" s="110"/>
      <c r="G84" s="110"/>
      <c r="H84" s="110"/>
      <c r="I84" s="110"/>
      <c r="J84" s="110"/>
      <c r="K84" s="110"/>
      <c r="L84" s="110"/>
      <c r="M84" s="110"/>
      <c r="N84" s="110"/>
      <c r="O84" s="110"/>
      <c r="P84" s="110"/>
      <c r="Q84" s="110"/>
      <c r="R84" s="110"/>
      <c r="S84" s="110"/>
      <c r="T84" s="110"/>
      <c r="U84" s="110"/>
    </row>
    <row r="85" spans="1:21">
      <c r="A85" s="3"/>
      <c r="B85" s="110"/>
      <c r="C85" s="110"/>
      <c r="D85" s="110"/>
      <c r="E85" s="110"/>
      <c r="F85" s="110"/>
      <c r="G85" s="110"/>
      <c r="H85" s="110"/>
      <c r="I85" s="110"/>
      <c r="J85" s="110"/>
      <c r="K85" s="110"/>
      <c r="L85" s="110"/>
      <c r="M85" s="110"/>
      <c r="N85" s="110"/>
      <c r="O85" s="110"/>
      <c r="P85" s="110"/>
      <c r="Q85" s="110"/>
      <c r="R85" s="110"/>
      <c r="S85" s="110"/>
      <c r="T85" s="110"/>
      <c r="U85" s="110"/>
    </row>
    <row r="86" spans="1:21">
      <c r="A86" s="3"/>
      <c r="B86" s="110"/>
      <c r="C86" s="110"/>
      <c r="D86" s="110"/>
      <c r="E86" s="110"/>
      <c r="F86" s="110"/>
      <c r="G86" s="110"/>
      <c r="H86" s="110"/>
      <c r="I86" s="110"/>
      <c r="J86" s="110"/>
      <c r="K86" s="110"/>
      <c r="L86" s="110"/>
      <c r="M86" s="110"/>
      <c r="N86" s="110"/>
      <c r="O86" s="110"/>
      <c r="P86" s="110"/>
      <c r="Q86" s="110"/>
      <c r="R86" s="110"/>
      <c r="S86" s="110"/>
      <c r="T86" s="110"/>
      <c r="U86" s="110"/>
    </row>
    <row r="87" spans="1:21">
      <c r="A87" s="3"/>
      <c r="B87" s="110"/>
      <c r="C87" s="110"/>
      <c r="D87" s="110"/>
      <c r="E87" s="110"/>
      <c r="F87" s="110"/>
      <c r="G87" s="110"/>
      <c r="H87" s="110"/>
      <c r="I87" s="110"/>
      <c r="J87" s="110"/>
      <c r="K87" s="110"/>
      <c r="L87" s="110"/>
      <c r="M87" s="110"/>
      <c r="N87" s="110"/>
      <c r="O87" s="110"/>
      <c r="P87" s="110"/>
      <c r="Q87" s="110"/>
      <c r="R87" s="110"/>
      <c r="S87" s="110"/>
      <c r="T87" s="110"/>
      <c r="U87" s="110"/>
    </row>
    <row r="88" spans="1:21">
      <c r="A88" s="3"/>
      <c r="B88" s="110"/>
      <c r="C88" s="110"/>
      <c r="D88" s="110"/>
      <c r="E88" s="110"/>
      <c r="F88" s="110"/>
      <c r="G88" s="110"/>
      <c r="H88" s="110"/>
      <c r="I88" s="110"/>
      <c r="J88" s="110"/>
      <c r="K88" s="110"/>
      <c r="L88" s="110"/>
      <c r="M88" s="110"/>
      <c r="N88" s="110"/>
      <c r="O88" s="110"/>
      <c r="P88" s="110"/>
      <c r="Q88" s="110"/>
      <c r="R88" s="110"/>
      <c r="S88" s="110"/>
      <c r="T88" s="110"/>
      <c r="U88" s="110"/>
    </row>
    <row r="89" spans="1:21">
      <c r="A89" s="3"/>
      <c r="B89" s="146" t="s">
        <v>153</v>
      </c>
      <c r="C89" s="146"/>
      <c r="D89" s="110"/>
      <c r="E89" s="110"/>
      <c r="F89" s="110"/>
      <c r="G89" s="110"/>
      <c r="H89" s="146" t="s">
        <v>154</v>
      </c>
      <c r="I89" s="146"/>
      <c r="J89" s="110"/>
      <c r="K89" s="110"/>
      <c r="L89" s="110"/>
      <c r="M89" s="110"/>
      <c r="N89" s="146" t="s">
        <v>155</v>
      </c>
      <c r="O89" s="146"/>
      <c r="P89" s="110"/>
      <c r="Q89" s="110"/>
      <c r="R89" s="110"/>
      <c r="S89" s="110"/>
      <c r="T89" s="110"/>
      <c r="U89" s="110"/>
    </row>
    <row r="90" spans="1:21">
      <c r="A90" s="3"/>
      <c r="B90" s="110"/>
      <c r="C90" s="110"/>
      <c r="D90" s="110"/>
      <c r="E90" s="110"/>
      <c r="F90" s="110"/>
      <c r="G90" s="110"/>
      <c r="H90" s="110"/>
      <c r="I90" s="110"/>
      <c r="J90" s="110"/>
      <c r="K90" s="110"/>
      <c r="L90" s="110"/>
      <c r="M90" s="110"/>
      <c r="N90" s="110"/>
      <c r="O90" s="110"/>
      <c r="P90" s="110"/>
      <c r="Q90" s="110"/>
      <c r="R90" s="110"/>
      <c r="S90" s="110"/>
      <c r="T90" s="110"/>
      <c r="U90" s="110"/>
    </row>
    <row r="91" spans="1:21">
      <c r="A91" s="3"/>
      <c r="B91" s="110"/>
      <c r="C91" s="110"/>
      <c r="D91" s="110"/>
      <c r="E91" s="110"/>
      <c r="F91" s="110"/>
      <c r="G91" s="110"/>
      <c r="H91" s="110"/>
      <c r="I91" s="110"/>
      <c r="J91" s="110"/>
      <c r="K91" s="110"/>
      <c r="L91" s="110"/>
      <c r="M91" s="110"/>
      <c r="N91" s="110"/>
      <c r="O91" s="110"/>
      <c r="P91" s="110"/>
      <c r="Q91" s="110"/>
      <c r="R91" s="110"/>
      <c r="S91" s="110"/>
      <c r="T91" s="110"/>
      <c r="U91" s="110"/>
    </row>
    <row r="92" spans="1:21">
      <c r="A92" s="3"/>
      <c r="B92" s="110"/>
      <c r="C92" s="110"/>
      <c r="D92" s="110"/>
      <c r="E92" s="110"/>
      <c r="F92" s="110"/>
      <c r="G92" s="110"/>
      <c r="H92" s="110"/>
      <c r="I92" s="110"/>
      <c r="J92" s="110"/>
      <c r="K92" s="110"/>
      <c r="L92" s="110"/>
      <c r="M92" s="110"/>
      <c r="N92" s="110"/>
      <c r="O92" s="110"/>
      <c r="P92" s="110"/>
      <c r="Q92" s="110"/>
      <c r="R92" s="110"/>
      <c r="S92" s="110"/>
      <c r="T92" s="110"/>
      <c r="U92" s="110"/>
    </row>
    <row r="93" spans="1:21">
      <c r="A93" s="3"/>
      <c r="B93" s="110"/>
      <c r="C93" s="110"/>
      <c r="D93" s="110"/>
      <c r="E93" s="110"/>
      <c r="F93" s="110"/>
      <c r="G93" s="110"/>
      <c r="H93" s="110"/>
      <c r="I93" s="110"/>
      <c r="J93" s="110"/>
      <c r="K93" s="110"/>
      <c r="L93" s="110"/>
      <c r="M93" s="110"/>
      <c r="N93" s="110"/>
      <c r="O93" s="110"/>
      <c r="P93" s="110"/>
      <c r="Q93" s="110"/>
      <c r="R93" s="110"/>
      <c r="S93" s="110"/>
      <c r="T93" s="110"/>
      <c r="U93" s="110"/>
    </row>
    <row r="94" spans="1:21">
      <c r="A94" s="3"/>
      <c r="B94" s="110"/>
      <c r="C94" s="110"/>
      <c r="D94" s="110"/>
      <c r="E94" s="110"/>
      <c r="F94" s="110"/>
      <c r="G94" s="110"/>
      <c r="H94" s="110"/>
      <c r="I94" s="110"/>
      <c r="J94" s="110"/>
      <c r="K94" s="110"/>
      <c r="L94" s="110"/>
      <c r="M94" s="110"/>
      <c r="N94" s="110"/>
      <c r="O94" s="110"/>
      <c r="P94" s="110"/>
      <c r="Q94" s="110"/>
      <c r="R94" s="110"/>
      <c r="S94" s="110"/>
      <c r="T94" s="110"/>
      <c r="U94" s="110"/>
    </row>
    <row r="95" spans="1:21">
      <c r="A95" s="3"/>
      <c r="B95" s="110"/>
      <c r="C95" s="110"/>
      <c r="D95" s="110"/>
      <c r="E95" s="110"/>
      <c r="F95" s="110"/>
      <c r="G95" s="110"/>
      <c r="H95" s="110"/>
      <c r="I95" s="110"/>
      <c r="J95" s="110"/>
      <c r="K95" s="110"/>
      <c r="L95" s="110"/>
      <c r="M95" s="110"/>
      <c r="N95" s="110"/>
      <c r="O95" s="110"/>
      <c r="P95" s="110"/>
      <c r="Q95" s="110"/>
      <c r="R95" s="110"/>
      <c r="S95" s="110"/>
      <c r="T95" s="110"/>
      <c r="U95" s="110"/>
    </row>
    <row r="96" spans="1:21">
      <c r="A96" s="3"/>
      <c r="B96" s="110"/>
      <c r="C96" s="110"/>
      <c r="D96" s="110"/>
      <c r="E96" s="110"/>
      <c r="F96" s="110"/>
      <c r="G96" s="110"/>
      <c r="H96" s="110"/>
      <c r="I96" s="110"/>
      <c r="J96" s="110"/>
      <c r="K96" s="110"/>
      <c r="L96" s="110"/>
      <c r="M96" s="110"/>
      <c r="N96" s="110"/>
      <c r="O96" s="110"/>
      <c r="P96" s="110"/>
      <c r="Q96" s="110"/>
      <c r="R96" s="110"/>
      <c r="S96" s="110"/>
      <c r="T96" s="110"/>
      <c r="U96" s="110"/>
    </row>
    <row r="97" spans="1:21">
      <c r="A97" s="3"/>
      <c r="B97" s="110"/>
      <c r="C97" s="110"/>
      <c r="D97" s="110"/>
      <c r="E97" s="110"/>
      <c r="F97" s="110"/>
      <c r="G97" s="110"/>
      <c r="H97" s="110"/>
      <c r="I97" s="110"/>
      <c r="J97" s="110"/>
      <c r="K97" s="110"/>
      <c r="L97" s="110"/>
      <c r="M97" s="110"/>
      <c r="N97" s="110"/>
      <c r="O97" s="110"/>
      <c r="P97" s="110"/>
      <c r="Q97" s="110"/>
      <c r="R97" s="110"/>
      <c r="S97" s="110"/>
      <c r="T97" s="110"/>
      <c r="U97" s="110"/>
    </row>
    <row r="98" spans="1:21">
      <c r="A98" s="3"/>
      <c r="B98" s="110"/>
      <c r="C98" s="110"/>
      <c r="D98" s="110"/>
      <c r="E98" s="110"/>
      <c r="F98" s="110"/>
      <c r="G98" s="110"/>
      <c r="H98" s="110"/>
      <c r="I98" s="110"/>
      <c r="J98" s="110"/>
      <c r="K98" s="110"/>
      <c r="L98" s="110"/>
      <c r="M98" s="110"/>
      <c r="N98" s="110"/>
      <c r="O98" s="110"/>
      <c r="P98" s="110"/>
      <c r="Q98" s="110"/>
      <c r="R98" s="110"/>
      <c r="S98" s="110"/>
      <c r="T98" s="110"/>
      <c r="U98" s="110"/>
    </row>
    <row r="99" spans="1:21">
      <c r="A99" s="3"/>
      <c r="B99" s="110"/>
      <c r="C99" s="110"/>
      <c r="D99" s="110"/>
      <c r="E99" s="110"/>
      <c r="F99" s="110"/>
      <c r="G99" s="110"/>
      <c r="H99" s="110"/>
      <c r="I99" s="110"/>
      <c r="J99" s="110"/>
      <c r="K99" s="110"/>
      <c r="L99" s="110"/>
      <c r="M99" s="110"/>
      <c r="N99" s="110"/>
      <c r="O99" s="110"/>
      <c r="P99" s="110"/>
      <c r="Q99" s="110"/>
      <c r="R99" s="110"/>
      <c r="S99" s="110"/>
      <c r="T99" s="110"/>
      <c r="U99" s="110"/>
    </row>
    <row r="100" spans="1:21">
      <c r="A100" s="3"/>
      <c r="B100" s="110"/>
      <c r="C100" s="110"/>
      <c r="D100" s="110"/>
      <c r="E100" s="110"/>
      <c r="F100" s="110"/>
      <c r="G100" s="110"/>
      <c r="H100" s="110"/>
      <c r="I100" s="110"/>
      <c r="J100" s="110"/>
      <c r="K100" s="110"/>
      <c r="L100" s="110"/>
      <c r="M100" s="110"/>
      <c r="N100" s="110"/>
      <c r="O100" s="110"/>
      <c r="P100" s="110"/>
      <c r="Q100" s="110"/>
      <c r="R100" s="110"/>
      <c r="S100" s="110"/>
      <c r="T100" s="110"/>
      <c r="U100" s="110"/>
    </row>
    <row r="101" spans="1:21">
      <c r="A101" s="3"/>
      <c r="B101" s="110"/>
      <c r="C101" s="110"/>
      <c r="D101" s="110"/>
      <c r="E101" s="110"/>
      <c r="F101" s="110"/>
      <c r="G101" s="110"/>
      <c r="H101" s="110"/>
      <c r="I101" s="110"/>
      <c r="J101" s="110"/>
      <c r="K101" s="110"/>
      <c r="L101" s="110"/>
      <c r="M101" s="110"/>
      <c r="N101" s="110"/>
      <c r="O101" s="110"/>
      <c r="P101" s="110"/>
      <c r="Q101" s="110"/>
      <c r="R101" s="110"/>
      <c r="S101" s="110"/>
      <c r="T101" s="110"/>
      <c r="U101" s="110"/>
    </row>
    <row r="102" spans="1:21">
      <c r="A102" s="3"/>
      <c r="B102" s="110"/>
      <c r="C102" s="110"/>
      <c r="D102" s="110"/>
      <c r="E102" s="110"/>
      <c r="F102" s="110"/>
      <c r="G102" s="110"/>
      <c r="H102" s="110"/>
      <c r="I102" s="110"/>
      <c r="J102" s="110"/>
      <c r="K102" s="110"/>
      <c r="L102" s="110"/>
      <c r="M102" s="110"/>
      <c r="N102" s="110"/>
      <c r="O102" s="110"/>
      <c r="P102" s="110"/>
      <c r="Q102" s="110"/>
      <c r="R102" s="110"/>
      <c r="S102" s="110"/>
      <c r="T102" s="110"/>
      <c r="U102" s="110"/>
    </row>
    <row r="103" spans="1:21">
      <c r="A103" s="3"/>
      <c r="B103" s="110"/>
      <c r="C103" s="110"/>
      <c r="D103" s="110"/>
      <c r="E103" s="110"/>
      <c r="F103" s="110"/>
      <c r="G103" s="110"/>
      <c r="H103" s="110"/>
      <c r="I103" s="110"/>
      <c r="J103" s="110"/>
      <c r="K103" s="110"/>
      <c r="L103" s="110"/>
      <c r="M103" s="110"/>
      <c r="N103" s="110"/>
      <c r="O103" s="110"/>
      <c r="P103" s="110"/>
      <c r="Q103" s="110"/>
      <c r="R103" s="110"/>
      <c r="S103" s="110"/>
      <c r="T103" s="110"/>
      <c r="U103" s="110"/>
    </row>
    <row r="104" spans="1:21">
      <c r="A104" s="3"/>
      <c r="B104" s="110"/>
      <c r="C104" s="110"/>
      <c r="D104" s="110"/>
      <c r="E104" s="110"/>
      <c r="F104" s="110"/>
      <c r="G104" s="110"/>
      <c r="H104" s="110"/>
      <c r="I104" s="110"/>
      <c r="J104" s="110"/>
      <c r="K104" s="110"/>
      <c r="L104" s="110"/>
      <c r="M104" s="110"/>
      <c r="N104" s="110"/>
      <c r="O104" s="110"/>
      <c r="P104" s="110"/>
      <c r="Q104" s="110"/>
      <c r="R104" s="110"/>
      <c r="S104" s="110"/>
      <c r="T104" s="110"/>
      <c r="U104" s="110"/>
    </row>
    <row r="105" spans="1:21">
      <c r="A105" s="3"/>
      <c r="B105" s="110"/>
      <c r="C105" s="110"/>
      <c r="D105" s="110"/>
      <c r="E105" s="110"/>
      <c r="F105" s="110"/>
      <c r="G105" s="110"/>
      <c r="H105" s="110"/>
      <c r="I105" s="110"/>
      <c r="J105" s="110"/>
      <c r="K105" s="110"/>
      <c r="L105" s="110"/>
      <c r="M105" s="110"/>
      <c r="N105" s="110"/>
      <c r="O105" s="110"/>
      <c r="P105" s="110"/>
      <c r="Q105" s="110"/>
      <c r="R105" s="110"/>
      <c r="S105" s="110"/>
      <c r="T105" s="110"/>
      <c r="U105" s="110"/>
    </row>
    <row r="106" spans="1:21">
      <c r="A106" s="3"/>
      <c r="B106" s="110"/>
      <c r="C106" s="110"/>
      <c r="D106" s="110"/>
      <c r="E106" s="110"/>
      <c r="F106" s="110"/>
      <c r="G106" s="110"/>
      <c r="H106" s="110"/>
      <c r="I106" s="110"/>
      <c r="J106" s="110"/>
      <c r="K106" s="110"/>
      <c r="L106" s="110"/>
      <c r="M106" s="110"/>
      <c r="N106" s="110"/>
      <c r="O106" s="110"/>
      <c r="P106" s="110"/>
      <c r="Q106" s="110"/>
      <c r="R106" s="110"/>
      <c r="S106" s="110"/>
      <c r="T106" s="110"/>
      <c r="U106" s="110"/>
    </row>
    <row r="107" spans="1:21">
      <c r="A107" s="3"/>
      <c r="B107" s="110"/>
      <c r="C107" s="110"/>
      <c r="D107" s="110"/>
      <c r="E107" s="110"/>
      <c r="F107" s="110"/>
      <c r="G107" s="110"/>
      <c r="H107" s="110"/>
      <c r="I107" s="110"/>
      <c r="J107" s="110"/>
      <c r="K107" s="110"/>
      <c r="L107" s="110"/>
      <c r="M107" s="110"/>
      <c r="N107" s="110"/>
      <c r="O107" s="110"/>
      <c r="P107" s="110"/>
      <c r="Q107" s="110"/>
      <c r="R107" s="110"/>
      <c r="S107" s="110"/>
      <c r="T107" s="110"/>
      <c r="U107" s="110"/>
    </row>
    <row r="108" spans="1:21">
      <c r="A108" s="3"/>
      <c r="B108" s="146" t="s">
        <v>156</v>
      </c>
      <c r="C108" s="146"/>
      <c r="D108" s="110"/>
      <c r="E108" s="110"/>
      <c r="F108" s="110"/>
      <c r="G108" s="110"/>
      <c r="H108" s="146" t="s">
        <v>157</v>
      </c>
      <c r="I108" s="146"/>
      <c r="J108" s="110"/>
      <c r="K108" s="110"/>
      <c r="L108" s="110"/>
      <c r="M108" s="110"/>
      <c r="N108" s="146" t="s">
        <v>158</v>
      </c>
      <c r="O108" s="146"/>
      <c r="P108" s="110"/>
      <c r="Q108" s="110"/>
      <c r="R108" s="110"/>
      <c r="S108" s="110"/>
      <c r="T108" s="110"/>
      <c r="U108" s="110"/>
    </row>
    <row r="109" spans="1:21">
      <c r="A109" s="3"/>
      <c r="B109" s="110"/>
      <c r="C109" s="110"/>
      <c r="D109" s="110"/>
      <c r="E109" s="110"/>
      <c r="F109" s="110"/>
      <c r="G109" s="110"/>
      <c r="H109" s="110"/>
      <c r="I109" s="110"/>
      <c r="J109" s="110"/>
      <c r="K109" s="110"/>
      <c r="L109" s="110"/>
      <c r="M109" s="110"/>
      <c r="N109" s="110"/>
      <c r="O109" s="110"/>
      <c r="P109" s="110"/>
      <c r="Q109" s="110"/>
      <c r="R109" s="110"/>
      <c r="S109" s="110"/>
      <c r="T109" s="110"/>
      <c r="U109" s="110"/>
    </row>
    <row r="110" spans="1:21">
      <c r="A110" s="3"/>
      <c r="B110" s="110"/>
      <c r="C110" s="110"/>
      <c r="D110" s="110"/>
      <c r="E110" s="110"/>
      <c r="F110" s="110"/>
      <c r="G110" s="110"/>
      <c r="H110" s="110"/>
      <c r="I110" s="110"/>
      <c r="J110" s="110"/>
      <c r="K110" s="110"/>
      <c r="L110" s="110"/>
      <c r="M110" s="110"/>
      <c r="N110" s="110"/>
      <c r="O110" s="110"/>
      <c r="P110" s="110"/>
      <c r="Q110" s="110"/>
      <c r="R110" s="110"/>
      <c r="S110" s="110"/>
      <c r="T110" s="110"/>
      <c r="U110" s="110"/>
    </row>
    <row r="111" spans="1:21">
      <c r="A111" s="3"/>
      <c r="B111" s="110"/>
      <c r="C111" s="110"/>
      <c r="D111" s="110"/>
      <c r="E111" s="110"/>
      <c r="F111" s="110"/>
      <c r="G111" s="110"/>
      <c r="H111" s="110"/>
      <c r="I111" s="110"/>
      <c r="J111" s="110"/>
      <c r="K111" s="110"/>
      <c r="L111" s="110"/>
      <c r="M111" s="110"/>
      <c r="N111" s="110"/>
      <c r="O111" s="110"/>
      <c r="P111" s="110"/>
      <c r="Q111" s="110"/>
      <c r="R111" s="110"/>
      <c r="S111" s="110"/>
      <c r="T111" s="110"/>
      <c r="U111" s="110"/>
    </row>
    <row r="112" spans="1:21">
      <c r="A112" s="3"/>
      <c r="B112" s="110"/>
      <c r="C112" s="110"/>
      <c r="D112" s="110"/>
      <c r="E112" s="110"/>
      <c r="F112" s="110"/>
      <c r="G112" s="110"/>
      <c r="H112" s="110"/>
      <c r="I112" s="110"/>
      <c r="J112" s="110"/>
      <c r="K112" s="110"/>
      <c r="L112" s="110"/>
      <c r="M112" s="110"/>
      <c r="N112" s="110"/>
      <c r="O112" s="110"/>
      <c r="P112" s="110"/>
      <c r="Q112" s="110"/>
      <c r="R112" s="110"/>
      <c r="S112" s="110"/>
      <c r="T112" s="110"/>
      <c r="U112" s="110"/>
    </row>
    <row r="113" spans="1:21">
      <c r="A113" s="3"/>
      <c r="B113" s="110"/>
      <c r="C113" s="110"/>
      <c r="D113" s="110"/>
      <c r="E113" s="110"/>
      <c r="F113" s="110"/>
      <c r="G113" s="110"/>
      <c r="H113" s="110"/>
      <c r="I113" s="110"/>
      <c r="J113" s="110"/>
      <c r="K113" s="110"/>
      <c r="L113" s="110"/>
      <c r="M113" s="110"/>
      <c r="N113" s="110"/>
      <c r="O113" s="110"/>
      <c r="P113" s="110"/>
      <c r="Q113" s="110"/>
      <c r="R113" s="110"/>
      <c r="S113" s="110"/>
      <c r="T113" s="110"/>
      <c r="U113" s="110"/>
    </row>
    <row r="114" spans="1:21">
      <c r="A114" s="3"/>
      <c r="B114" s="110"/>
      <c r="C114" s="110"/>
      <c r="D114" s="110"/>
      <c r="E114" s="110"/>
      <c r="F114" s="110"/>
      <c r="G114" s="110"/>
      <c r="H114" s="110"/>
      <c r="I114" s="110"/>
      <c r="J114" s="110"/>
      <c r="K114" s="110"/>
      <c r="L114" s="110"/>
      <c r="M114" s="110"/>
      <c r="N114" s="110"/>
      <c r="O114" s="110"/>
      <c r="P114" s="110"/>
      <c r="Q114" s="110"/>
      <c r="R114" s="110"/>
      <c r="S114" s="110"/>
      <c r="T114" s="110"/>
      <c r="U114" s="110"/>
    </row>
    <row r="115" spans="1:21">
      <c r="A115" s="3"/>
      <c r="B115" s="110"/>
      <c r="C115" s="110"/>
      <c r="D115" s="110"/>
      <c r="E115" s="110"/>
      <c r="F115" s="110"/>
      <c r="G115" s="110"/>
      <c r="H115" s="110"/>
      <c r="I115" s="110"/>
      <c r="J115" s="110"/>
      <c r="K115" s="110"/>
      <c r="L115" s="110"/>
      <c r="M115" s="110"/>
      <c r="N115" s="110"/>
      <c r="O115" s="110"/>
      <c r="P115" s="110"/>
      <c r="Q115" s="110"/>
      <c r="R115" s="110"/>
      <c r="S115" s="110"/>
      <c r="T115" s="110"/>
      <c r="U115" s="110"/>
    </row>
    <row r="116" spans="1:21">
      <c r="A116" s="3"/>
      <c r="B116" s="110"/>
      <c r="C116" s="110"/>
      <c r="D116" s="110"/>
      <c r="E116" s="110"/>
      <c r="F116" s="110"/>
      <c r="G116" s="110"/>
      <c r="H116" s="110"/>
      <c r="I116" s="110"/>
      <c r="J116" s="110"/>
      <c r="K116" s="110"/>
      <c r="L116" s="110"/>
      <c r="M116" s="110"/>
      <c r="N116" s="110"/>
      <c r="O116" s="110"/>
      <c r="P116" s="110"/>
      <c r="Q116" s="110"/>
      <c r="R116" s="110"/>
      <c r="S116" s="110"/>
      <c r="T116" s="110"/>
      <c r="U116" s="110"/>
    </row>
    <row r="117" spans="1:21">
      <c r="A117" s="3"/>
      <c r="B117" s="110"/>
      <c r="C117" s="110"/>
      <c r="D117" s="110"/>
      <c r="E117" s="110"/>
      <c r="F117" s="110"/>
      <c r="G117" s="110"/>
      <c r="H117" s="110"/>
      <c r="I117" s="110"/>
      <c r="J117" s="110"/>
      <c r="K117" s="110"/>
      <c r="L117" s="110"/>
      <c r="M117" s="110"/>
      <c r="N117" s="110"/>
      <c r="O117" s="110"/>
      <c r="P117" s="110"/>
      <c r="Q117" s="110"/>
      <c r="R117" s="110"/>
      <c r="S117" s="110"/>
      <c r="T117" s="110"/>
      <c r="U117" s="110"/>
    </row>
    <row r="118" spans="1:21">
      <c r="A118" s="3"/>
      <c r="B118" s="110"/>
      <c r="C118" s="110"/>
      <c r="D118" s="110"/>
      <c r="E118" s="110"/>
      <c r="F118" s="110"/>
      <c r="G118" s="110"/>
      <c r="H118" s="110"/>
      <c r="I118" s="110"/>
      <c r="J118" s="110"/>
      <c r="K118" s="110"/>
      <c r="L118" s="110"/>
      <c r="M118" s="110"/>
      <c r="N118" s="110"/>
      <c r="O118" s="110"/>
      <c r="P118" s="110"/>
      <c r="Q118" s="110"/>
      <c r="R118" s="110"/>
      <c r="S118" s="110"/>
      <c r="T118" s="110"/>
      <c r="U118" s="110"/>
    </row>
    <row r="119" spans="1:21">
      <c r="A119" s="3"/>
      <c r="B119" s="110"/>
      <c r="C119" s="110"/>
      <c r="D119" s="110"/>
      <c r="E119" s="110"/>
      <c r="F119" s="110"/>
      <c r="G119" s="110"/>
      <c r="H119" s="110"/>
      <c r="I119" s="110"/>
      <c r="J119" s="110"/>
      <c r="K119" s="110"/>
      <c r="L119" s="110"/>
      <c r="M119" s="110"/>
      <c r="N119" s="110"/>
      <c r="O119" s="110"/>
      <c r="P119" s="110"/>
      <c r="Q119" s="110"/>
      <c r="R119" s="110"/>
      <c r="S119" s="110"/>
      <c r="T119" s="110"/>
      <c r="U119" s="110"/>
    </row>
    <row r="120" spans="1:21">
      <c r="A120" s="3"/>
      <c r="B120" s="110"/>
      <c r="C120" s="110"/>
      <c r="D120" s="110"/>
      <c r="E120" s="110"/>
      <c r="F120" s="110"/>
      <c r="G120" s="110"/>
      <c r="H120" s="110"/>
      <c r="I120" s="110"/>
      <c r="J120" s="110"/>
      <c r="K120" s="110"/>
      <c r="L120" s="110"/>
      <c r="M120" s="110"/>
      <c r="N120" s="110"/>
      <c r="O120" s="110"/>
      <c r="P120" s="110"/>
      <c r="Q120" s="110"/>
      <c r="R120" s="110"/>
      <c r="S120" s="110"/>
      <c r="T120" s="110"/>
      <c r="U120" s="110"/>
    </row>
    <row r="121" spans="1:21">
      <c r="A121" s="3"/>
      <c r="B121" s="110"/>
      <c r="C121" s="110"/>
      <c r="D121" s="110"/>
      <c r="E121" s="110"/>
      <c r="F121" s="110"/>
      <c r="G121" s="110"/>
      <c r="H121" s="110"/>
      <c r="I121" s="110"/>
      <c r="J121" s="110"/>
      <c r="K121" s="110"/>
      <c r="L121" s="110"/>
      <c r="M121" s="110"/>
      <c r="N121" s="110"/>
      <c r="O121" s="110"/>
      <c r="P121" s="110"/>
      <c r="Q121" s="110"/>
      <c r="R121" s="110"/>
      <c r="S121" s="110"/>
      <c r="T121" s="110"/>
      <c r="U121" s="110"/>
    </row>
    <row r="122" spans="1:21">
      <c r="A122" s="3"/>
      <c r="B122" s="110"/>
      <c r="C122" s="110"/>
      <c r="D122" s="110"/>
      <c r="E122" s="110"/>
      <c r="F122" s="110"/>
      <c r="G122" s="110"/>
      <c r="H122" s="110"/>
      <c r="I122" s="110"/>
      <c r="J122" s="110"/>
      <c r="K122" s="110"/>
      <c r="L122" s="110"/>
      <c r="M122" s="110"/>
      <c r="N122" s="110"/>
      <c r="O122" s="110"/>
      <c r="P122" s="110"/>
      <c r="Q122" s="110"/>
      <c r="R122" s="110"/>
      <c r="S122" s="110"/>
      <c r="T122" s="110"/>
      <c r="U122" s="110"/>
    </row>
    <row r="123" spans="1:21">
      <c r="A123" s="3"/>
      <c r="B123" s="110"/>
      <c r="C123" s="110"/>
      <c r="D123" s="110"/>
      <c r="E123" s="110"/>
      <c r="F123" s="110"/>
      <c r="G123" s="110"/>
      <c r="H123" s="110"/>
      <c r="I123" s="110"/>
      <c r="J123" s="110"/>
      <c r="K123" s="110"/>
      <c r="L123" s="110"/>
      <c r="M123" s="110"/>
      <c r="N123" s="110"/>
      <c r="O123" s="110"/>
      <c r="P123" s="110"/>
      <c r="Q123" s="110"/>
      <c r="R123" s="110"/>
      <c r="S123" s="110"/>
      <c r="T123" s="110"/>
      <c r="U123" s="110"/>
    </row>
    <row r="124" spans="1:21">
      <c r="A124" s="3"/>
      <c r="B124" s="110"/>
      <c r="C124" s="110"/>
      <c r="D124" s="110"/>
      <c r="E124" s="110"/>
      <c r="F124" s="110"/>
      <c r="G124" s="110"/>
      <c r="H124" s="110"/>
      <c r="I124" s="110"/>
      <c r="J124" s="110"/>
      <c r="K124" s="110"/>
      <c r="L124" s="110"/>
      <c r="M124" s="110"/>
      <c r="N124" s="110"/>
      <c r="O124" s="110"/>
      <c r="P124" s="110"/>
      <c r="Q124" s="110"/>
      <c r="R124" s="110"/>
      <c r="S124" s="110"/>
      <c r="T124" s="110"/>
      <c r="U124" s="110"/>
    </row>
    <row r="125" spans="1:21">
      <c r="A125" s="3"/>
      <c r="B125" s="110"/>
      <c r="C125" s="110"/>
      <c r="D125" s="110"/>
      <c r="E125" s="110"/>
      <c r="F125" s="110"/>
      <c r="G125" s="110"/>
      <c r="H125" s="110"/>
      <c r="I125" s="110"/>
      <c r="J125" s="110"/>
      <c r="K125" s="110"/>
      <c r="L125" s="110"/>
      <c r="M125" s="110"/>
      <c r="N125" s="110"/>
      <c r="O125" s="110"/>
      <c r="P125" s="110"/>
      <c r="Q125" s="110"/>
      <c r="R125" s="110"/>
      <c r="S125" s="110"/>
      <c r="T125" s="110"/>
      <c r="U125" s="110"/>
    </row>
    <row r="126" spans="1:21">
      <c r="A126" s="3"/>
      <c r="B126" s="110"/>
      <c r="C126" s="110"/>
      <c r="D126" s="110"/>
      <c r="E126" s="110"/>
      <c r="F126" s="110"/>
      <c r="G126" s="110"/>
      <c r="H126" s="110"/>
      <c r="I126" s="110"/>
      <c r="J126" s="110"/>
      <c r="K126" s="110"/>
      <c r="L126" s="110"/>
      <c r="M126" s="110"/>
      <c r="N126" s="110"/>
      <c r="O126" s="110"/>
      <c r="P126" s="110"/>
      <c r="Q126" s="110"/>
      <c r="R126" s="110"/>
      <c r="S126" s="110"/>
      <c r="T126" s="110"/>
      <c r="U126" s="110"/>
    </row>
    <row r="127" spans="1:21">
      <c r="A127" s="3"/>
      <c r="B127" s="146" t="s">
        <v>159</v>
      </c>
      <c r="C127" s="146"/>
      <c r="D127" s="110"/>
      <c r="E127" s="110"/>
      <c r="F127" s="110"/>
      <c r="G127" s="110"/>
      <c r="H127" s="110"/>
      <c r="I127" s="110"/>
      <c r="J127" s="110"/>
      <c r="K127" s="110"/>
      <c r="L127" s="110"/>
      <c r="M127" s="110"/>
      <c r="N127" s="110"/>
      <c r="O127" s="110"/>
      <c r="P127" s="110"/>
      <c r="Q127" s="110"/>
      <c r="R127" s="110"/>
      <c r="S127" s="110"/>
      <c r="T127" s="110"/>
      <c r="U127" s="110"/>
    </row>
    <row r="128" spans="1:21">
      <c r="A128" s="3"/>
      <c r="B128" s="110"/>
      <c r="C128" s="110"/>
      <c r="D128" s="110"/>
      <c r="E128" s="110"/>
      <c r="F128" s="110"/>
      <c r="G128" s="110"/>
      <c r="H128" s="110"/>
      <c r="I128" s="110"/>
      <c r="J128" s="110"/>
      <c r="K128" s="110"/>
      <c r="L128" s="110"/>
      <c r="M128" s="110"/>
      <c r="N128" s="110"/>
      <c r="O128" s="110"/>
      <c r="P128" s="110"/>
      <c r="Q128" s="110"/>
      <c r="R128" s="110"/>
      <c r="S128" s="110"/>
      <c r="T128" s="110"/>
      <c r="U128" s="110"/>
    </row>
    <row r="129" spans="1:21">
      <c r="A129" s="3"/>
      <c r="B129" s="110"/>
      <c r="C129" s="110"/>
      <c r="D129" s="110"/>
      <c r="E129" s="110"/>
      <c r="F129" s="110"/>
      <c r="G129" s="110"/>
      <c r="H129" s="110"/>
      <c r="I129" s="110"/>
      <c r="J129" s="110"/>
      <c r="K129" s="110"/>
      <c r="L129" s="110"/>
      <c r="M129" s="110"/>
      <c r="N129" s="110"/>
      <c r="O129" s="110"/>
      <c r="P129" s="110"/>
      <c r="Q129" s="110"/>
      <c r="R129" s="110"/>
      <c r="S129" s="110"/>
      <c r="T129" s="110"/>
      <c r="U129" s="110"/>
    </row>
    <row r="130" spans="1:21">
      <c r="A130" s="3"/>
      <c r="B130" s="110"/>
      <c r="C130" s="110"/>
      <c r="D130" s="110"/>
      <c r="E130" s="110"/>
      <c r="F130" s="110"/>
      <c r="G130" s="110"/>
      <c r="H130" s="110"/>
      <c r="I130" s="110"/>
      <c r="J130" s="110"/>
      <c r="K130" s="110"/>
      <c r="L130" s="110"/>
      <c r="M130" s="110"/>
      <c r="N130" s="110"/>
      <c r="O130" s="110"/>
      <c r="P130" s="110"/>
      <c r="Q130" s="110"/>
      <c r="R130" s="110"/>
      <c r="S130" s="110"/>
      <c r="T130" s="110"/>
      <c r="U130" s="110"/>
    </row>
    <row r="131" spans="1:21">
      <c r="A131" s="3"/>
      <c r="B131" s="110"/>
      <c r="C131" s="110"/>
      <c r="D131" s="110"/>
      <c r="E131" s="110"/>
      <c r="F131" s="110"/>
      <c r="G131" s="110"/>
      <c r="H131" s="110"/>
      <c r="I131" s="110"/>
      <c r="J131" s="110"/>
      <c r="K131" s="110"/>
      <c r="L131" s="110"/>
      <c r="M131" s="110"/>
      <c r="N131" s="110"/>
      <c r="O131" s="110"/>
      <c r="P131" s="110"/>
      <c r="Q131" s="110"/>
      <c r="R131" s="110"/>
      <c r="S131" s="110"/>
      <c r="T131" s="110"/>
      <c r="U131" s="110"/>
    </row>
    <row r="132" spans="1:21">
      <c r="A132" s="3"/>
      <c r="B132" s="110"/>
      <c r="C132" s="110"/>
      <c r="D132" s="110"/>
      <c r="E132" s="110"/>
      <c r="F132" s="110"/>
      <c r="G132" s="110"/>
      <c r="H132" s="110"/>
      <c r="I132" s="110"/>
      <c r="J132" s="110"/>
      <c r="K132" s="110"/>
      <c r="L132" s="110"/>
      <c r="M132" s="110"/>
      <c r="N132" s="110"/>
      <c r="O132" s="110"/>
      <c r="P132" s="110"/>
      <c r="Q132" s="110"/>
      <c r="R132" s="110"/>
      <c r="S132" s="110"/>
      <c r="T132" s="110"/>
      <c r="U132" s="110"/>
    </row>
    <row r="133" spans="1:21">
      <c r="A133" s="3"/>
      <c r="B133" s="110"/>
      <c r="C133" s="110"/>
      <c r="D133" s="110"/>
      <c r="E133" s="110"/>
      <c r="F133" s="110"/>
      <c r="G133" s="110"/>
      <c r="H133" s="110"/>
      <c r="I133" s="110"/>
      <c r="J133" s="110"/>
      <c r="K133" s="110"/>
      <c r="L133" s="110"/>
      <c r="M133" s="110"/>
      <c r="N133" s="110"/>
      <c r="O133" s="110"/>
      <c r="P133" s="110"/>
      <c r="Q133" s="110"/>
      <c r="R133" s="110"/>
      <c r="S133" s="110"/>
      <c r="T133" s="110"/>
      <c r="U133" s="110"/>
    </row>
    <row r="134" spans="1:21">
      <c r="A134" s="3"/>
      <c r="B134" s="110"/>
      <c r="C134" s="110"/>
      <c r="D134" s="110"/>
      <c r="E134" s="110"/>
      <c r="F134" s="110"/>
      <c r="G134" s="110"/>
      <c r="H134" s="110"/>
      <c r="I134" s="110"/>
      <c r="J134" s="110"/>
      <c r="K134" s="110"/>
      <c r="L134" s="110"/>
      <c r="M134" s="110"/>
      <c r="N134" s="110"/>
      <c r="O134" s="110"/>
      <c r="P134" s="110"/>
      <c r="Q134" s="110"/>
      <c r="R134" s="110"/>
      <c r="S134" s="110"/>
      <c r="T134" s="110"/>
      <c r="U134" s="110"/>
    </row>
    <row r="135" spans="1:21">
      <c r="A135" s="3"/>
      <c r="B135" s="110"/>
      <c r="C135" s="110"/>
      <c r="D135" s="110"/>
      <c r="E135" s="110"/>
      <c r="F135" s="110"/>
      <c r="G135" s="110"/>
      <c r="H135" s="110"/>
      <c r="I135" s="110"/>
      <c r="J135" s="110"/>
      <c r="K135" s="110"/>
      <c r="L135" s="110"/>
      <c r="M135" s="110"/>
      <c r="N135" s="110"/>
      <c r="O135" s="110"/>
      <c r="P135" s="110"/>
      <c r="Q135" s="110"/>
      <c r="R135" s="110"/>
      <c r="S135" s="110"/>
      <c r="T135" s="110"/>
      <c r="U135" s="110"/>
    </row>
    <row r="136" spans="1:21">
      <c r="A136" s="3"/>
      <c r="B136" s="110"/>
      <c r="C136" s="110"/>
      <c r="D136" s="110"/>
      <c r="E136" s="110"/>
      <c r="F136" s="110"/>
      <c r="G136" s="110"/>
      <c r="H136" s="110"/>
      <c r="I136" s="110"/>
      <c r="J136" s="110"/>
      <c r="K136" s="110"/>
      <c r="L136" s="110"/>
      <c r="M136" s="110"/>
      <c r="N136" s="110"/>
      <c r="O136" s="110"/>
      <c r="P136" s="110"/>
      <c r="Q136" s="110"/>
      <c r="R136" s="110"/>
      <c r="S136" s="110"/>
      <c r="T136" s="110"/>
      <c r="U136" s="110"/>
    </row>
    <row r="137" spans="1:21">
      <c r="A137" s="3"/>
      <c r="B137" s="110"/>
      <c r="C137" s="110"/>
      <c r="D137" s="110"/>
      <c r="E137" s="110"/>
      <c r="F137" s="110"/>
      <c r="G137" s="110"/>
      <c r="H137" s="110"/>
      <c r="I137" s="110"/>
      <c r="J137" s="110"/>
      <c r="K137" s="110"/>
      <c r="L137" s="110"/>
      <c r="M137" s="110"/>
      <c r="N137" s="110"/>
      <c r="O137" s="110"/>
      <c r="P137" s="110"/>
      <c r="Q137" s="110"/>
      <c r="R137" s="110"/>
      <c r="S137" s="110"/>
      <c r="T137" s="110"/>
      <c r="U137" s="110"/>
    </row>
    <row r="138" spans="1:21">
      <c r="A138" s="3"/>
      <c r="B138" s="110"/>
      <c r="C138" s="110"/>
      <c r="D138" s="110"/>
      <c r="E138" s="110"/>
      <c r="F138" s="110"/>
      <c r="G138" s="110"/>
      <c r="H138" s="110"/>
      <c r="I138" s="110"/>
      <c r="J138" s="110"/>
      <c r="K138" s="110"/>
      <c r="L138" s="110"/>
      <c r="M138" s="110"/>
      <c r="N138" s="110"/>
      <c r="O138" s="110"/>
      <c r="P138" s="110"/>
      <c r="Q138" s="110"/>
      <c r="R138" s="110"/>
      <c r="S138" s="110"/>
      <c r="T138" s="110"/>
      <c r="U138" s="110"/>
    </row>
    <row r="139" spans="1:21">
      <c r="A139" s="3"/>
      <c r="B139" s="110"/>
      <c r="C139" s="110"/>
      <c r="D139" s="110"/>
      <c r="E139" s="110"/>
      <c r="F139" s="110"/>
      <c r="G139" s="110"/>
      <c r="H139" s="110"/>
      <c r="I139" s="110"/>
      <c r="J139" s="110"/>
      <c r="K139" s="110"/>
      <c r="L139" s="110"/>
      <c r="M139" s="110"/>
      <c r="N139" s="110"/>
      <c r="O139" s="110"/>
      <c r="P139" s="110"/>
      <c r="Q139" s="110"/>
      <c r="R139" s="110"/>
      <c r="S139" s="110"/>
      <c r="T139" s="110"/>
      <c r="U139" s="110"/>
    </row>
    <row r="140" spans="1:21">
      <c r="A140" s="3"/>
      <c r="B140" s="110"/>
      <c r="C140" s="110"/>
      <c r="D140" s="110"/>
      <c r="E140" s="110"/>
      <c r="F140" s="110"/>
      <c r="G140" s="110"/>
      <c r="H140" s="110"/>
      <c r="I140" s="110"/>
      <c r="J140" s="110"/>
      <c r="K140" s="110"/>
      <c r="L140" s="110"/>
      <c r="M140" s="110"/>
      <c r="N140" s="110"/>
      <c r="O140" s="110"/>
      <c r="P140" s="110"/>
      <c r="Q140" s="110"/>
      <c r="R140" s="110"/>
      <c r="S140" s="110"/>
      <c r="T140" s="110"/>
      <c r="U140" s="110"/>
    </row>
    <row r="141" spans="1:21">
      <c r="A141" s="3"/>
      <c r="B141" s="110"/>
      <c r="C141" s="110"/>
      <c r="D141" s="110"/>
      <c r="E141" s="110"/>
      <c r="F141" s="110"/>
      <c r="G141" s="110"/>
      <c r="H141" s="110"/>
      <c r="I141" s="110"/>
      <c r="J141" s="110"/>
      <c r="K141" s="110"/>
      <c r="L141" s="110"/>
      <c r="M141" s="110"/>
      <c r="N141" s="110"/>
      <c r="O141" s="110"/>
      <c r="P141" s="110"/>
      <c r="Q141" s="110"/>
      <c r="R141" s="110"/>
      <c r="S141" s="110"/>
      <c r="T141" s="110"/>
      <c r="U141" s="110"/>
    </row>
    <row r="142" spans="1:21">
      <c r="A142" s="3"/>
      <c r="B142" s="110"/>
      <c r="C142" s="110"/>
      <c r="D142" s="110"/>
      <c r="E142" s="110"/>
      <c r="F142" s="110"/>
      <c r="G142" s="110"/>
      <c r="H142" s="110"/>
      <c r="I142" s="110"/>
      <c r="J142" s="110"/>
      <c r="K142" s="110"/>
      <c r="L142" s="110"/>
      <c r="M142" s="110"/>
      <c r="N142" s="110"/>
      <c r="O142" s="110"/>
      <c r="P142" s="110"/>
      <c r="Q142" s="110"/>
      <c r="R142" s="110"/>
      <c r="S142" s="110"/>
      <c r="T142" s="110"/>
      <c r="U142" s="110"/>
    </row>
    <row r="143" spans="1:21">
      <c r="A143" s="3"/>
      <c r="B143" s="110"/>
      <c r="C143" s="110"/>
      <c r="D143" s="110"/>
      <c r="E143" s="110"/>
      <c r="F143" s="110"/>
      <c r="G143" s="110"/>
      <c r="H143" s="110"/>
      <c r="I143" s="110"/>
      <c r="J143" s="110"/>
      <c r="K143" s="110"/>
      <c r="L143" s="110"/>
      <c r="M143" s="110"/>
      <c r="N143" s="110"/>
      <c r="O143" s="110"/>
      <c r="P143" s="110"/>
      <c r="Q143" s="110"/>
      <c r="R143" s="110"/>
      <c r="S143" s="110"/>
      <c r="T143" s="110"/>
      <c r="U143" s="110"/>
    </row>
    <row r="144" spans="1:21">
      <c r="A144" s="3"/>
      <c r="B144" s="110"/>
      <c r="C144" s="110"/>
      <c r="D144" s="110"/>
      <c r="E144" s="110"/>
      <c r="F144" s="110"/>
      <c r="G144" s="110"/>
      <c r="H144" s="110"/>
      <c r="I144" s="110"/>
      <c r="J144" s="110"/>
      <c r="K144" s="110"/>
      <c r="L144" s="110"/>
      <c r="M144" s="110"/>
      <c r="N144" s="110"/>
      <c r="O144" s="110"/>
      <c r="P144" s="110"/>
      <c r="Q144" s="110"/>
      <c r="R144" s="110"/>
      <c r="S144" s="110"/>
      <c r="T144" s="110"/>
      <c r="U144" s="110"/>
    </row>
    <row r="145" spans="1:21">
      <c r="A145" s="3"/>
      <c r="B145" s="110"/>
      <c r="C145" s="110"/>
      <c r="D145" s="110"/>
      <c r="E145" s="110"/>
      <c r="F145" s="110"/>
      <c r="G145" s="110"/>
      <c r="H145" s="110"/>
      <c r="I145" s="110"/>
      <c r="J145" s="110"/>
      <c r="K145" s="110"/>
      <c r="L145" s="110"/>
      <c r="M145" s="110"/>
      <c r="N145" s="110"/>
      <c r="O145" s="110"/>
      <c r="P145" s="110"/>
      <c r="Q145" s="110"/>
      <c r="R145" s="110"/>
      <c r="S145" s="110"/>
      <c r="T145" s="110"/>
      <c r="U145" s="110"/>
    </row>
    <row r="146" spans="1:21">
      <c r="A146" s="3"/>
      <c r="B146" s="110"/>
      <c r="C146" s="110"/>
      <c r="D146" s="110"/>
      <c r="E146" s="110"/>
      <c r="F146" s="110"/>
      <c r="G146" s="110"/>
      <c r="H146" s="110"/>
      <c r="I146" s="110"/>
      <c r="J146" s="110"/>
      <c r="K146" s="110"/>
      <c r="L146" s="110"/>
      <c r="M146" s="110"/>
      <c r="N146" s="110"/>
      <c r="O146" s="110"/>
      <c r="P146" s="110"/>
      <c r="Q146" s="110"/>
      <c r="R146" s="110"/>
      <c r="S146" s="110"/>
      <c r="T146" s="110"/>
      <c r="U146" s="110"/>
    </row>
    <row r="147" spans="1:21">
      <c r="A147" s="3"/>
      <c r="B147" s="110"/>
      <c r="C147" s="110"/>
      <c r="D147" s="110"/>
      <c r="E147" s="110"/>
      <c r="F147" s="110"/>
      <c r="G147" s="110"/>
      <c r="H147" s="110"/>
      <c r="I147" s="110"/>
      <c r="J147" s="110"/>
      <c r="K147" s="110"/>
      <c r="L147" s="110"/>
      <c r="M147" s="110"/>
      <c r="N147" s="110"/>
      <c r="O147" s="110"/>
      <c r="P147" s="110"/>
      <c r="Q147" s="110"/>
      <c r="R147" s="110"/>
      <c r="S147" s="110"/>
      <c r="T147" s="110"/>
      <c r="U147" s="110"/>
    </row>
    <row r="148" spans="1:21">
      <c r="A148" s="3"/>
      <c r="B148" s="110"/>
      <c r="C148" s="110"/>
      <c r="D148" s="110"/>
      <c r="E148" s="110"/>
      <c r="F148" s="110"/>
      <c r="G148" s="110"/>
      <c r="H148" s="110"/>
      <c r="I148" s="110"/>
      <c r="J148" s="110"/>
      <c r="K148" s="110"/>
      <c r="L148" s="110"/>
      <c r="M148" s="110"/>
      <c r="N148" s="110"/>
      <c r="O148" s="110"/>
      <c r="P148" s="110"/>
      <c r="Q148" s="110"/>
      <c r="R148" s="110"/>
      <c r="S148" s="110"/>
      <c r="T148" s="110"/>
      <c r="U148" s="110"/>
    </row>
    <row r="149" spans="1:21">
      <c r="A149" s="3"/>
      <c r="B149" s="110"/>
      <c r="C149" s="110"/>
      <c r="D149" s="110"/>
      <c r="E149" s="110"/>
      <c r="F149" s="110"/>
      <c r="G149" s="110"/>
      <c r="H149" s="110"/>
      <c r="I149" s="110"/>
      <c r="J149" s="110"/>
      <c r="K149" s="110"/>
      <c r="L149" s="110"/>
      <c r="M149" s="110"/>
      <c r="N149" s="110"/>
      <c r="O149" s="110"/>
      <c r="P149" s="110"/>
      <c r="Q149" s="110"/>
      <c r="R149" s="110"/>
      <c r="S149" s="110"/>
      <c r="T149" s="110"/>
      <c r="U149" s="110"/>
    </row>
    <row r="150" spans="1:21">
      <c r="A150" s="3"/>
      <c r="B150" s="110"/>
      <c r="C150" s="110"/>
      <c r="D150" s="110"/>
      <c r="E150" s="110"/>
      <c r="F150" s="110"/>
      <c r="G150" s="110"/>
      <c r="H150" s="110"/>
      <c r="I150" s="110"/>
      <c r="J150" s="110"/>
      <c r="K150" s="110"/>
      <c r="L150" s="110"/>
      <c r="M150" s="110"/>
      <c r="N150" s="110"/>
      <c r="O150" s="110"/>
      <c r="P150" s="110"/>
      <c r="Q150" s="110"/>
      <c r="R150" s="110"/>
      <c r="S150" s="110"/>
      <c r="T150" s="110"/>
      <c r="U150" s="110"/>
    </row>
    <row r="151" spans="1:21">
      <c r="A151" s="3"/>
      <c r="B151" s="110"/>
      <c r="C151" s="110"/>
      <c r="D151" s="110"/>
      <c r="E151" s="110"/>
      <c r="F151" s="110"/>
      <c r="G151" s="110"/>
      <c r="H151" s="110"/>
      <c r="I151" s="110"/>
      <c r="J151" s="110"/>
      <c r="K151" s="110"/>
      <c r="L151" s="110"/>
      <c r="M151" s="110"/>
      <c r="N151" s="110"/>
      <c r="O151" s="110"/>
      <c r="P151" s="110"/>
      <c r="Q151" s="110"/>
      <c r="R151" s="110"/>
      <c r="S151" s="110"/>
      <c r="T151" s="110"/>
      <c r="U151" s="110"/>
    </row>
    <row r="152" spans="1:21">
      <c r="A152" s="3"/>
      <c r="B152" s="110"/>
      <c r="C152" s="110"/>
      <c r="D152" s="110"/>
      <c r="E152" s="110"/>
      <c r="F152" s="110"/>
      <c r="G152" s="110"/>
      <c r="H152" s="110"/>
      <c r="I152" s="110"/>
      <c r="J152" s="110"/>
      <c r="K152" s="110"/>
      <c r="L152" s="110"/>
      <c r="M152" s="110"/>
      <c r="N152" s="110"/>
      <c r="O152" s="110"/>
      <c r="P152" s="110"/>
      <c r="Q152" s="110"/>
      <c r="R152" s="110"/>
      <c r="S152" s="110"/>
      <c r="T152" s="110"/>
      <c r="U152" s="110"/>
    </row>
    <row r="153" spans="1:21">
      <c r="A153" s="3"/>
      <c r="B153" s="110"/>
      <c r="C153" s="110"/>
      <c r="D153" s="110"/>
      <c r="E153" s="110"/>
      <c r="F153" s="110"/>
      <c r="G153" s="110"/>
      <c r="H153" s="110"/>
      <c r="I153" s="110"/>
      <c r="J153" s="110"/>
      <c r="K153" s="110"/>
      <c r="L153" s="110"/>
      <c r="M153" s="110"/>
      <c r="N153" s="110"/>
      <c r="O153" s="110"/>
      <c r="P153" s="110"/>
      <c r="Q153" s="110"/>
      <c r="R153" s="110"/>
      <c r="S153" s="110"/>
      <c r="T153" s="110"/>
      <c r="U153" s="110"/>
    </row>
    <row r="154" spans="1:21">
      <c r="A154" s="3"/>
      <c r="B154" s="110"/>
      <c r="C154" s="110"/>
      <c r="D154" s="110"/>
      <c r="E154" s="110"/>
      <c r="F154" s="110"/>
      <c r="G154" s="110"/>
      <c r="H154" s="110"/>
      <c r="I154" s="110"/>
      <c r="J154" s="110"/>
      <c r="K154" s="110"/>
      <c r="L154" s="110"/>
      <c r="M154" s="110"/>
      <c r="N154" s="110"/>
      <c r="O154" s="110"/>
      <c r="P154" s="110"/>
      <c r="Q154" s="110"/>
      <c r="R154" s="110"/>
      <c r="S154" s="110"/>
      <c r="T154" s="110"/>
      <c r="U154" s="110"/>
    </row>
    <row r="155" spans="1:21">
      <c r="A155" s="3"/>
      <c r="B155" s="110"/>
      <c r="C155" s="110"/>
      <c r="D155" s="110"/>
      <c r="E155" s="110"/>
      <c r="F155" s="110"/>
      <c r="G155" s="110"/>
      <c r="H155" s="110"/>
      <c r="I155" s="110"/>
      <c r="J155" s="110"/>
      <c r="K155" s="110"/>
      <c r="L155" s="110"/>
      <c r="M155" s="110"/>
      <c r="N155" s="110"/>
      <c r="O155" s="110"/>
      <c r="P155" s="110"/>
      <c r="Q155" s="110"/>
      <c r="R155" s="110"/>
      <c r="S155" s="110"/>
      <c r="T155" s="110"/>
      <c r="U155" s="110"/>
    </row>
    <row r="156" spans="1:21">
      <c r="A156" s="3"/>
      <c r="B156" s="110"/>
      <c r="C156" s="110"/>
      <c r="D156" s="110"/>
      <c r="E156" s="110"/>
      <c r="F156" s="110"/>
      <c r="G156" s="110"/>
      <c r="H156" s="110"/>
      <c r="I156" s="110"/>
      <c r="J156" s="110"/>
      <c r="K156" s="110"/>
      <c r="L156" s="110"/>
      <c r="M156" s="110"/>
      <c r="N156" s="110"/>
      <c r="O156" s="110"/>
      <c r="P156" s="110"/>
      <c r="Q156" s="110"/>
      <c r="R156" s="110"/>
      <c r="S156" s="110"/>
      <c r="T156" s="110"/>
      <c r="U156" s="110"/>
    </row>
    <row r="157" spans="1:21">
      <c r="A157" s="3"/>
      <c r="B157" s="110"/>
      <c r="C157" s="110"/>
      <c r="D157" s="110"/>
      <c r="E157" s="110"/>
      <c r="F157" s="110"/>
      <c r="G157" s="110"/>
      <c r="H157" s="110"/>
      <c r="I157" s="110"/>
      <c r="J157" s="110"/>
      <c r="K157" s="110"/>
      <c r="L157" s="110"/>
      <c r="M157" s="110"/>
      <c r="N157" s="110"/>
      <c r="O157" s="110"/>
      <c r="P157" s="110"/>
      <c r="Q157" s="110"/>
      <c r="R157" s="110"/>
      <c r="S157" s="110"/>
      <c r="T157" s="110"/>
      <c r="U157" s="110"/>
    </row>
    <row r="158" spans="1:21">
      <c r="A158" s="3"/>
      <c r="B158" s="110"/>
      <c r="C158" s="110"/>
      <c r="D158" s="110"/>
      <c r="E158" s="110"/>
      <c r="F158" s="110"/>
      <c r="G158" s="110"/>
      <c r="H158" s="110"/>
      <c r="I158" s="110"/>
      <c r="J158" s="110"/>
      <c r="K158" s="110"/>
      <c r="L158" s="110"/>
      <c r="M158" s="110"/>
      <c r="N158" s="110"/>
      <c r="O158" s="110"/>
      <c r="P158" s="110"/>
      <c r="Q158" s="110"/>
      <c r="R158" s="110"/>
      <c r="S158" s="110"/>
      <c r="T158" s="110"/>
      <c r="U158" s="110"/>
    </row>
    <row r="159" spans="1:21">
      <c r="A159" s="3"/>
      <c r="B159" s="110"/>
      <c r="C159" s="110"/>
      <c r="D159" s="110"/>
      <c r="E159" s="110"/>
      <c r="F159" s="110"/>
      <c r="G159" s="110"/>
      <c r="H159" s="110"/>
      <c r="I159" s="110"/>
      <c r="J159" s="110"/>
      <c r="K159" s="110"/>
      <c r="L159" s="110"/>
      <c r="M159" s="110"/>
      <c r="N159" s="110"/>
      <c r="O159" s="110"/>
      <c r="P159" s="110"/>
      <c r="Q159" s="110"/>
      <c r="R159" s="110"/>
      <c r="S159" s="110"/>
      <c r="T159" s="110"/>
      <c r="U159" s="110"/>
    </row>
    <row r="160" spans="1:21">
      <c r="A160" s="3"/>
      <c r="B160" s="110"/>
      <c r="C160" s="110"/>
      <c r="D160" s="110"/>
      <c r="E160" s="110"/>
      <c r="F160" s="110"/>
      <c r="G160" s="110"/>
      <c r="H160" s="110"/>
      <c r="I160" s="110"/>
      <c r="J160" s="110"/>
      <c r="K160" s="110"/>
      <c r="L160" s="110"/>
      <c r="M160" s="110"/>
      <c r="N160" s="110"/>
      <c r="O160" s="110"/>
      <c r="P160" s="110"/>
      <c r="Q160" s="110"/>
      <c r="R160" s="110"/>
      <c r="S160" s="110"/>
      <c r="T160" s="110"/>
      <c r="U160" s="110"/>
    </row>
    <row r="161" spans="1:21">
      <c r="A161" s="3"/>
      <c r="B161" s="110"/>
      <c r="C161" s="110"/>
      <c r="D161" s="110"/>
      <c r="E161" s="110"/>
      <c r="F161" s="110"/>
      <c r="G161" s="110"/>
      <c r="H161" s="110"/>
      <c r="I161" s="110"/>
      <c r="J161" s="110"/>
      <c r="K161" s="110"/>
      <c r="L161" s="110"/>
      <c r="M161" s="110"/>
      <c r="N161" s="110"/>
      <c r="O161" s="110"/>
      <c r="P161" s="110"/>
      <c r="Q161" s="110"/>
      <c r="R161" s="110"/>
      <c r="S161" s="110"/>
      <c r="T161" s="110"/>
      <c r="U161" s="110"/>
    </row>
    <row r="162" spans="1:21">
      <c r="A162" s="3"/>
      <c r="B162" s="110"/>
      <c r="C162" s="110"/>
      <c r="D162" s="110"/>
      <c r="E162" s="110"/>
      <c r="F162" s="110"/>
      <c r="G162" s="110"/>
      <c r="H162" s="110"/>
      <c r="I162" s="110"/>
      <c r="J162" s="110"/>
      <c r="K162" s="110"/>
      <c r="L162" s="110"/>
      <c r="M162" s="110"/>
      <c r="N162" s="110"/>
      <c r="O162" s="110"/>
      <c r="P162" s="110"/>
      <c r="Q162" s="110"/>
      <c r="R162" s="110"/>
      <c r="S162" s="110"/>
      <c r="T162" s="110"/>
      <c r="U162" s="110"/>
    </row>
    <row r="163" spans="1:21">
      <c r="A163" s="3"/>
      <c r="B163" s="110"/>
      <c r="C163" s="110"/>
      <c r="D163" s="110"/>
      <c r="E163" s="110"/>
      <c r="F163" s="110"/>
      <c r="G163" s="110"/>
      <c r="H163" s="110"/>
      <c r="I163" s="110"/>
      <c r="J163" s="110"/>
      <c r="K163" s="110"/>
      <c r="L163" s="110"/>
      <c r="M163" s="110"/>
      <c r="N163" s="110"/>
      <c r="O163" s="110"/>
      <c r="P163" s="110"/>
      <c r="Q163" s="110"/>
      <c r="R163" s="110"/>
      <c r="S163" s="110"/>
      <c r="T163" s="110"/>
      <c r="U163" s="110"/>
    </row>
    <row r="164" spans="1:21">
      <c r="A164" s="3"/>
      <c r="B164" s="110"/>
      <c r="C164" s="110"/>
      <c r="D164" s="110"/>
      <c r="E164" s="110"/>
      <c r="F164" s="110"/>
      <c r="G164" s="110"/>
      <c r="H164" s="110"/>
      <c r="I164" s="110"/>
      <c r="J164" s="110"/>
      <c r="K164" s="110"/>
      <c r="L164" s="110"/>
      <c r="M164" s="110"/>
      <c r="N164" s="110"/>
      <c r="O164" s="110"/>
      <c r="P164" s="110"/>
      <c r="Q164" s="110"/>
      <c r="R164" s="110"/>
      <c r="S164" s="110"/>
      <c r="T164" s="110"/>
      <c r="U164" s="110"/>
    </row>
    <row r="165" spans="1:21">
      <c r="A165" s="3"/>
      <c r="B165" s="110"/>
      <c r="C165" s="110"/>
      <c r="D165" s="110"/>
      <c r="E165" s="110"/>
      <c r="F165" s="110"/>
      <c r="G165" s="110"/>
      <c r="H165" s="110"/>
      <c r="I165" s="110"/>
      <c r="J165" s="110"/>
      <c r="K165" s="110"/>
      <c r="L165" s="110"/>
      <c r="M165" s="110"/>
      <c r="N165" s="110"/>
      <c r="O165" s="110"/>
      <c r="P165" s="110"/>
      <c r="Q165" s="110"/>
      <c r="R165" s="110"/>
      <c r="S165" s="110"/>
      <c r="T165" s="110"/>
      <c r="U165" s="110"/>
    </row>
    <row r="166" spans="1:21">
      <c r="A166" s="3"/>
      <c r="B166" s="110"/>
      <c r="C166" s="110"/>
      <c r="D166" s="110"/>
      <c r="E166" s="110"/>
      <c r="F166" s="110"/>
      <c r="G166" s="110"/>
      <c r="H166" s="110"/>
      <c r="I166" s="110"/>
      <c r="J166" s="110"/>
      <c r="K166" s="110"/>
      <c r="L166" s="110"/>
      <c r="M166" s="110"/>
      <c r="N166" s="110"/>
      <c r="O166" s="110"/>
      <c r="P166" s="110"/>
      <c r="Q166" s="110"/>
      <c r="R166" s="110"/>
      <c r="S166" s="110"/>
      <c r="T166" s="110"/>
      <c r="U166" s="110"/>
    </row>
    <row r="167" spans="1:21">
      <c r="A167" s="3"/>
      <c r="B167" s="110"/>
      <c r="C167" s="110"/>
      <c r="D167" s="110"/>
      <c r="E167" s="110"/>
      <c r="F167" s="110"/>
      <c r="G167" s="110"/>
      <c r="H167" s="110"/>
      <c r="I167" s="110"/>
      <c r="J167" s="110"/>
      <c r="K167" s="110"/>
      <c r="L167" s="110"/>
      <c r="M167" s="110"/>
      <c r="N167" s="110"/>
      <c r="O167" s="110"/>
      <c r="P167" s="110"/>
      <c r="Q167" s="110"/>
      <c r="R167" s="110"/>
      <c r="S167" s="110"/>
      <c r="T167" s="110"/>
      <c r="U167" s="110"/>
    </row>
    <row r="168" spans="1:21">
      <c r="A168" s="3"/>
      <c r="B168" s="110"/>
      <c r="C168" s="110"/>
      <c r="D168" s="110"/>
      <c r="E168" s="110"/>
      <c r="F168" s="110"/>
      <c r="G168" s="110"/>
      <c r="H168" s="110"/>
      <c r="I168" s="110"/>
      <c r="J168" s="110"/>
      <c r="K168" s="110"/>
      <c r="L168" s="110"/>
      <c r="M168" s="110"/>
      <c r="N168" s="110"/>
      <c r="O168" s="110"/>
      <c r="P168" s="110"/>
      <c r="Q168" s="110"/>
      <c r="R168" s="110"/>
      <c r="S168" s="110"/>
      <c r="T168" s="110"/>
      <c r="U168" s="110"/>
    </row>
    <row r="169" spans="1:21">
      <c r="A169" s="3"/>
      <c r="B169" s="110"/>
      <c r="C169" s="110"/>
      <c r="D169" s="110"/>
      <c r="E169" s="110"/>
      <c r="F169" s="110"/>
      <c r="G169" s="110"/>
      <c r="H169" s="110"/>
      <c r="I169" s="110"/>
      <c r="J169" s="110"/>
      <c r="K169" s="110"/>
      <c r="L169" s="110"/>
      <c r="M169" s="110"/>
      <c r="N169" s="110"/>
      <c r="O169" s="110"/>
      <c r="P169" s="110"/>
      <c r="Q169" s="110"/>
      <c r="R169" s="110"/>
      <c r="S169" s="110"/>
      <c r="T169" s="110"/>
      <c r="U169" s="110"/>
    </row>
    <row r="170" spans="1:21">
      <c r="A170" s="3"/>
      <c r="B170" s="110"/>
      <c r="C170" s="110"/>
      <c r="D170" s="110"/>
      <c r="E170" s="110"/>
      <c r="F170" s="110"/>
      <c r="G170" s="110"/>
      <c r="H170" s="110"/>
      <c r="I170" s="110"/>
      <c r="J170" s="110"/>
      <c r="K170" s="110"/>
      <c r="L170" s="110"/>
      <c r="M170" s="110"/>
      <c r="N170" s="110"/>
      <c r="O170" s="110"/>
      <c r="P170" s="110"/>
      <c r="Q170" s="110"/>
      <c r="R170" s="110"/>
      <c r="S170" s="110"/>
      <c r="T170" s="110"/>
      <c r="U170" s="110"/>
    </row>
    <row r="171" spans="1:21">
      <c r="A171" s="3"/>
      <c r="B171" s="110"/>
      <c r="C171" s="110"/>
      <c r="D171" s="110"/>
      <c r="E171" s="110"/>
      <c r="F171" s="110"/>
      <c r="G171" s="110"/>
      <c r="H171" s="110"/>
      <c r="I171" s="110"/>
      <c r="J171" s="110"/>
      <c r="K171" s="110"/>
      <c r="L171" s="110"/>
      <c r="M171" s="110"/>
      <c r="N171" s="110"/>
      <c r="O171" s="110"/>
      <c r="P171" s="110"/>
      <c r="Q171" s="110"/>
      <c r="R171" s="110"/>
      <c r="S171" s="110"/>
      <c r="T171" s="110"/>
      <c r="U171" s="110"/>
    </row>
    <row r="172" spans="1:21">
      <c r="A172" s="3"/>
      <c r="B172" s="110"/>
      <c r="C172" s="110"/>
      <c r="D172" s="110"/>
      <c r="E172" s="110"/>
      <c r="F172" s="110"/>
      <c r="G172" s="110"/>
      <c r="H172" s="110"/>
      <c r="I172" s="110"/>
      <c r="J172" s="110"/>
      <c r="K172" s="110"/>
      <c r="L172" s="110"/>
      <c r="M172" s="110"/>
      <c r="N172" s="110"/>
      <c r="O172" s="110"/>
      <c r="P172" s="110"/>
      <c r="Q172" s="110"/>
      <c r="R172" s="110"/>
      <c r="S172" s="110"/>
      <c r="T172" s="110"/>
      <c r="U172" s="110"/>
    </row>
    <row r="173" spans="1:21">
      <c r="A173" s="3"/>
      <c r="B173" s="110"/>
      <c r="C173" s="110"/>
      <c r="D173" s="110"/>
      <c r="E173" s="110"/>
      <c r="F173" s="110"/>
      <c r="G173" s="110"/>
      <c r="H173" s="110"/>
      <c r="I173" s="110"/>
      <c r="J173" s="110"/>
      <c r="K173" s="110"/>
      <c r="L173" s="110"/>
      <c r="M173" s="110"/>
      <c r="N173" s="110"/>
      <c r="O173" s="110"/>
      <c r="P173" s="110"/>
      <c r="Q173" s="110"/>
      <c r="R173" s="110"/>
      <c r="S173" s="110"/>
      <c r="T173" s="110"/>
      <c r="U173" s="110"/>
    </row>
    <row r="174" spans="1:21">
      <c r="A174" s="3"/>
      <c r="B174" s="110"/>
      <c r="C174" s="110"/>
      <c r="D174" s="110"/>
      <c r="E174" s="110"/>
      <c r="F174" s="110"/>
      <c r="G174" s="110"/>
      <c r="H174" s="110"/>
      <c r="I174" s="110"/>
      <c r="J174" s="110"/>
      <c r="K174" s="110"/>
      <c r="L174" s="110"/>
      <c r="M174" s="110"/>
      <c r="N174" s="110"/>
      <c r="O174" s="110"/>
      <c r="P174" s="110"/>
      <c r="Q174" s="110"/>
      <c r="R174" s="110"/>
      <c r="S174" s="110"/>
      <c r="T174" s="110"/>
      <c r="U174" s="110"/>
    </row>
    <row r="175" spans="1:21">
      <c r="A175" s="3"/>
      <c r="B175" s="110"/>
      <c r="C175" s="110"/>
      <c r="D175" s="110"/>
      <c r="E175" s="110"/>
      <c r="F175" s="110"/>
      <c r="G175" s="110"/>
      <c r="H175" s="110"/>
      <c r="I175" s="110"/>
      <c r="J175" s="110"/>
      <c r="K175" s="110"/>
      <c r="L175" s="110"/>
      <c r="M175" s="110"/>
      <c r="N175" s="110"/>
      <c r="O175" s="110"/>
      <c r="P175" s="110"/>
      <c r="Q175" s="110"/>
      <c r="R175" s="110"/>
      <c r="S175" s="110"/>
      <c r="T175" s="110"/>
      <c r="U175" s="110"/>
    </row>
    <row r="176" spans="1:21">
      <c r="A176" s="3"/>
      <c r="B176" s="110"/>
      <c r="C176" s="110"/>
      <c r="D176" s="110"/>
      <c r="E176" s="110"/>
      <c r="F176" s="110"/>
      <c r="G176" s="110"/>
      <c r="H176" s="110"/>
      <c r="I176" s="110"/>
      <c r="J176" s="110"/>
      <c r="K176" s="110"/>
      <c r="L176" s="110"/>
      <c r="M176" s="110"/>
      <c r="N176" s="110"/>
      <c r="O176" s="110"/>
      <c r="P176" s="110"/>
      <c r="Q176" s="110"/>
      <c r="R176" s="110"/>
      <c r="S176" s="110"/>
      <c r="T176" s="110"/>
      <c r="U176" s="110"/>
    </row>
    <row r="177" spans="1:21">
      <c r="A177" s="3"/>
      <c r="B177" s="110"/>
      <c r="C177" s="110"/>
      <c r="D177" s="110"/>
      <c r="E177" s="110"/>
      <c r="F177" s="110"/>
      <c r="G177" s="110"/>
      <c r="H177" s="110"/>
      <c r="I177" s="110"/>
      <c r="J177" s="110"/>
      <c r="K177" s="110"/>
      <c r="L177" s="110"/>
      <c r="M177" s="110"/>
      <c r="N177" s="110"/>
      <c r="O177" s="110"/>
      <c r="P177" s="110"/>
      <c r="Q177" s="110"/>
      <c r="R177" s="110"/>
      <c r="S177" s="110"/>
      <c r="T177" s="110"/>
      <c r="U177" s="110"/>
    </row>
    <row r="178" spans="1:21">
      <c r="A178" s="3"/>
      <c r="B178" s="110"/>
      <c r="C178" s="110"/>
      <c r="D178" s="110"/>
      <c r="E178" s="110"/>
      <c r="F178" s="110"/>
      <c r="G178" s="110"/>
      <c r="H178" s="110"/>
      <c r="I178" s="110"/>
      <c r="J178" s="110"/>
      <c r="K178" s="110"/>
      <c r="L178" s="110"/>
      <c r="M178" s="110"/>
      <c r="N178" s="110"/>
      <c r="O178" s="110"/>
      <c r="P178" s="110"/>
      <c r="Q178" s="110"/>
      <c r="R178" s="110"/>
      <c r="S178" s="110"/>
      <c r="T178" s="110"/>
      <c r="U178" s="110"/>
    </row>
    <row r="179" spans="1:21">
      <c r="A179" s="3"/>
      <c r="B179" s="110"/>
      <c r="C179" s="110"/>
      <c r="D179" s="110"/>
      <c r="E179" s="110"/>
      <c r="F179" s="110"/>
      <c r="G179" s="110"/>
      <c r="H179" s="110"/>
      <c r="I179" s="110"/>
      <c r="J179" s="110"/>
      <c r="K179" s="110"/>
      <c r="L179" s="110"/>
      <c r="M179" s="110"/>
      <c r="N179" s="110"/>
      <c r="O179" s="110"/>
      <c r="P179" s="110"/>
      <c r="Q179" s="110"/>
      <c r="R179" s="110"/>
      <c r="S179" s="110"/>
      <c r="T179" s="110"/>
      <c r="U179" s="110"/>
    </row>
    <row r="180" spans="1:21">
      <c r="A180" s="3"/>
      <c r="B180" s="110"/>
      <c r="C180" s="110"/>
      <c r="D180" s="110"/>
      <c r="E180" s="110"/>
      <c r="F180" s="110"/>
      <c r="G180" s="110"/>
      <c r="H180" s="110"/>
      <c r="I180" s="110"/>
      <c r="J180" s="110"/>
      <c r="K180" s="110"/>
      <c r="L180" s="110"/>
      <c r="M180" s="110"/>
      <c r="N180" s="110"/>
      <c r="O180" s="110"/>
      <c r="P180" s="110"/>
      <c r="Q180" s="110"/>
      <c r="R180" s="110"/>
      <c r="S180" s="110"/>
      <c r="T180" s="110"/>
      <c r="U180" s="110"/>
    </row>
    <row r="181" spans="1:21">
      <c r="A181" s="3"/>
      <c r="B181" s="110"/>
      <c r="C181" s="110"/>
      <c r="D181" s="110"/>
      <c r="E181" s="110"/>
      <c r="F181" s="110"/>
      <c r="G181" s="110"/>
      <c r="H181" s="110"/>
      <c r="I181" s="110"/>
      <c r="J181" s="110"/>
      <c r="K181" s="110"/>
      <c r="L181" s="110"/>
      <c r="M181" s="110"/>
      <c r="N181" s="110"/>
      <c r="O181" s="110"/>
      <c r="P181" s="110"/>
      <c r="Q181" s="110"/>
      <c r="R181" s="110"/>
      <c r="S181" s="110"/>
      <c r="T181" s="110"/>
      <c r="U181" s="110"/>
    </row>
    <row r="182" spans="1:21">
      <c r="A182" s="3"/>
      <c r="B182" s="110"/>
      <c r="C182" s="110"/>
      <c r="D182" s="110"/>
      <c r="E182" s="110"/>
      <c r="F182" s="110"/>
      <c r="G182" s="110"/>
      <c r="H182" s="110"/>
      <c r="I182" s="110"/>
      <c r="J182" s="110"/>
      <c r="K182" s="110"/>
      <c r="L182" s="110"/>
      <c r="M182" s="110"/>
      <c r="N182" s="110"/>
      <c r="O182" s="110"/>
      <c r="P182" s="110"/>
      <c r="Q182" s="110"/>
      <c r="R182" s="110"/>
      <c r="S182" s="110"/>
      <c r="T182" s="110"/>
      <c r="U182" s="110"/>
    </row>
    <row r="183" spans="1:21">
      <c r="A183" s="3"/>
      <c r="B183" s="110"/>
      <c r="C183" s="110"/>
      <c r="D183" s="110"/>
      <c r="E183" s="110"/>
      <c r="F183" s="110"/>
      <c r="G183" s="110"/>
      <c r="H183" s="110"/>
      <c r="I183" s="110"/>
      <c r="J183" s="110"/>
      <c r="K183" s="110"/>
      <c r="L183" s="110"/>
      <c r="M183" s="110"/>
      <c r="N183" s="110"/>
      <c r="O183" s="110"/>
      <c r="P183" s="110"/>
      <c r="Q183" s="110"/>
      <c r="R183" s="110"/>
      <c r="S183" s="110"/>
      <c r="T183" s="110"/>
      <c r="U183" s="110"/>
    </row>
    <row r="184" spans="1:21">
      <c r="A184" s="3"/>
      <c r="B184" s="110"/>
      <c r="C184" s="110"/>
      <c r="D184" s="110"/>
      <c r="E184" s="110"/>
      <c r="F184" s="110"/>
      <c r="G184" s="110"/>
      <c r="H184" s="110"/>
      <c r="I184" s="110"/>
      <c r="J184" s="110"/>
      <c r="K184" s="110"/>
      <c r="L184" s="110"/>
      <c r="M184" s="110"/>
      <c r="N184" s="110"/>
      <c r="O184" s="110"/>
      <c r="P184" s="110"/>
      <c r="Q184" s="110"/>
      <c r="R184" s="110"/>
      <c r="S184" s="110"/>
      <c r="T184" s="110"/>
      <c r="U184" s="110"/>
    </row>
    <row r="185" spans="1:21">
      <c r="A185" s="3"/>
      <c r="B185" s="110"/>
      <c r="C185" s="110"/>
      <c r="D185" s="110"/>
      <c r="E185" s="110"/>
      <c r="F185" s="110"/>
      <c r="G185" s="110"/>
      <c r="H185" s="110"/>
      <c r="I185" s="110"/>
      <c r="J185" s="110"/>
      <c r="K185" s="110"/>
      <c r="L185" s="110"/>
      <c r="M185" s="110"/>
      <c r="N185" s="110"/>
      <c r="O185" s="110"/>
      <c r="P185" s="110"/>
      <c r="Q185" s="110"/>
      <c r="R185" s="110"/>
      <c r="S185" s="110"/>
      <c r="T185" s="110"/>
      <c r="U185" s="110"/>
    </row>
    <row r="186" spans="1:21">
      <c r="A186" s="3"/>
      <c r="B186" s="110"/>
      <c r="C186" s="110"/>
      <c r="D186" s="110"/>
      <c r="E186" s="110"/>
      <c r="F186" s="110"/>
      <c r="G186" s="110"/>
      <c r="H186" s="110"/>
      <c r="I186" s="110"/>
      <c r="J186" s="110"/>
      <c r="K186" s="110"/>
      <c r="L186" s="110"/>
      <c r="M186" s="110"/>
      <c r="N186" s="110"/>
      <c r="O186" s="110"/>
      <c r="P186" s="110"/>
      <c r="Q186" s="110"/>
      <c r="R186" s="110"/>
      <c r="S186" s="110"/>
      <c r="T186" s="110"/>
      <c r="U186" s="110"/>
    </row>
    <row r="187" spans="1:21">
      <c r="A187" s="3"/>
      <c r="B187" s="110"/>
      <c r="C187" s="110"/>
      <c r="D187" s="110"/>
      <c r="E187" s="110"/>
      <c r="F187" s="110"/>
      <c r="G187" s="110"/>
      <c r="H187" s="110"/>
      <c r="I187" s="110"/>
      <c r="J187" s="110"/>
      <c r="K187" s="110"/>
      <c r="L187" s="110"/>
      <c r="M187" s="110"/>
      <c r="N187" s="110"/>
      <c r="O187" s="110"/>
      <c r="P187" s="110"/>
      <c r="Q187" s="110"/>
      <c r="R187" s="110"/>
      <c r="S187" s="110"/>
      <c r="T187" s="110"/>
      <c r="U187" s="110"/>
    </row>
    <row r="188" spans="1:21">
      <c r="A188" s="3"/>
      <c r="B188" s="110"/>
      <c r="C188" s="110"/>
      <c r="D188" s="110"/>
      <c r="E188" s="110"/>
      <c r="F188" s="110"/>
      <c r="G188" s="110"/>
      <c r="H188" s="110"/>
      <c r="I188" s="110"/>
      <c r="J188" s="110"/>
      <c r="K188" s="110"/>
      <c r="L188" s="110"/>
      <c r="M188" s="110"/>
      <c r="N188" s="110"/>
      <c r="O188" s="110"/>
      <c r="P188" s="110"/>
      <c r="Q188" s="110"/>
      <c r="R188" s="110"/>
      <c r="S188" s="110"/>
      <c r="T188" s="110"/>
      <c r="U188" s="110"/>
    </row>
    <row r="189" spans="1:21">
      <c r="A189" s="3"/>
      <c r="B189" s="110"/>
      <c r="C189" s="110"/>
      <c r="D189" s="110"/>
      <c r="E189" s="110"/>
      <c r="F189" s="110"/>
      <c r="G189" s="110"/>
      <c r="H189" s="110"/>
      <c r="I189" s="110"/>
      <c r="J189" s="110"/>
      <c r="K189" s="110"/>
      <c r="L189" s="110"/>
      <c r="M189" s="110"/>
      <c r="N189" s="110"/>
      <c r="O189" s="110"/>
      <c r="P189" s="110"/>
      <c r="Q189" s="110"/>
      <c r="R189" s="110"/>
      <c r="S189" s="110"/>
      <c r="T189" s="110"/>
      <c r="U189" s="110"/>
    </row>
    <row r="190" spans="1:21">
      <c r="A190" s="3"/>
      <c r="B190" s="110"/>
      <c r="C190" s="110"/>
      <c r="D190" s="110"/>
      <c r="E190" s="110"/>
      <c r="F190" s="110"/>
      <c r="G190" s="110"/>
      <c r="H190" s="110"/>
      <c r="I190" s="110"/>
      <c r="J190" s="110"/>
      <c r="K190" s="110"/>
      <c r="L190" s="110"/>
      <c r="M190" s="110"/>
      <c r="N190" s="110"/>
      <c r="O190" s="110"/>
      <c r="P190" s="110"/>
      <c r="Q190" s="110"/>
      <c r="R190" s="110"/>
      <c r="S190" s="110"/>
      <c r="T190" s="110"/>
      <c r="U190" s="110"/>
    </row>
    <row r="191" spans="1:21">
      <c r="A191" s="3"/>
      <c r="B191" s="110"/>
      <c r="C191" s="110"/>
      <c r="D191" s="110"/>
      <c r="E191" s="110"/>
      <c r="F191" s="110"/>
      <c r="G191" s="110"/>
      <c r="H191" s="110"/>
      <c r="I191" s="110"/>
      <c r="J191" s="110"/>
      <c r="K191" s="110"/>
      <c r="L191" s="110"/>
      <c r="M191" s="110"/>
      <c r="N191" s="110"/>
      <c r="O191" s="110"/>
      <c r="P191" s="110"/>
      <c r="Q191" s="110"/>
      <c r="R191" s="110"/>
      <c r="S191" s="110"/>
      <c r="T191" s="110"/>
      <c r="U191" s="110"/>
    </row>
    <row r="192" spans="1:21">
      <c r="A192" s="3"/>
      <c r="B192" s="110"/>
      <c r="C192" s="110"/>
      <c r="D192" s="110"/>
      <c r="E192" s="110"/>
      <c r="F192" s="110"/>
      <c r="G192" s="110"/>
      <c r="H192" s="110"/>
      <c r="I192" s="110"/>
      <c r="J192" s="110"/>
      <c r="K192" s="110"/>
      <c r="L192" s="110"/>
      <c r="M192" s="110"/>
      <c r="N192" s="110"/>
      <c r="O192" s="110"/>
      <c r="P192" s="110"/>
      <c r="Q192" s="110"/>
      <c r="R192" s="110"/>
      <c r="S192" s="110"/>
      <c r="T192" s="110"/>
      <c r="U192" s="110"/>
    </row>
    <row r="193" spans="1:21">
      <c r="A193" s="3"/>
      <c r="B193" s="110"/>
      <c r="C193" s="110"/>
      <c r="D193" s="110"/>
      <c r="E193" s="110"/>
      <c r="F193" s="110"/>
      <c r="G193" s="110"/>
      <c r="H193" s="110"/>
      <c r="I193" s="110"/>
      <c r="J193" s="110"/>
      <c r="K193" s="110"/>
      <c r="L193" s="110"/>
      <c r="M193" s="110"/>
      <c r="N193" s="110"/>
      <c r="O193" s="110"/>
      <c r="P193" s="110"/>
      <c r="Q193" s="110"/>
      <c r="R193" s="110"/>
      <c r="S193" s="110"/>
      <c r="T193" s="110"/>
      <c r="U193" s="110"/>
    </row>
    <row r="194" spans="1:21">
      <c r="A194" s="3"/>
      <c r="B194" s="110"/>
      <c r="C194" s="110"/>
      <c r="D194" s="110"/>
      <c r="E194" s="110"/>
      <c r="F194" s="110"/>
      <c r="G194" s="110"/>
      <c r="H194" s="110"/>
      <c r="I194" s="110"/>
      <c r="J194" s="110"/>
      <c r="K194" s="110"/>
      <c r="L194" s="110"/>
      <c r="M194" s="110"/>
      <c r="N194" s="110"/>
      <c r="O194" s="110"/>
      <c r="P194" s="110"/>
      <c r="Q194" s="110"/>
      <c r="R194" s="110"/>
      <c r="S194" s="110"/>
      <c r="T194" s="110"/>
      <c r="U194" s="110"/>
    </row>
    <row r="195" spans="1:21">
      <c r="A195" s="3"/>
      <c r="B195" s="110"/>
      <c r="C195" s="110"/>
      <c r="D195" s="110"/>
      <c r="E195" s="110"/>
      <c r="F195" s="110"/>
      <c r="G195" s="110"/>
      <c r="H195" s="110"/>
      <c r="I195" s="110"/>
      <c r="J195" s="110"/>
      <c r="K195" s="110"/>
      <c r="L195" s="110"/>
      <c r="M195" s="110"/>
      <c r="N195" s="110"/>
      <c r="O195" s="110"/>
      <c r="P195" s="110"/>
      <c r="Q195" s="110"/>
      <c r="R195" s="110"/>
      <c r="S195" s="110"/>
      <c r="T195" s="110"/>
      <c r="U195" s="110"/>
    </row>
    <row r="196" spans="1:21">
      <c r="A196" s="3"/>
      <c r="B196" s="110"/>
      <c r="C196" s="110"/>
      <c r="D196" s="110"/>
      <c r="E196" s="110"/>
      <c r="F196" s="110"/>
      <c r="G196" s="110"/>
      <c r="H196" s="110"/>
      <c r="I196" s="110"/>
      <c r="J196" s="110"/>
      <c r="K196" s="110"/>
      <c r="L196" s="110"/>
      <c r="M196" s="110"/>
      <c r="N196" s="110"/>
      <c r="O196" s="110"/>
      <c r="P196" s="110"/>
      <c r="Q196" s="110"/>
      <c r="R196" s="110"/>
      <c r="S196" s="110"/>
      <c r="T196" s="110"/>
      <c r="U196" s="110"/>
    </row>
    <row r="197" spans="1:21">
      <c r="A197" s="3"/>
      <c r="B197" s="110"/>
      <c r="C197" s="110"/>
      <c r="D197" s="110"/>
      <c r="E197" s="110"/>
      <c r="F197" s="110"/>
      <c r="G197" s="110"/>
      <c r="H197" s="110"/>
      <c r="I197" s="110"/>
      <c r="J197" s="110"/>
      <c r="K197" s="110"/>
      <c r="L197" s="110"/>
      <c r="M197" s="110"/>
      <c r="N197" s="110"/>
      <c r="O197" s="110"/>
      <c r="P197" s="110"/>
      <c r="Q197" s="110"/>
      <c r="R197" s="110"/>
      <c r="S197" s="110"/>
      <c r="T197" s="110"/>
      <c r="U197" s="110"/>
    </row>
    <row r="198" spans="1:21">
      <c r="A198" s="3"/>
      <c r="B198" s="110"/>
      <c r="C198" s="110"/>
      <c r="D198" s="110"/>
      <c r="E198" s="110"/>
      <c r="F198" s="110"/>
      <c r="G198" s="110"/>
      <c r="H198" s="110"/>
      <c r="I198" s="110"/>
      <c r="J198" s="110"/>
      <c r="K198" s="110"/>
      <c r="L198" s="110"/>
      <c r="M198" s="110"/>
      <c r="N198" s="110"/>
      <c r="O198" s="110"/>
      <c r="P198" s="110"/>
      <c r="Q198" s="110"/>
      <c r="R198" s="110"/>
      <c r="S198" s="110"/>
      <c r="T198" s="110"/>
      <c r="U198" s="110"/>
    </row>
    <row r="199" spans="1:21">
      <c r="A199" s="3"/>
      <c r="B199" s="110"/>
      <c r="C199" s="110"/>
      <c r="D199" s="110"/>
      <c r="E199" s="110"/>
      <c r="F199" s="110"/>
      <c r="G199" s="110"/>
      <c r="H199" s="110"/>
      <c r="I199" s="110"/>
      <c r="J199" s="110"/>
      <c r="K199" s="110"/>
      <c r="L199" s="110"/>
      <c r="M199" s="110"/>
      <c r="N199" s="110"/>
      <c r="O199" s="110"/>
      <c r="P199" s="110"/>
      <c r="Q199" s="110"/>
      <c r="R199" s="110"/>
      <c r="S199" s="110"/>
      <c r="T199" s="110"/>
      <c r="U199" s="110"/>
    </row>
    <row r="200" spans="1:21">
      <c r="A200" s="3"/>
      <c r="B200" s="110"/>
      <c r="C200" s="110"/>
      <c r="D200" s="110"/>
      <c r="E200" s="110"/>
      <c r="F200" s="110"/>
      <c r="G200" s="110"/>
      <c r="H200" s="110"/>
      <c r="I200" s="110"/>
      <c r="J200" s="110"/>
      <c r="K200" s="110"/>
      <c r="L200" s="110"/>
      <c r="M200" s="110"/>
      <c r="N200" s="110"/>
      <c r="O200" s="110"/>
      <c r="P200" s="110"/>
      <c r="Q200" s="110"/>
      <c r="R200" s="110"/>
      <c r="S200" s="110"/>
      <c r="T200" s="110"/>
      <c r="U200" s="110"/>
    </row>
    <row r="201" spans="1:21">
      <c r="A201" s="3"/>
      <c r="B201" s="110"/>
      <c r="C201" s="110"/>
      <c r="D201" s="110"/>
      <c r="E201" s="110"/>
      <c r="F201" s="110"/>
      <c r="G201" s="110"/>
      <c r="H201" s="110"/>
      <c r="I201" s="110"/>
      <c r="J201" s="110"/>
      <c r="K201" s="110"/>
      <c r="L201" s="110"/>
      <c r="M201" s="110"/>
      <c r="N201" s="110"/>
      <c r="O201" s="110"/>
      <c r="P201" s="110"/>
      <c r="Q201" s="110"/>
      <c r="R201" s="110"/>
      <c r="S201" s="110"/>
      <c r="T201" s="110"/>
      <c r="U201" s="110"/>
    </row>
    <row r="202" spans="1:21">
      <c r="A202" s="3"/>
      <c r="B202" s="110"/>
      <c r="C202" s="110"/>
      <c r="D202" s="110"/>
      <c r="E202" s="110"/>
      <c r="F202" s="110"/>
      <c r="G202" s="110"/>
      <c r="H202" s="110"/>
      <c r="I202" s="110"/>
      <c r="J202" s="110"/>
      <c r="K202" s="110"/>
      <c r="L202" s="110"/>
      <c r="M202" s="110"/>
      <c r="N202" s="110"/>
      <c r="O202" s="110"/>
      <c r="P202" s="110"/>
      <c r="Q202" s="110"/>
      <c r="R202" s="110"/>
      <c r="S202" s="110"/>
      <c r="T202" s="110"/>
      <c r="U202" s="110"/>
    </row>
    <row r="203" spans="1:21">
      <c r="A203" s="3"/>
      <c r="B203" s="110"/>
      <c r="C203" s="110"/>
      <c r="D203" s="110"/>
      <c r="E203" s="110"/>
      <c r="F203" s="110"/>
      <c r="G203" s="110"/>
      <c r="H203" s="110"/>
      <c r="I203" s="110"/>
      <c r="J203" s="110"/>
      <c r="K203" s="110"/>
      <c r="L203" s="110"/>
      <c r="M203" s="110"/>
      <c r="N203" s="110"/>
      <c r="O203" s="110"/>
      <c r="P203" s="110"/>
      <c r="Q203" s="110"/>
      <c r="R203" s="110"/>
      <c r="S203" s="110"/>
      <c r="T203" s="110"/>
      <c r="U203" s="110"/>
    </row>
    <row r="204" spans="1:21">
      <c r="A204" s="3"/>
      <c r="B204" s="110"/>
      <c r="C204" s="110"/>
      <c r="D204" s="110"/>
      <c r="E204" s="110"/>
      <c r="F204" s="110"/>
      <c r="G204" s="110"/>
      <c r="H204" s="110"/>
      <c r="I204" s="110"/>
      <c r="J204" s="110"/>
      <c r="K204" s="110"/>
      <c r="L204" s="110"/>
      <c r="M204" s="110"/>
      <c r="N204" s="110"/>
      <c r="O204" s="110"/>
      <c r="P204" s="110"/>
      <c r="Q204" s="110"/>
      <c r="R204" s="110"/>
      <c r="S204" s="110"/>
      <c r="T204" s="110"/>
      <c r="U204" s="110"/>
    </row>
    <row r="205" spans="1:21">
      <c r="A205" s="3"/>
      <c r="B205" s="110"/>
      <c r="C205" s="110"/>
      <c r="D205" s="110"/>
      <c r="E205" s="110"/>
      <c r="F205" s="110"/>
      <c r="G205" s="110"/>
      <c r="H205" s="110"/>
      <c r="I205" s="110"/>
      <c r="J205" s="110"/>
      <c r="K205" s="110"/>
      <c r="L205" s="110"/>
      <c r="M205" s="110"/>
      <c r="N205" s="110"/>
      <c r="O205" s="110"/>
      <c r="P205" s="110"/>
      <c r="Q205" s="110"/>
      <c r="R205" s="110"/>
      <c r="S205" s="110"/>
      <c r="T205" s="110"/>
      <c r="U205" s="110"/>
    </row>
    <row r="206" spans="1:21">
      <c r="A206" s="3"/>
      <c r="B206" s="110"/>
      <c r="C206" s="110"/>
      <c r="D206" s="110"/>
      <c r="E206" s="110"/>
      <c r="F206" s="110"/>
      <c r="G206" s="110"/>
      <c r="H206" s="110"/>
      <c r="I206" s="110"/>
      <c r="J206" s="110"/>
      <c r="K206" s="110"/>
      <c r="L206" s="110"/>
      <c r="M206" s="110"/>
      <c r="N206" s="110"/>
      <c r="O206" s="110"/>
      <c r="P206" s="110"/>
      <c r="Q206" s="110"/>
      <c r="R206" s="110"/>
      <c r="S206" s="110"/>
      <c r="T206" s="110"/>
      <c r="U206" s="110"/>
    </row>
    <row r="207" spans="1:21">
      <c r="A207" s="3"/>
      <c r="B207" s="110"/>
      <c r="C207" s="110"/>
      <c r="D207" s="110"/>
      <c r="E207" s="110"/>
      <c r="F207" s="110"/>
      <c r="G207" s="110"/>
      <c r="H207" s="110"/>
      <c r="I207" s="110"/>
      <c r="J207" s="110"/>
      <c r="K207" s="110"/>
      <c r="L207" s="110"/>
      <c r="M207" s="110"/>
      <c r="N207" s="110"/>
      <c r="O207" s="110"/>
      <c r="P207" s="110"/>
      <c r="Q207" s="110"/>
      <c r="R207" s="110"/>
      <c r="S207" s="110"/>
      <c r="T207" s="110"/>
      <c r="U207" s="110"/>
    </row>
    <row r="208" spans="1:21">
      <c r="A208" s="3"/>
      <c r="B208" s="110"/>
      <c r="C208" s="110"/>
      <c r="D208" s="110"/>
      <c r="E208" s="110"/>
      <c r="F208" s="110"/>
      <c r="G208" s="110"/>
      <c r="H208" s="110"/>
      <c r="I208" s="110"/>
      <c r="J208" s="110"/>
      <c r="K208" s="110"/>
      <c r="L208" s="110"/>
      <c r="M208" s="110"/>
      <c r="N208" s="110"/>
      <c r="O208" s="110"/>
      <c r="P208" s="110"/>
      <c r="Q208" s="110"/>
      <c r="R208" s="110"/>
      <c r="S208" s="110"/>
      <c r="T208" s="110"/>
      <c r="U208" s="110"/>
    </row>
    <row r="209" spans="1:21">
      <c r="A209" s="3"/>
      <c r="B209" s="110"/>
      <c r="C209" s="110"/>
      <c r="D209" s="110"/>
      <c r="E209" s="110"/>
      <c r="F209" s="110"/>
      <c r="G209" s="110"/>
      <c r="H209" s="110"/>
      <c r="I209" s="110"/>
      <c r="J209" s="110"/>
      <c r="K209" s="110"/>
      <c r="L209" s="110"/>
      <c r="M209" s="110"/>
      <c r="N209" s="110"/>
      <c r="O209" s="110"/>
      <c r="P209" s="110"/>
      <c r="Q209" s="110"/>
      <c r="R209" s="110"/>
      <c r="S209" s="110"/>
      <c r="T209" s="110"/>
      <c r="U209" s="110"/>
    </row>
    <row r="210" spans="1:21">
      <c r="A210" s="3"/>
      <c r="B210" s="110"/>
      <c r="C210" s="110"/>
      <c r="D210" s="110"/>
      <c r="E210" s="110"/>
      <c r="F210" s="110"/>
      <c r="G210" s="110"/>
      <c r="H210" s="110"/>
      <c r="I210" s="110"/>
      <c r="J210" s="110"/>
      <c r="K210" s="110"/>
      <c r="L210" s="110"/>
      <c r="M210" s="110"/>
      <c r="N210" s="110"/>
      <c r="O210" s="110"/>
      <c r="P210" s="110"/>
      <c r="Q210" s="110"/>
      <c r="R210" s="110"/>
      <c r="S210" s="110"/>
      <c r="T210" s="110"/>
      <c r="U210" s="110"/>
    </row>
    <row r="211" spans="1:21">
      <c r="A211" s="3"/>
      <c r="B211" s="110"/>
      <c r="C211" s="110"/>
      <c r="D211" s="110"/>
      <c r="E211" s="110"/>
      <c r="F211" s="110"/>
      <c r="G211" s="110"/>
      <c r="H211" s="110"/>
      <c r="I211" s="110"/>
      <c r="J211" s="110"/>
      <c r="K211" s="110"/>
      <c r="L211" s="110"/>
      <c r="M211" s="110"/>
      <c r="N211" s="110"/>
      <c r="O211" s="110"/>
      <c r="P211" s="110"/>
      <c r="Q211" s="110"/>
      <c r="R211" s="110"/>
      <c r="S211" s="110"/>
      <c r="T211" s="110"/>
      <c r="U211" s="110"/>
    </row>
    <row r="212" spans="1:21">
      <c r="A212" s="3"/>
      <c r="B212" s="110"/>
      <c r="C212" s="110"/>
      <c r="D212" s="110"/>
      <c r="E212" s="110"/>
      <c r="F212" s="110"/>
      <c r="G212" s="110"/>
      <c r="H212" s="110"/>
      <c r="I212" s="110"/>
      <c r="J212" s="110"/>
      <c r="K212" s="110"/>
      <c r="L212" s="110"/>
      <c r="M212" s="110"/>
      <c r="N212" s="110"/>
      <c r="O212" s="110"/>
      <c r="P212" s="110"/>
      <c r="Q212" s="110"/>
      <c r="R212" s="110"/>
      <c r="S212" s="110"/>
      <c r="T212" s="110"/>
      <c r="U212" s="110"/>
    </row>
    <row r="213" spans="1:21">
      <c r="A213" s="3"/>
      <c r="B213" s="110"/>
      <c r="C213" s="110"/>
      <c r="D213" s="110"/>
      <c r="E213" s="110"/>
      <c r="F213" s="110"/>
      <c r="G213" s="110"/>
      <c r="H213" s="110"/>
      <c r="I213" s="110"/>
      <c r="J213" s="110"/>
      <c r="K213" s="110"/>
      <c r="L213" s="110"/>
      <c r="M213" s="110"/>
      <c r="N213" s="110"/>
      <c r="O213" s="110"/>
      <c r="P213" s="110"/>
      <c r="Q213" s="110"/>
      <c r="R213" s="110"/>
      <c r="S213" s="110"/>
      <c r="T213" s="110"/>
      <c r="U213" s="110"/>
    </row>
    <row r="214" spans="1:21">
      <c r="A214" s="3"/>
      <c r="B214" s="110"/>
      <c r="C214" s="110"/>
      <c r="D214" s="110"/>
      <c r="E214" s="110"/>
      <c r="F214" s="110"/>
      <c r="G214" s="110"/>
      <c r="H214" s="110"/>
      <c r="I214" s="110"/>
      <c r="J214" s="110"/>
      <c r="K214" s="110"/>
      <c r="L214" s="110"/>
      <c r="M214" s="110"/>
      <c r="N214" s="110"/>
      <c r="O214" s="110"/>
      <c r="P214" s="110"/>
      <c r="Q214" s="110"/>
      <c r="R214" s="110"/>
      <c r="S214" s="110"/>
      <c r="T214" s="110"/>
      <c r="U214" s="110"/>
    </row>
    <row r="215" spans="1:21">
      <c r="A215" s="3"/>
      <c r="B215" s="110"/>
      <c r="C215" s="110"/>
      <c r="D215" s="110"/>
      <c r="E215" s="110"/>
      <c r="F215" s="110"/>
      <c r="G215" s="110"/>
      <c r="H215" s="110"/>
      <c r="I215" s="110"/>
      <c r="J215" s="110"/>
      <c r="K215" s="110"/>
      <c r="L215" s="110"/>
      <c r="M215" s="110"/>
      <c r="N215" s="110"/>
      <c r="O215" s="110"/>
      <c r="P215" s="110"/>
      <c r="Q215" s="110"/>
      <c r="R215" s="110"/>
      <c r="S215" s="110"/>
      <c r="T215" s="110"/>
      <c r="U215" s="110"/>
    </row>
    <row r="216" spans="1:21">
      <c r="A216" s="3"/>
      <c r="B216" s="110"/>
      <c r="C216" s="110"/>
      <c r="D216" s="110"/>
      <c r="E216" s="110"/>
      <c r="F216" s="110"/>
      <c r="G216" s="110"/>
      <c r="H216" s="110"/>
      <c r="I216" s="110"/>
      <c r="J216" s="110"/>
      <c r="K216" s="110"/>
      <c r="L216" s="110"/>
      <c r="M216" s="110"/>
      <c r="N216" s="110"/>
      <c r="O216" s="110"/>
      <c r="P216" s="110"/>
      <c r="Q216" s="110"/>
      <c r="R216" s="110"/>
      <c r="S216" s="110"/>
      <c r="T216" s="110"/>
      <c r="U216" s="110"/>
    </row>
    <row r="217" spans="1:21">
      <c r="A217" s="3"/>
      <c r="B217" s="110"/>
      <c r="C217" s="110"/>
      <c r="D217" s="110"/>
      <c r="E217" s="110"/>
      <c r="F217" s="110"/>
      <c r="G217" s="110"/>
      <c r="H217" s="110"/>
      <c r="I217" s="110"/>
      <c r="J217" s="110"/>
      <c r="K217" s="110"/>
      <c r="L217" s="110"/>
      <c r="M217" s="110"/>
      <c r="N217" s="110"/>
      <c r="O217" s="110"/>
      <c r="P217" s="110"/>
      <c r="Q217" s="110"/>
      <c r="R217" s="110"/>
      <c r="S217" s="110"/>
      <c r="T217" s="110"/>
      <c r="U217" s="110"/>
    </row>
    <row r="218" spans="1:21">
      <c r="A218" s="3"/>
      <c r="B218" s="110"/>
      <c r="C218" s="110"/>
      <c r="D218" s="110"/>
      <c r="E218" s="110"/>
      <c r="F218" s="110"/>
      <c r="G218" s="110"/>
      <c r="H218" s="110"/>
      <c r="I218" s="110"/>
      <c r="J218" s="110"/>
      <c r="K218" s="110"/>
      <c r="L218" s="110"/>
      <c r="M218" s="110"/>
      <c r="N218" s="110"/>
      <c r="O218" s="110"/>
      <c r="P218" s="110"/>
      <c r="Q218" s="110"/>
      <c r="R218" s="110"/>
      <c r="S218" s="110"/>
      <c r="T218" s="110"/>
      <c r="U218" s="110"/>
    </row>
    <row r="219" spans="1:21">
      <c r="A219" s="3"/>
      <c r="B219" s="110"/>
      <c r="C219" s="110"/>
      <c r="D219" s="110"/>
      <c r="E219" s="110"/>
      <c r="F219" s="110"/>
      <c r="G219" s="110"/>
      <c r="H219" s="110"/>
      <c r="I219" s="110"/>
      <c r="J219" s="110"/>
      <c r="K219" s="110"/>
      <c r="L219" s="110"/>
      <c r="M219" s="110"/>
      <c r="N219" s="110"/>
      <c r="O219" s="110"/>
      <c r="P219" s="110"/>
      <c r="Q219" s="110"/>
      <c r="R219" s="110"/>
      <c r="S219" s="110"/>
      <c r="T219" s="110"/>
      <c r="U219" s="110"/>
    </row>
    <row r="220" spans="1:21">
      <c r="A220" s="3"/>
      <c r="B220" s="110"/>
      <c r="C220" s="110"/>
      <c r="D220" s="110"/>
      <c r="E220" s="110"/>
      <c r="F220" s="110"/>
      <c r="G220" s="110"/>
      <c r="H220" s="110"/>
      <c r="I220" s="110"/>
      <c r="J220" s="110"/>
      <c r="K220" s="110"/>
      <c r="L220" s="110"/>
      <c r="M220" s="110"/>
      <c r="N220" s="110"/>
      <c r="O220" s="110"/>
      <c r="P220" s="110"/>
      <c r="Q220" s="110"/>
      <c r="R220" s="110"/>
      <c r="S220" s="110"/>
      <c r="T220" s="110"/>
      <c r="U220" s="110"/>
    </row>
    <row r="221" spans="1:21">
      <c r="A221" s="3"/>
      <c r="B221" s="110"/>
      <c r="C221" s="110"/>
      <c r="D221" s="110"/>
      <c r="E221" s="110"/>
      <c r="F221" s="110"/>
      <c r="G221" s="110"/>
      <c r="H221" s="110"/>
      <c r="I221" s="110"/>
      <c r="J221" s="110"/>
      <c r="K221" s="110"/>
      <c r="L221" s="110"/>
      <c r="M221" s="110"/>
      <c r="N221" s="110"/>
      <c r="O221" s="110"/>
      <c r="P221" s="110"/>
      <c r="Q221" s="110"/>
      <c r="R221" s="110"/>
      <c r="S221" s="110"/>
      <c r="T221" s="110"/>
      <c r="U221" s="110"/>
    </row>
    <row r="222" spans="1:21">
      <c r="A222" s="3"/>
      <c r="B222" s="110"/>
      <c r="C222" s="110"/>
      <c r="D222" s="110"/>
      <c r="E222" s="110"/>
      <c r="F222" s="110"/>
      <c r="G222" s="110"/>
      <c r="H222" s="110"/>
      <c r="I222" s="110"/>
      <c r="J222" s="110"/>
      <c r="K222" s="110"/>
      <c r="L222" s="110"/>
      <c r="M222" s="110"/>
      <c r="N222" s="110"/>
      <c r="O222" s="110"/>
      <c r="P222" s="110"/>
      <c r="Q222" s="110"/>
      <c r="R222" s="110"/>
      <c r="S222" s="110"/>
      <c r="T222" s="110"/>
      <c r="U222" s="110"/>
    </row>
    <row r="223" spans="1:21">
      <c r="A223" s="3"/>
      <c r="B223" s="110"/>
      <c r="C223" s="110"/>
      <c r="D223" s="110"/>
      <c r="E223" s="110"/>
      <c r="F223" s="110"/>
      <c r="G223" s="110"/>
      <c r="H223" s="110"/>
      <c r="I223" s="110"/>
      <c r="J223" s="110"/>
      <c r="K223" s="110"/>
      <c r="L223" s="110"/>
      <c r="M223" s="110"/>
      <c r="N223" s="110"/>
      <c r="O223" s="110"/>
      <c r="P223" s="110"/>
      <c r="Q223" s="110"/>
      <c r="R223" s="110"/>
      <c r="S223" s="110"/>
      <c r="T223" s="110"/>
      <c r="U223" s="110"/>
    </row>
    <row r="224" spans="1:21">
      <c r="A224" s="3"/>
      <c r="B224" s="110"/>
      <c r="C224" s="110"/>
      <c r="D224" s="110"/>
      <c r="E224" s="110"/>
      <c r="F224" s="110"/>
      <c r="G224" s="110"/>
      <c r="H224" s="110"/>
      <c r="I224" s="110"/>
      <c r="J224" s="110"/>
      <c r="K224" s="110"/>
      <c r="L224" s="110"/>
      <c r="M224" s="110"/>
      <c r="N224" s="110"/>
      <c r="O224" s="110"/>
      <c r="P224" s="110"/>
      <c r="Q224" s="110"/>
      <c r="R224" s="110"/>
      <c r="S224" s="110"/>
      <c r="T224" s="110"/>
      <c r="U224" s="110"/>
    </row>
    <row r="225" spans="1:21">
      <c r="A225" s="3"/>
      <c r="B225" s="110"/>
      <c r="C225" s="110"/>
      <c r="D225" s="110"/>
      <c r="E225" s="110"/>
      <c r="F225" s="110"/>
      <c r="G225" s="110"/>
      <c r="H225" s="110"/>
      <c r="I225" s="110"/>
      <c r="J225" s="110"/>
      <c r="K225" s="110"/>
      <c r="L225" s="110"/>
      <c r="M225" s="110"/>
      <c r="N225" s="110"/>
      <c r="O225" s="110"/>
      <c r="P225" s="110"/>
      <c r="Q225" s="110"/>
      <c r="R225" s="110"/>
      <c r="S225" s="110"/>
      <c r="T225" s="110"/>
      <c r="U225" s="110"/>
    </row>
    <row r="226" spans="1:21">
      <c r="A226" s="3"/>
      <c r="B226" s="110"/>
      <c r="C226" s="110"/>
      <c r="D226" s="110"/>
      <c r="E226" s="110"/>
      <c r="F226" s="110"/>
      <c r="G226" s="110"/>
      <c r="H226" s="110"/>
      <c r="I226" s="110"/>
      <c r="J226" s="110"/>
      <c r="K226" s="110"/>
      <c r="L226" s="110"/>
      <c r="M226" s="110"/>
      <c r="N226" s="110"/>
      <c r="O226" s="110"/>
      <c r="P226" s="110"/>
      <c r="Q226" s="110"/>
      <c r="R226" s="110"/>
      <c r="S226" s="110"/>
      <c r="T226" s="110"/>
      <c r="U226" s="110"/>
    </row>
    <row r="227" spans="1:21">
      <c r="A227" s="3"/>
      <c r="B227" s="110"/>
      <c r="C227" s="110"/>
      <c r="D227" s="110"/>
      <c r="E227" s="110"/>
      <c r="F227" s="110"/>
      <c r="G227" s="110"/>
      <c r="H227" s="110"/>
      <c r="I227" s="110"/>
      <c r="J227" s="110"/>
      <c r="K227" s="110"/>
      <c r="L227" s="110"/>
      <c r="M227" s="110"/>
      <c r="N227" s="110"/>
      <c r="O227" s="110"/>
      <c r="P227" s="110"/>
      <c r="Q227" s="110"/>
      <c r="R227" s="110"/>
      <c r="S227" s="110"/>
      <c r="T227" s="110"/>
      <c r="U227" s="110"/>
    </row>
    <row r="228" spans="1:21">
      <c r="A228" s="3"/>
      <c r="B228" s="110"/>
      <c r="C228" s="110"/>
      <c r="D228" s="110"/>
      <c r="E228" s="110"/>
      <c r="F228" s="110"/>
      <c r="G228" s="110"/>
      <c r="H228" s="110"/>
      <c r="I228" s="110"/>
      <c r="J228" s="110"/>
      <c r="K228" s="110"/>
      <c r="L228" s="110"/>
      <c r="M228" s="110"/>
      <c r="N228" s="110"/>
      <c r="O228" s="110"/>
      <c r="P228" s="110"/>
      <c r="Q228" s="110"/>
      <c r="R228" s="110"/>
      <c r="S228" s="110"/>
      <c r="T228" s="110"/>
      <c r="U228" s="110"/>
    </row>
    <row r="229" spans="1:21">
      <c r="A229" s="3"/>
      <c r="B229" s="110"/>
      <c r="C229" s="110"/>
      <c r="D229" s="110"/>
      <c r="E229" s="110"/>
      <c r="F229" s="110"/>
      <c r="G229" s="110"/>
      <c r="H229" s="110"/>
      <c r="I229" s="110"/>
      <c r="J229" s="110"/>
      <c r="K229" s="110"/>
      <c r="L229" s="110"/>
      <c r="M229" s="110"/>
      <c r="N229" s="110"/>
      <c r="O229" s="110"/>
      <c r="P229" s="110"/>
      <c r="Q229" s="110"/>
      <c r="R229" s="110"/>
      <c r="S229" s="110"/>
      <c r="T229" s="110"/>
      <c r="U229" s="110"/>
    </row>
    <row r="230" spans="1:21">
      <c r="A230" s="3"/>
      <c r="B230" s="110"/>
      <c r="C230" s="110"/>
      <c r="D230" s="110"/>
      <c r="E230" s="110"/>
      <c r="F230" s="110"/>
      <c r="G230" s="110"/>
      <c r="H230" s="110"/>
      <c r="I230" s="110"/>
      <c r="J230" s="110"/>
      <c r="K230" s="110"/>
      <c r="L230" s="110"/>
      <c r="M230" s="110"/>
      <c r="N230" s="110"/>
      <c r="O230" s="110"/>
      <c r="P230" s="110"/>
      <c r="Q230" s="110"/>
      <c r="R230" s="110"/>
      <c r="S230" s="110"/>
      <c r="T230" s="110"/>
      <c r="U230" s="110"/>
    </row>
    <row r="231" spans="1:21">
      <c r="A231" s="3"/>
      <c r="B231" s="110"/>
      <c r="C231" s="110"/>
      <c r="D231" s="110"/>
      <c r="E231" s="110"/>
      <c r="F231" s="110"/>
      <c r="G231" s="110"/>
      <c r="H231" s="110"/>
      <c r="I231" s="110"/>
      <c r="J231" s="110"/>
      <c r="K231" s="110"/>
      <c r="L231" s="110"/>
      <c r="M231" s="110"/>
      <c r="N231" s="110"/>
      <c r="O231" s="110"/>
      <c r="P231" s="110"/>
      <c r="Q231" s="110"/>
      <c r="R231" s="110"/>
      <c r="S231" s="110"/>
      <c r="T231" s="110"/>
      <c r="U231" s="110"/>
    </row>
    <row r="232" spans="1:21">
      <c r="A232" s="3"/>
      <c r="B232" s="110"/>
      <c r="C232" s="110"/>
      <c r="D232" s="110"/>
      <c r="E232" s="110"/>
      <c r="F232" s="110"/>
      <c r="G232" s="110"/>
      <c r="H232" s="110"/>
      <c r="I232" s="110"/>
      <c r="J232" s="110"/>
      <c r="K232" s="110"/>
      <c r="L232" s="110"/>
      <c r="M232" s="110"/>
      <c r="N232" s="110"/>
      <c r="O232" s="110"/>
      <c r="P232" s="110"/>
      <c r="Q232" s="110"/>
      <c r="R232" s="110"/>
      <c r="S232" s="110"/>
      <c r="T232" s="110"/>
      <c r="U232" s="110"/>
    </row>
    <row r="233" spans="1:21">
      <c r="A233" s="3"/>
      <c r="B233" s="110"/>
      <c r="C233" s="110"/>
      <c r="D233" s="110"/>
      <c r="E233" s="110"/>
      <c r="F233" s="110"/>
      <c r="G233" s="110"/>
      <c r="H233" s="110"/>
      <c r="I233" s="110"/>
      <c r="J233" s="110"/>
      <c r="K233" s="110"/>
      <c r="L233" s="110"/>
      <c r="M233" s="110"/>
      <c r="N233" s="110"/>
      <c r="O233" s="110"/>
      <c r="P233" s="110"/>
      <c r="Q233" s="110"/>
      <c r="R233" s="110"/>
      <c r="S233" s="110"/>
      <c r="T233" s="110"/>
      <c r="U233" s="110"/>
    </row>
    <row r="234" spans="1:21">
      <c r="A234" s="3"/>
      <c r="B234" s="110"/>
      <c r="C234" s="110"/>
      <c r="D234" s="110"/>
      <c r="E234" s="110"/>
      <c r="F234" s="110"/>
      <c r="G234" s="110"/>
      <c r="H234" s="110"/>
      <c r="I234" s="110"/>
      <c r="J234" s="110"/>
      <c r="K234" s="110"/>
      <c r="L234" s="110"/>
      <c r="M234" s="110"/>
      <c r="N234" s="110"/>
      <c r="O234" s="110"/>
      <c r="P234" s="110"/>
      <c r="Q234" s="110"/>
      <c r="R234" s="110"/>
      <c r="S234" s="110"/>
      <c r="T234" s="110"/>
      <c r="U234" s="110"/>
    </row>
    <row r="235" spans="1:21">
      <c r="A235" s="3"/>
      <c r="B235" s="110"/>
      <c r="C235" s="110"/>
      <c r="D235" s="110"/>
      <c r="E235" s="110"/>
      <c r="F235" s="110"/>
      <c r="G235" s="110"/>
      <c r="H235" s="110"/>
      <c r="I235" s="110"/>
      <c r="J235" s="110"/>
      <c r="K235" s="110"/>
      <c r="L235" s="110"/>
      <c r="M235" s="110"/>
      <c r="N235" s="110"/>
      <c r="O235" s="110"/>
      <c r="P235" s="110"/>
      <c r="Q235" s="110"/>
      <c r="R235" s="110"/>
      <c r="S235" s="110"/>
      <c r="T235" s="110"/>
      <c r="U235" s="110"/>
    </row>
    <row r="236" spans="1:21">
      <c r="A236" s="3"/>
      <c r="B236" s="110"/>
      <c r="C236" s="110"/>
      <c r="D236" s="110"/>
      <c r="E236" s="110"/>
      <c r="F236" s="110"/>
      <c r="G236" s="110"/>
      <c r="H236" s="110"/>
      <c r="I236" s="110"/>
      <c r="J236" s="110"/>
      <c r="K236" s="110"/>
      <c r="L236" s="110"/>
      <c r="M236" s="110"/>
      <c r="N236" s="110"/>
      <c r="O236" s="110"/>
      <c r="P236" s="110"/>
      <c r="Q236" s="110"/>
      <c r="R236" s="110"/>
      <c r="S236" s="110"/>
      <c r="T236" s="110"/>
      <c r="U236" s="110"/>
    </row>
    <row r="237" spans="1:21">
      <c r="B237" s="110"/>
      <c r="C237" s="110"/>
      <c r="D237" s="110"/>
      <c r="E237" s="110"/>
      <c r="F237" s="110"/>
      <c r="G237" s="110"/>
      <c r="H237" s="110"/>
      <c r="I237" s="110"/>
      <c r="J237" s="110"/>
      <c r="K237" s="110"/>
      <c r="L237" s="110"/>
      <c r="M237" s="110"/>
      <c r="N237" s="110"/>
      <c r="O237" s="110"/>
      <c r="P237" s="110"/>
      <c r="Q237" s="110"/>
      <c r="R237" s="110"/>
      <c r="S237" s="110"/>
      <c r="T237" s="110"/>
      <c r="U237" s="110"/>
    </row>
    <row r="238" spans="1:21">
      <c r="B238" s="110"/>
      <c r="C238" s="110"/>
      <c r="D238" s="110"/>
      <c r="E238" s="110"/>
      <c r="F238" s="110"/>
      <c r="G238" s="110"/>
      <c r="H238" s="110"/>
      <c r="I238" s="110"/>
      <c r="J238" s="110"/>
      <c r="K238" s="110"/>
      <c r="L238" s="110"/>
      <c r="M238" s="110"/>
      <c r="N238" s="110"/>
      <c r="O238" s="110"/>
      <c r="P238" s="110"/>
      <c r="Q238" s="110"/>
      <c r="R238" s="110"/>
      <c r="S238" s="110"/>
      <c r="T238" s="110"/>
      <c r="U238" s="110"/>
    </row>
    <row r="239" spans="1:21">
      <c r="B239" s="110"/>
      <c r="C239" s="110"/>
      <c r="D239" s="110"/>
      <c r="E239" s="110"/>
      <c r="F239" s="110"/>
      <c r="G239" s="110"/>
      <c r="H239" s="110"/>
      <c r="I239" s="110"/>
      <c r="J239" s="110"/>
      <c r="K239" s="110"/>
      <c r="L239" s="110"/>
      <c r="M239" s="110"/>
      <c r="N239" s="110"/>
      <c r="O239" s="110"/>
      <c r="P239" s="110"/>
      <c r="Q239" s="110"/>
      <c r="R239" s="110"/>
      <c r="S239" s="110"/>
      <c r="T239" s="110"/>
      <c r="U239" s="110"/>
    </row>
    <row r="240" spans="1:21">
      <c r="B240" s="110"/>
      <c r="C240" s="110"/>
      <c r="D240" s="110"/>
      <c r="E240" s="110"/>
      <c r="F240" s="110"/>
      <c r="G240" s="110"/>
      <c r="H240" s="110"/>
      <c r="I240" s="110"/>
      <c r="J240" s="110"/>
      <c r="K240" s="110"/>
      <c r="L240" s="110"/>
      <c r="M240" s="110"/>
      <c r="N240" s="110"/>
      <c r="O240" s="110"/>
      <c r="P240" s="110"/>
      <c r="Q240" s="110"/>
      <c r="R240" s="110"/>
      <c r="S240" s="110"/>
      <c r="T240" s="110"/>
      <c r="U240" s="110"/>
    </row>
    <row r="241" spans="2:21">
      <c r="B241" s="110"/>
      <c r="C241" s="110"/>
      <c r="D241" s="110"/>
      <c r="E241" s="110"/>
      <c r="F241" s="110"/>
      <c r="G241" s="110"/>
      <c r="H241" s="110"/>
      <c r="I241" s="110"/>
      <c r="J241" s="110"/>
      <c r="K241" s="110"/>
      <c r="L241" s="110"/>
      <c r="M241" s="110"/>
      <c r="N241" s="110"/>
      <c r="O241" s="110"/>
      <c r="P241" s="110"/>
      <c r="Q241" s="110"/>
      <c r="R241" s="110"/>
      <c r="S241" s="110"/>
      <c r="T241" s="110"/>
      <c r="U241" s="110"/>
    </row>
    <row r="242" spans="2:21">
      <c r="B242" s="110"/>
      <c r="C242" s="110"/>
      <c r="D242" s="110"/>
      <c r="E242" s="110"/>
      <c r="F242" s="110"/>
      <c r="G242" s="110"/>
      <c r="H242" s="110"/>
      <c r="I242" s="110"/>
      <c r="J242" s="110"/>
      <c r="K242" s="110"/>
      <c r="L242" s="110"/>
      <c r="M242" s="110"/>
      <c r="N242" s="110"/>
      <c r="O242" s="110"/>
      <c r="P242" s="110"/>
      <c r="Q242" s="110"/>
      <c r="R242" s="110"/>
      <c r="S242" s="110"/>
      <c r="T242" s="110"/>
      <c r="U242" s="110"/>
    </row>
    <row r="243" spans="2:21">
      <c r="B243" s="110"/>
      <c r="C243" s="110"/>
      <c r="D243" s="110"/>
      <c r="E243" s="110"/>
      <c r="F243" s="110"/>
      <c r="G243" s="110"/>
      <c r="H243" s="110"/>
      <c r="I243" s="110"/>
      <c r="J243" s="110"/>
      <c r="K243" s="110"/>
      <c r="L243" s="110"/>
      <c r="M243" s="110"/>
      <c r="N243" s="110"/>
      <c r="O243" s="110"/>
      <c r="P243" s="110"/>
      <c r="Q243" s="110"/>
      <c r="R243" s="110"/>
      <c r="S243" s="110"/>
      <c r="T243" s="110"/>
      <c r="U243" s="110"/>
    </row>
    <row r="244" spans="2:21">
      <c r="B244" s="110"/>
      <c r="C244" s="110"/>
      <c r="D244" s="110"/>
      <c r="E244" s="110"/>
      <c r="F244" s="110"/>
      <c r="G244" s="110"/>
      <c r="H244" s="110"/>
      <c r="I244" s="110"/>
      <c r="J244" s="110"/>
      <c r="K244" s="110"/>
      <c r="L244" s="110"/>
      <c r="M244" s="110"/>
      <c r="N244" s="110"/>
      <c r="O244" s="110"/>
      <c r="P244" s="110"/>
      <c r="Q244" s="110"/>
      <c r="R244" s="110"/>
      <c r="S244" s="110"/>
      <c r="T244" s="110"/>
      <c r="U244" s="110"/>
    </row>
    <row r="245" spans="2:21">
      <c r="B245" s="110"/>
      <c r="C245" s="110"/>
      <c r="D245" s="110"/>
      <c r="E245" s="110"/>
      <c r="F245" s="110"/>
      <c r="G245" s="110"/>
      <c r="H245" s="110"/>
      <c r="I245" s="110"/>
      <c r="J245" s="110"/>
      <c r="K245" s="110"/>
      <c r="L245" s="110"/>
      <c r="M245" s="110"/>
      <c r="N245" s="110"/>
      <c r="O245" s="110"/>
      <c r="P245" s="110"/>
      <c r="Q245" s="110"/>
      <c r="R245" s="110"/>
      <c r="S245" s="110"/>
      <c r="T245" s="110"/>
      <c r="U245" s="110"/>
    </row>
    <row r="246" spans="2:21">
      <c r="B246" s="110"/>
      <c r="C246" s="110"/>
      <c r="D246" s="110"/>
      <c r="E246" s="110"/>
      <c r="F246" s="110"/>
      <c r="G246" s="110"/>
      <c r="H246" s="110"/>
      <c r="I246" s="110"/>
      <c r="J246" s="110"/>
      <c r="K246" s="110"/>
      <c r="L246" s="110"/>
      <c r="M246" s="110"/>
      <c r="N246" s="110"/>
      <c r="O246" s="110"/>
      <c r="P246" s="110"/>
      <c r="Q246" s="110"/>
      <c r="R246" s="110"/>
      <c r="S246" s="110"/>
      <c r="T246" s="110"/>
      <c r="U246" s="110"/>
    </row>
    <row r="247" spans="2:21">
      <c r="B247" s="110"/>
      <c r="C247" s="110"/>
      <c r="D247" s="110"/>
      <c r="E247" s="110"/>
      <c r="F247" s="110"/>
      <c r="G247" s="110"/>
      <c r="H247" s="110"/>
      <c r="I247" s="110"/>
      <c r="J247" s="110"/>
      <c r="K247" s="110"/>
      <c r="L247" s="110"/>
      <c r="M247" s="110"/>
      <c r="N247" s="110"/>
      <c r="O247" s="110"/>
      <c r="P247" s="110"/>
      <c r="Q247" s="110"/>
      <c r="R247" s="110"/>
      <c r="S247" s="110"/>
      <c r="T247" s="110"/>
      <c r="U247" s="110"/>
    </row>
  </sheetData>
  <mergeCells count="36">
    <mergeCell ref="E5:E7"/>
    <mergeCell ref="B8:B10"/>
    <mergeCell ref="C8:C10"/>
    <mergeCell ref="D8:D10"/>
    <mergeCell ref="E8:E10"/>
    <mergeCell ref="B5:B7"/>
    <mergeCell ref="C5:C7"/>
    <mergeCell ref="D5:D7"/>
    <mergeCell ref="H8:H10"/>
    <mergeCell ref="F5:F7"/>
    <mergeCell ref="G5:G7"/>
    <mergeCell ref="H5:H7"/>
    <mergeCell ref="F8:F10"/>
    <mergeCell ref="G8:G10"/>
    <mergeCell ref="K8:K10"/>
    <mergeCell ref="I5:I7"/>
    <mergeCell ref="J5:J7"/>
    <mergeCell ref="K5:K7"/>
    <mergeCell ref="L8:L10"/>
    <mergeCell ref="C57:F57"/>
    <mergeCell ref="I8:I10"/>
    <mergeCell ref="J8:J10"/>
    <mergeCell ref="B127:C127"/>
    <mergeCell ref="D1:G2"/>
    <mergeCell ref="B89:C89"/>
    <mergeCell ref="H89:I89"/>
    <mergeCell ref="N89:O89"/>
    <mergeCell ref="B108:C108"/>
    <mergeCell ref="H108:I108"/>
    <mergeCell ref="N108:O108"/>
    <mergeCell ref="G57:J57"/>
    <mergeCell ref="K57:N57"/>
    <mergeCell ref="B70:C70"/>
    <mergeCell ref="H70:I70"/>
    <mergeCell ref="N70:O70"/>
    <mergeCell ref="L5:L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3"/>
  <sheetViews>
    <sheetView topLeftCell="B16" zoomScale="84" zoomScaleNormal="84" workbookViewId="0">
      <selection activeCell="C13" sqref="C13"/>
    </sheetView>
  </sheetViews>
  <sheetFormatPr baseColWidth="10" defaultRowHeight="15"/>
  <cols>
    <col min="1" max="1" width="11.42578125" style="2"/>
    <col min="2" max="2" width="24.5703125" style="2" customWidth="1"/>
    <col min="3" max="3" width="19" style="2" bestFit="1" customWidth="1"/>
    <col min="4" max="4" width="17.28515625" style="2" bestFit="1" customWidth="1"/>
    <col min="5" max="6" width="17.140625" style="2" bestFit="1" customWidth="1"/>
    <col min="7" max="7" width="16.5703125" style="2" bestFit="1" customWidth="1"/>
    <col min="8" max="8" width="18.140625" style="2" bestFit="1" customWidth="1"/>
    <col min="9" max="9" width="18" style="2" bestFit="1" customWidth="1"/>
    <col min="10" max="10" width="18.140625" style="2" bestFit="1" customWidth="1"/>
    <col min="11" max="11" width="18" style="2" bestFit="1" customWidth="1"/>
    <col min="12" max="12" width="18.140625" style="2" bestFit="1" customWidth="1"/>
    <col min="13" max="16384" width="11.42578125" style="2"/>
  </cols>
  <sheetData>
    <row r="2" spans="2:12">
      <c r="B2" s="154" t="s">
        <v>145</v>
      </c>
      <c r="C2" s="154"/>
      <c r="D2" s="154"/>
      <c r="E2" s="154"/>
      <c r="F2" s="154"/>
      <c r="G2" s="154"/>
      <c r="H2" s="154"/>
      <c r="I2" s="154"/>
      <c r="J2" s="154"/>
      <c r="K2" s="154"/>
      <c r="L2" s="154"/>
    </row>
    <row r="3" spans="2:12">
      <c r="B3" s="154"/>
      <c r="C3" s="154"/>
      <c r="D3" s="154"/>
      <c r="E3" s="154"/>
      <c r="F3" s="154"/>
      <c r="G3" s="154"/>
      <c r="H3" s="154"/>
      <c r="I3" s="154"/>
      <c r="J3" s="154"/>
      <c r="K3" s="154"/>
      <c r="L3" s="154"/>
    </row>
    <row r="4" spans="2:12">
      <c r="B4" s="154"/>
      <c r="C4" s="154"/>
      <c r="D4" s="154"/>
      <c r="E4" s="154"/>
      <c r="F4" s="154"/>
      <c r="G4" s="154"/>
      <c r="H4" s="154"/>
      <c r="I4" s="154"/>
      <c r="J4" s="154"/>
      <c r="K4" s="154"/>
      <c r="L4" s="154"/>
    </row>
    <row r="8" spans="2:12" ht="15.75" thickBot="1"/>
    <row r="9" spans="2:12">
      <c r="B9" s="109" t="s">
        <v>135</v>
      </c>
      <c r="C9" s="107">
        <v>1</v>
      </c>
      <c r="D9" s="107">
        <v>2</v>
      </c>
      <c r="E9" s="107">
        <v>3</v>
      </c>
      <c r="F9" s="107">
        <v>4</v>
      </c>
      <c r="G9" s="107">
        <v>5</v>
      </c>
      <c r="H9" s="107">
        <v>6</v>
      </c>
      <c r="I9" s="107">
        <v>7</v>
      </c>
      <c r="J9" s="107">
        <v>8</v>
      </c>
      <c r="K9" s="107">
        <v>9</v>
      </c>
      <c r="L9" s="108">
        <v>10</v>
      </c>
    </row>
    <row r="10" spans="2:12">
      <c r="B10" s="85" t="s">
        <v>136</v>
      </c>
      <c r="C10" s="87">
        <f>Datos!G24</f>
        <v>1</v>
      </c>
      <c r="D10" s="87">
        <f>Datos!H24</f>
        <v>10000</v>
      </c>
      <c r="E10" s="87">
        <f>Datos!I24</f>
        <v>800</v>
      </c>
      <c r="F10" s="87">
        <f>Datos!J24</f>
        <v>300</v>
      </c>
      <c r="G10" s="87">
        <f>Datos!K24</f>
        <v>150300</v>
      </c>
      <c r="H10" s="87">
        <f>Datos!L24</f>
        <v>0</v>
      </c>
      <c r="I10" s="87">
        <f>Datos!M24</f>
        <v>0</v>
      </c>
      <c r="J10" s="87">
        <f>Datos!N24</f>
        <v>0</v>
      </c>
      <c r="K10" s="87">
        <f>Datos!O24</f>
        <v>0</v>
      </c>
      <c r="L10" s="87">
        <f>Datos!P24</f>
        <v>0</v>
      </c>
    </row>
    <row r="11" spans="2:12">
      <c r="B11" s="85" t="s">
        <v>141</v>
      </c>
      <c r="C11" s="87" t="str">
        <f>Datos!G23</f>
        <v>Año</v>
      </c>
      <c r="D11" s="87" t="str">
        <f>Datos!H23</f>
        <v>Unidades</v>
      </c>
      <c r="E11" s="87" t="str">
        <f>Datos!I23</f>
        <v>Precio p</v>
      </c>
      <c r="F11" s="87" t="str">
        <f>Datos!J23</f>
        <v>Costo variable (V)</v>
      </c>
      <c r="G11" s="87" t="str">
        <f>Datos!K23</f>
        <v>Costo fijo (F)</v>
      </c>
      <c r="H11" s="87">
        <f>Datos!L23</f>
        <v>0</v>
      </c>
      <c r="I11" s="87">
        <f>Datos!M23</f>
        <v>0</v>
      </c>
      <c r="J11" s="87">
        <f>Datos!N23</f>
        <v>0</v>
      </c>
      <c r="K11" s="87">
        <f>Datos!O23</f>
        <v>0</v>
      </c>
      <c r="L11" s="87">
        <f>Datos!P23</f>
        <v>0</v>
      </c>
    </row>
    <row r="12" spans="2:12" ht="15.75" thickBot="1">
      <c r="B12" s="86" t="s">
        <v>111</v>
      </c>
      <c r="C12" s="89">
        <f>Datos!G5</f>
        <v>10000</v>
      </c>
      <c r="D12" s="89">
        <f>Datos!H5</f>
        <v>10500</v>
      </c>
      <c r="E12" s="89">
        <f>Datos!I5</f>
        <v>11025</v>
      </c>
      <c r="F12" s="89">
        <f>Datos!J5</f>
        <v>11576.25</v>
      </c>
      <c r="G12" s="89">
        <f>Datos!K5</f>
        <v>12155.0625</v>
      </c>
      <c r="H12" s="89">
        <f>Datos!L5</f>
        <v>12762.815624999999</v>
      </c>
      <c r="I12" s="89">
        <f>Datos!M5</f>
        <v>13400.956406249999</v>
      </c>
      <c r="J12" s="89">
        <f>Datos!N5</f>
        <v>14071.0042265625</v>
      </c>
      <c r="K12" s="89">
        <f>Datos!O5</f>
        <v>14774.554437890625</v>
      </c>
      <c r="L12" s="89">
        <f>Datos!P5</f>
        <v>15513.282159785156</v>
      </c>
    </row>
    <row r="13" spans="2:12">
      <c r="B13" s="91" t="s">
        <v>148</v>
      </c>
      <c r="C13" s="87" t="e">
        <f>C10/(1-(C11/C12))</f>
        <v>#VALUE!</v>
      </c>
      <c r="D13" s="87" t="e">
        <f t="shared" ref="D13:L13" si="0">D10/(1-(D11/D12))</f>
        <v>#VALUE!</v>
      </c>
      <c r="E13" s="87" t="e">
        <f t="shared" si="0"/>
        <v>#VALUE!</v>
      </c>
      <c r="F13" s="87" t="e">
        <f t="shared" si="0"/>
        <v>#VALUE!</v>
      </c>
      <c r="G13" s="87" t="e">
        <f t="shared" si="0"/>
        <v>#VALUE!</v>
      </c>
      <c r="H13" s="87">
        <f t="shared" si="0"/>
        <v>0</v>
      </c>
      <c r="I13" s="87">
        <f t="shared" si="0"/>
        <v>0</v>
      </c>
      <c r="J13" s="87">
        <f t="shared" si="0"/>
        <v>0</v>
      </c>
      <c r="K13" s="87">
        <f t="shared" si="0"/>
        <v>0</v>
      </c>
      <c r="L13" s="87">
        <f t="shared" si="0"/>
        <v>0</v>
      </c>
    </row>
    <row r="14" spans="2:12" ht="15.75" thickBot="1">
      <c r="B14" s="91" t="s">
        <v>149</v>
      </c>
      <c r="C14" s="87" t="e">
        <f>C10/(C12-C11)</f>
        <v>#VALUE!</v>
      </c>
      <c r="D14" s="87" t="e">
        <f t="shared" ref="D14:L14" si="1">D10/(D12-D11)</f>
        <v>#VALUE!</v>
      </c>
      <c r="E14" s="87" t="e">
        <f t="shared" si="1"/>
        <v>#VALUE!</v>
      </c>
      <c r="F14" s="87" t="e">
        <f t="shared" si="1"/>
        <v>#VALUE!</v>
      </c>
      <c r="G14" s="87" t="e">
        <f t="shared" si="1"/>
        <v>#VALUE!</v>
      </c>
      <c r="H14" s="87">
        <f t="shared" si="1"/>
        <v>0</v>
      </c>
      <c r="I14" s="87">
        <f t="shared" si="1"/>
        <v>0</v>
      </c>
      <c r="J14" s="87">
        <f t="shared" si="1"/>
        <v>0</v>
      </c>
      <c r="K14" s="87">
        <f t="shared" si="1"/>
        <v>0</v>
      </c>
      <c r="L14" s="87">
        <f t="shared" si="1"/>
        <v>0</v>
      </c>
    </row>
    <row r="15" spans="2:12">
      <c r="B15" s="84" t="s">
        <v>139</v>
      </c>
      <c r="C15" s="92">
        <f>Datos!G5</f>
        <v>10000</v>
      </c>
      <c r="D15" s="92">
        <f>Datos!H5</f>
        <v>10500</v>
      </c>
      <c r="E15" s="92">
        <f>Datos!I5</f>
        <v>11025</v>
      </c>
      <c r="F15" s="92">
        <f>Datos!J5</f>
        <v>11576.25</v>
      </c>
      <c r="G15" s="92">
        <f>Datos!K5</f>
        <v>12155.0625</v>
      </c>
      <c r="H15" s="92">
        <f>Datos!L5</f>
        <v>12762.815624999999</v>
      </c>
      <c r="I15" s="92">
        <f>Datos!M5</f>
        <v>13400.956406249999</v>
      </c>
      <c r="J15" s="92">
        <f>Datos!N5</f>
        <v>14071.0042265625</v>
      </c>
      <c r="K15" s="92">
        <f>Datos!O5</f>
        <v>14774.554437890625</v>
      </c>
      <c r="L15" s="93">
        <f>Datos!P5</f>
        <v>15513.282159785156</v>
      </c>
    </row>
    <row r="16" spans="2:12">
      <c r="B16" s="85" t="s">
        <v>140</v>
      </c>
      <c r="C16" s="87">
        <f>C10*C15</f>
        <v>10000</v>
      </c>
      <c r="D16" s="87">
        <f t="shared" ref="D16:L16" si="2">D10*D15</f>
        <v>105000000</v>
      </c>
      <c r="E16" s="87">
        <f t="shared" si="2"/>
        <v>8820000</v>
      </c>
      <c r="F16" s="87">
        <f t="shared" si="2"/>
        <v>3472875</v>
      </c>
      <c r="G16" s="87">
        <f t="shared" si="2"/>
        <v>1826905893.75</v>
      </c>
      <c r="H16" s="87">
        <f t="shared" si="2"/>
        <v>0</v>
      </c>
      <c r="I16" s="87">
        <f t="shared" si="2"/>
        <v>0</v>
      </c>
      <c r="J16" s="87">
        <f t="shared" si="2"/>
        <v>0</v>
      </c>
      <c r="K16" s="87">
        <f t="shared" si="2"/>
        <v>0</v>
      </c>
      <c r="L16" s="88">
        <f t="shared" si="2"/>
        <v>0</v>
      </c>
    </row>
    <row r="17" spans="2:12">
      <c r="B17" s="85" t="s">
        <v>141</v>
      </c>
      <c r="C17" s="87">
        <f>C12*C15</f>
        <v>100000000</v>
      </c>
      <c r="D17" s="87">
        <f t="shared" ref="D17:L17" si="3">D12*D15</f>
        <v>110250000</v>
      </c>
      <c r="E17" s="87">
        <f t="shared" si="3"/>
        <v>121550625</v>
      </c>
      <c r="F17" s="87">
        <f t="shared" si="3"/>
        <v>134009564.0625</v>
      </c>
      <c r="G17" s="87">
        <f t="shared" si="3"/>
        <v>147745544.37890625</v>
      </c>
      <c r="H17" s="87">
        <f t="shared" si="3"/>
        <v>162889462.67774412</v>
      </c>
      <c r="I17" s="87">
        <f t="shared" si="3"/>
        <v>179585632.60221291</v>
      </c>
      <c r="J17" s="87">
        <f t="shared" si="3"/>
        <v>197993159.94393975</v>
      </c>
      <c r="K17" s="87">
        <f t="shared" si="3"/>
        <v>218287458.83819357</v>
      </c>
      <c r="L17" s="88">
        <f t="shared" si="3"/>
        <v>240661923.36910841</v>
      </c>
    </row>
    <row r="18" spans="2:12">
      <c r="B18" s="85" t="s">
        <v>142</v>
      </c>
      <c r="C18" s="87">
        <f>C16-C17</f>
        <v>-99990000</v>
      </c>
      <c r="D18" s="87">
        <f t="shared" ref="D18:L18" si="4">D16-D17</f>
        <v>-5250000</v>
      </c>
      <c r="E18" s="87">
        <f t="shared" si="4"/>
        <v>-112730625</v>
      </c>
      <c r="F18" s="87">
        <f t="shared" si="4"/>
        <v>-130536689.0625</v>
      </c>
      <c r="G18" s="87">
        <f t="shared" si="4"/>
        <v>1679160349.3710938</v>
      </c>
      <c r="H18" s="87">
        <f t="shared" si="4"/>
        <v>-162889462.67774412</v>
      </c>
      <c r="I18" s="87">
        <f t="shared" si="4"/>
        <v>-179585632.60221291</v>
      </c>
      <c r="J18" s="87">
        <f t="shared" si="4"/>
        <v>-197993159.94393975</v>
      </c>
      <c r="K18" s="87">
        <f t="shared" si="4"/>
        <v>-218287458.83819357</v>
      </c>
      <c r="L18" s="88">
        <f t="shared" si="4"/>
        <v>-240661923.36910841</v>
      </c>
    </row>
    <row r="19" spans="2:12">
      <c r="B19" s="85" t="s">
        <v>143</v>
      </c>
      <c r="C19" s="87" t="str">
        <f>C11</f>
        <v>Año</v>
      </c>
      <c r="D19" s="87" t="str">
        <f t="shared" ref="D19:K19" si="5">D11</f>
        <v>Unidades</v>
      </c>
      <c r="E19" s="87" t="str">
        <f t="shared" si="5"/>
        <v>Precio p</v>
      </c>
      <c r="F19" s="87" t="str">
        <f t="shared" si="5"/>
        <v>Costo variable (V)</v>
      </c>
      <c r="G19" s="87" t="str">
        <f t="shared" si="5"/>
        <v>Costo fijo (F)</v>
      </c>
      <c r="H19" s="87">
        <f t="shared" si="5"/>
        <v>0</v>
      </c>
      <c r="I19" s="87">
        <f t="shared" si="5"/>
        <v>0</v>
      </c>
      <c r="J19" s="87">
        <f t="shared" si="5"/>
        <v>0</v>
      </c>
      <c r="K19" s="87">
        <f t="shared" si="5"/>
        <v>0</v>
      </c>
      <c r="L19" s="87">
        <f>L11</f>
        <v>0</v>
      </c>
    </row>
    <row r="20" spans="2:12" ht="15.75" thickBot="1">
      <c r="B20" s="86" t="s">
        <v>144</v>
      </c>
      <c r="C20" s="89" t="e">
        <f>C18-C19</f>
        <v>#VALUE!</v>
      </c>
      <c r="D20" s="89" t="e">
        <f t="shared" ref="D20:K20" si="6">D18-D19</f>
        <v>#VALUE!</v>
      </c>
      <c r="E20" s="89" t="e">
        <f t="shared" si="6"/>
        <v>#VALUE!</v>
      </c>
      <c r="F20" s="89" t="e">
        <f t="shared" si="6"/>
        <v>#VALUE!</v>
      </c>
      <c r="G20" s="89" t="e">
        <f t="shared" si="6"/>
        <v>#VALUE!</v>
      </c>
      <c r="H20" s="89">
        <f t="shared" si="6"/>
        <v>-162889462.67774412</v>
      </c>
      <c r="I20" s="89">
        <f t="shared" si="6"/>
        <v>-179585632.60221291</v>
      </c>
      <c r="J20" s="89">
        <f t="shared" si="6"/>
        <v>-197993159.94393975</v>
      </c>
      <c r="K20" s="89">
        <f t="shared" si="6"/>
        <v>-218287458.83819357</v>
      </c>
      <c r="L20" s="90">
        <f>L18-L19</f>
        <v>-240661923.36910841</v>
      </c>
    </row>
    <row r="21" spans="2:12">
      <c r="B21" s="91"/>
      <c r="C21" s="87"/>
      <c r="D21" s="87"/>
      <c r="E21" s="87"/>
      <c r="F21" s="87"/>
      <c r="G21" s="87"/>
      <c r="H21" s="87"/>
      <c r="I21" s="87"/>
      <c r="J21" s="87"/>
      <c r="K21" s="87"/>
      <c r="L21" s="87"/>
    </row>
    <row r="22" spans="2:12" ht="15.75" thickBot="1">
      <c r="B22" s="91"/>
      <c r="C22" s="87"/>
      <c r="D22" s="87"/>
      <c r="E22" s="87"/>
      <c r="F22" s="87"/>
      <c r="G22" s="87"/>
      <c r="H22" s="87"/>
      <c r="I22" s="87"/>
      <c r="J22" s="87"/>
      <c r="K22" s="87"/>
      <c r="L22" s="87"/>
    </row>
    <row r="23" spans="2:12">
      <c r="B23" s="97" t="s">
        <v>146</v>
      </c>
      <c r="C23" s="98" t="s">
        <v>138</v>
      </c>
      <c r="D23" s="98" t="s">
        <v>147</v>
      </c>
      <c r="E23" s="99" t="s">
        <v>136</v>
      </c>
      <c r="F23" s="87"/>
      <c r="G23" s="87"/>
      <c r="H23" s="87"/>
      <c r="I23" s="87"/>
      <c r="J23" s="87"/>
      <c r="K23" s="87"/>
      <c r="L23" s="87"/>
    </row>
    <row r="24" spans="2:12">
      <c r="B24" s="100"/>
      <c r="C24" s="87"/>
      <c r="D24" s="87"/>
      <c r="E24" s="88"/>
      <c r="F24" s="87"/>
      <c r="G24" s="87"/>
      <c r="H24" s="87"/>
      <c r="I24" s="87"/>
      <c r="J24" s="87"/>
      <c r="K24" s="87"/>
      <c r="L24" s="87"/>
    </row>
    <row r="25" spans="2:12">
      <c r="B25" s="101">
        <f>C15</f>
        <v>10000</v>
      </c>
      <c r="C25" s="94">
        <f>C16</f>
        <v>10000</v>
      </c>
      <c r="D25" s="94" t="e">
        <f>C17+C19</f>
        <v>#VALUE!</v>
      </c>
      <c r="E25" s="102" t="str">
        <f>C$19</f>
        <v>Año</v>
      </c>
    </row>
    <row r="26" spans="2:12">
      <c r="B26" s="101">
        <f>D15</f>
        <v>10500</v>
      </c>
      <c r="C26" s="94">
        <f>D16</f>
        <v>105000000</v>
      </c>
      <c r="D26" s="94" t="e">
        <f>D17+D19</f>
        <v>#VALUE!</v>
      </c>
      <c r="E26" s="102" t="str">
        <f>D$19</f>
        <v>Unidades</v>
      </c>
      <c r="F26" s="1"/>
      <c r="G26" s="1"/>
      <c r="H26" s="1"/>
      <c r="I26" s="1"/>
      <c r="J26" s="1"/>
      <c r="K26" s="1"/>
      <c r="L26" s="1"/>
    </row>
    <row r="27" spans="2:12">
      <c r="B27" s="103">
        <f>E15</f>
        <v>11025</v>
      </c>
      <c r="C27" s="94">
        <f>E16</f>
        <v>8820000</v>
      </c>
      <c r="D27" s="94" t="e">
        <f>E17+E19</f>
        <v>#VALUE!</v>
      </c>
      <c r="E27" s="102" t="str">
        <f>E$19</f>
        <v>Precio p</v>
      </c>
      <c r="F27" s="94"/>
      <c r="G27" s="94"/>
      <c r="H27" s="94"/>
      <c r="I27" s="94"/>
      <c r="J27" s="94"/>
      <c r="K27" s="94"/>
      <c r="L27" s="94"/>
    </row>
    <row r="28" spans="2:12">
      <c r="B28" s="103">
        <f>F15</f>
        <v>11576.25</v>
      </c>
      <c r="C28" s="94">
        <f>F16</f>
        <v>3472875</v>
      </c>
      <c r="D28" s="94" t="e">
        <f>F17+F19</f>
        <v>#VALUE!</v>
      </c>
      <c r="E28" s="102" t="str">
        <f>F$19</f>
        <v>Costo variable (V)</v>
      </c>
      <c r="F28" s="94"/>
      <c r="G28" s="94"/>
      <c r="H28" s="94"/>
      <c r="I28" s="94"/>
      <c r="J28" s="94"/>
      <c r="K28" s="94"/>
      <c r="L28" s="94"/>
    </row>
    <row r="29" spans="2:12">
      <c r="B29" s="103">
        <f>G15</f>
        <v>12155.0625</v>
      </c>
      <c r="C29" s="94">
        <f>G16</f>
        <v>1826905893.75</v>
      </c>
      <c r="D29" s="94" t="e">
        <f>G17+G19</f>
        <v>#VALUE!</v>
      </c>
      <c r="E29" s="102" t="str">
        <f>G$19</f>
        <v>Costo fijo (F)</v>
      </c>
      <c r="F29" s="94"/>
      <c r="G29" s="94"/>
      <c r="H29" s="94"/>
      <c r="I29" s="94"/>
      <c r="J29" s="94"/>
      <c r="K29" s="94"/>
      <c r="L29" s="94"/>
    </row>
    <row r="30" spans="2:12">
      <c r="B30" s="103">
        <f>H15</f>
        <v>12762.815624999999</v>
      </c>
      <c r="C30" s="94">
        <f>H16</f>
        <v>0</v>
      </c>
      <c r="D30" s="94">
        <f>H17+H19</f>
        <v>162889462.67774412</v>
      </c>
      <c r="E30" s="102">
        <f>H$19</f>
        <v>0</v>
      </c>
      <c r="F30" s="1"/>
      <c r="G30" s="1"/>
      <c r="H30" s="1"/>
      <c r="I30" s="1"/>
      <c r="J30" s="1"/>
      <c r="K30" s="1"/>
      <c r="L30" s="1"/>
    </row>
    <row r="31" spans="2:12">
      <c r="B31" s="103">
        <f>I15</f>
        <v>13400.956406249999</v>
      </c>
      <c r="C31" s="94">
        <f>I16</f>
        <v>0</v>
      </c>
      <c r="D31" s="94">
        <f>I17+I19</f>
        <v>179585632.60221291</v>
      </c>
      <c r="E31" s="102">
        <f>I$19</f>
        <v>0</v>
      </c>
      <c r="F31" s="1"/>
      <c r="G31" s="1"/>
      <c r="H31" s="1"/>
      <c r="I31" s="1"/>
      <c r="J31" s="1"/>
      <c r="K31" s="1"/>
      <c r="L31" s="1"/>
    </row>
    <row r="32" spans="2:12">
      <c r="B32" s="101">
        <f>J15</f>
        <v>14071.0042265625</v>
      </c>
      <c r="C32" s="94">
        <f>J16</f>
        <v>0</v>
      </c>
      <c r="D32" s="94">
        <f>J17+J19</f>
        <v>197993159.94393975</v>
      </c>
      <c r="E32" s="102">
        <f>J$19</f>
        <v>0</v>
      </c>
      <c r="F32" s="1"/>
      <c r="G32" s="1"/>
      <c r="H32" s="1"/>
      <c r="I32" s="1"/>
      <c r="J32" s="1"/>
      <c r="K32" s="1"/>
      <c r="L32" s="1"/>
    </row>
    <row r="33" spans="2:12">
      <c r="B33" s="101">
        <f>K15</f>
        <v>14774.554437890625</v>
      </c>
      <c r="C33" s="94">
        <f>K16</f>
        <v>0</v>
      </c>
      <c r="D33" s="94">
        <f>K17+K19</f>
        <v>218287458.83819357</v>
      </c>
      <c r="E33" s="102">
        <f>K$19</f>
        <v>0</v>
      </c>
      <c r="F33" s="1"/>
      <c r="G33" s="1"/>
      <c r="H33" s="1"/>
      <c r="I33" s="1"/>
      <c r="J33" s="1"/>
      <c r="K33" s="1"/>
      <c r="L33" s="1"/>
    </row>
    <row r="34" spans="2:12" ht="15.75" thickBot="1">
      <c r="B34" s="104">
        <f>L15</f>
        <v>15513.282159785156</v>
      </c>
      <c r="C34" s="105">
        <f>L16</f>
        <v>0</v>
      </c>
      <c r="D34" s="105">
        <f>L17+L19</f>
        <v>240661923.36910841</v>
      </c>
      <c r="E34" s="106">
        <f>L$19</f>
        <v>0</v>
      </c>
      <c r="F34" s="1"/>
      <c r="G34" s="1"/>
      <c r="H34" s="1"/>
      <c r="I34" s="1"/>
      <c r="J34" s="1"/>
      <c r="K34" s="1"/>
      <c r="L34" s="1"/>
    </row>
    <row r="35" spans="2:12">
      <c r="B35" s="1"/>
      <c r="C35" s="94"/>
      <c r="D35" s="94"/>
      <c r="E35" s="94"/>
      <c r="F35" s="94"/>
      <c r="G35" s="94"/>
      <c r="H35" s="94"/>
      <c r="I35" s="94"/>
      <c r="J35" s="94"/>
      <c r="K35" s="94"/>
      <c r="L35" s="94"/>
    </row>
    <row r="36" spans="2:12">
      <c r="B36" s="1"/>
      <c r="C36" s="94"/>
      <c r="D36" s="94"/>
      <c r="E36" s="94"/>
      <c r="F36" s="94"/>
      <c r="G36" s="94"/>
      <c r="H36" s="94"/>
      <c r="I36" s="94"/>
      <c r="J36" s="94"/>
      <c r="K36" s="94"/>
      <c r="L36" s="94"/>
    </row>
    <row r="37" spans="2:12">
      <c r="B37" s="1"/>
      <c r="C37" s="152"/>
      <c r="D37" s="153"/>
      <c r="E37" s="153"/>
      <c r="F37" s="153"/>
      <c r="G37" s="153"/>
      <c r="H37" s="153"/>
      <c r="I37" s="153"/>
      <c r="J37" s="153"/>
      <c r="K37" s="153"/>
      <c r="L37" s="153"/>
    </row>
    <row r="38" spans="2:12">
      <c r="B38" s="1"/>
      <c r="C38" s="1"/>
      <c r="D38" s="1"/>
      <c r="E38" s="1"/>
      <c r="F38" s="1"/>
      <c r="G38" s="1"/>
      <c r="H38" s="1"/>
      <c r="I38" s="1"/>
      <c r="J38" s="1"/>
      <c r="K38" s="1"/>
      <c r="L38" s="1"/>
    </row>
    <row r="39" spans="2:12">
      <c r="B39" s="1"/>
      <c r="C39" s="1"/>
      <c r="D39" s="1"/>
      <c r="E39" s="1"/>
      <c r="F39" s="1"/>
      <c r="G39" s="1"/>
      <c r="H39" s="1"/>
      <c r="I39" s="1"/>
      <c r="J39" s="1"/>
      <c r="K39" s="1"/>
      <c r="L39" s="1"/>
    </row>
    <row r="40" spans="2:12">
      <c r="B40" s="1"/>
      <c r="C40" s="1"/>
      <c r="D40" s="1"/>
      <c r="E40" s="1"/>
      <c r="F40" s="1"/>
      <c r="G40" s="1"/>
      <c r="H40" s="1"/>
      <c r="I40" s="1"/>
      <c r="J40" s="1"/>
      <c r="K40" s="1"/>
      <c r="L40" s="1"/>
    </row>
    <row r="41" spans="2:12">
      <c r="B41" s="1"/>
      <c r="C41" s="1"/>
      <c r="D41" s="1"/>
      <c r="E41" s="1"/>
      <c r="F41" s="1"/>
      <c r="G41" s="1"/>
      <c r="H41" s="1"/>
      <c r="I41" s="1"/>
      <c r="J41" s="1"/>
      <c r="K41" s="1"/>
      <c r="L41" s="1"/>
    </row>
    <row r="42" spans="2:12">
      <c r="B42" s="1"/>
      <c r="C42" s="1"/>
      <c r="D42" s="1"/>
      <c r="E42" s="1"/>
      <c r="F42" s="1"/>
      <c r="G42" s="1"/>
      <c r="H42" s="1"/>
      <c r="I42" s="1"/>
      <c r="J42" s="1"/>
      <c r="K42" s="1"/>
      <c r="L42" s="1"/>
    </row>
    <row r="43" spans="2:12" ht="27.75" customHeight="1">
      <c r="B43" s="95"/>
      <c r="C43" s="96"/>
      <c r="D43" s="1"/>
      <c r="E43" s="1"/>
      <c r="F43" s="1"/>
      <c r="G43" s="1"/>
      <c r="H43" s="1"/>
      <c r="I43" s="1"/>
      <c r="J43" s="1"/>
      <c r="K43" s="1"/>
      <c r="L43" s="1"/>
    </row>
  </sheetData>
  <mergeCells count="2">
    <mergeCell ref="C37:L37"/>
    <mergeCell ref="B2: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8"/>
  <sheetViews>
    <sheetView topLeftCell="A13" workbookViewId="0">
      <pane xSplit="1" topLeftCell="G1" activePane="topRight" state="frozen"/>
      <selection pane="topRight" activeCell="M33" sqref="M33"/>
    </sheetView>
  </sheetViews>
  <sheetFormatPr baseColWidth="10" defaultRowHeight="15"/>
  <cols>
    <col min="1" max="1" width="26.5703125" style="2" customWidth="1"/>
    <col min="2" max="2" width="15.7109375" style="2" customWidth="1"/>
    <col min="3" max="3" width="15.85546875" style="2" customWidth="1"/>
    <col min="4" max="4" width="15.42578125" style="2" customWidth="1"/>
    <col min="5" max="5" width="16.140625" style="2" customWidth="1"/>
    <col min="6" max="11" width="15.140625" style="2" bestFit="1" customWidth="1"/>
    <col min="12" max="12" width="11.42578125" style="2"/>
    <col min="13" max="13" width="23.28515625" style="2" customWidth="1"/>
    <col min="14" max="14" width="11.5703125" style="2" customWidth="1"/>
    <col min="15" max="15" width="44.85546875" style="2" customWidth="1"/>
    <col min="16" max="16384" width="11.42578125" style="2"/>
  </cols>
  <sheetData>
    <row r="1" spans="1:39">
      <c r="A1" s="4"/>
      <c r="B1" s="4"/>
      <c r="C1" s="155" t="s">
        <v>86</v>
      </c>
      <c r="D1" s="155"/>
      <c r="E1" s="155"/>
      <c r="F1" s="155"/>
      <c r="G1" s="155"/>
      <c r="H1" s="155"/>
      <c r="I1" s="4"/>
      <c r="J1" s="4"/>
      <c r="K1" s="4"/>
      <c r="L1" s="4"/>
      <c r="M1" s="4"/>
      <c r="N1" s="4"/>
      <c r="O1" s="4"/>
      <c r="P1" s="4"/>
      <c r="Q1" s="4"/>
      <c r="R1" s="4"/>
      <c r="S1" s="4"/>
      <c r="T1" s="4"/>
      <c r="U1" s="4"/>
    </row>
    <row r="2" spans="1:39">
      <c r="A2" s="4"/>
      <c r="B2" s="4"/>
      <c r="C2" s="155"/>
      <c r="D2" s="155"/>
      <c r="E2" s="155"/>
      <c r="F2" s="155"/>
      <c r="G2" s="155"/>
      <c r="H2" s="155"/>
      <c r="I2" s="4"/>
      <c r="J2" s="4"/>
      <c r="K2" s="4"/>
      <c r="L2" s="4"/>
      <c r="M2" s="4"/>
      <c r="N2" s="4"/>
      <c r="O2" s="4"/>
      <c r="P2" s="4"/>
      <c r="Q2" s="4"/>
      <c r="R2" s="4"/>
      <c r="S2" s="4"/>
      <c r="T2" s="4"/>
      <c r="U2" s="4"/>
    </row>
    <row r="3" spans="1:39" s="4" customForma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spans="1:39">
      <c r="A4" s="21"/>
      <c r="B4" s="21">
        <v>1</v>
      </c>
      <c r="C4" s="21">
        <v>2</v>
      </c>
      <c r="D4" s="21">
        <v>3</v>
      </c>
      <c r="E4" s="21">
        <v>4</v>
      </c>
      <c r="F4" s="21">
        <v>5</v>
      </c>
      <c r="G4" s="21">
        <v>6</v>
      </c>
      <c r="H4" s="21">
        <v>7</v>
      </c>
      <c r="I4" s="21">
        <v>8</v>
      </c>
      <c r="J4" s="21">
        <v>9</v>
      </c>
      <c r="K4" s="21">
        <v>10</v>
      </c>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39">
      <c r="A5" s="36" t="s">
        <v>26</v>
      </c>
      <c r="B5" s="16">
        <f>Datos!G5*Datos!G7</f>
        <v>8000000</v>
      </c>
      <c r="C5" s="16">
        <f>Datos!H5*Datos!H7</f>
        <v>8820000</v>
      </c>
      <c r="D5" s="12">
        <f>Datos!I5*Datos!I7</f>
        <v>9724050</v>
      </c>
      <c r="E5" s="12">
        <f>Datos!J5*Datos!J7</f>
        <v>10720765.125</v>
      </c>
      <c r="F5" s="16">
        <f>Datos!K5*Datos!K7</f>
        <v>11819643.5503125</v>
      </c>
      <c r="G5" s="16">
        <f>Datos!L5*Datos!L7</f>
        <v>13031157.01421953</v>
      </c>
      <c r="H5" s="12">
        <f>Datos!M5*Datos!M7</f>
        <v>14366850.60817703</v>
      </c>
      <c r="I5" s="12">
        <f>Datos!N5*Datos!N7</f>
        <v>15839452.795515174</v>
      </c>
      <c r="J5" s="16">
        <f>Datos!O5*Datos!O7</f>
        <v>17462996.707055479</v>
      </c>
      <c r="K5" s="16">
        <f>Datos!P5*Datos!P7</f>
        <v>19252953.869528666</v>
      </c>
      <c r="L5" s="3"/>
      <c r="M5" s="3"/>
      <c r="N5" s="3"/>
      <c r="O5" s="3"/>
      <c r="P5" s="3"/>
      <c r="Q5" s="3"/>
      <c r="R5" s="3"/>
      <c r="S5" s="3"/>
      <c r="T5" s="3"/>
      <c r="U5" s="3"/>
      <c r="V5" s="3"/>
      <c r="W5" s="3"/>
      <c r="X5" s="3"/>
      <c r="Y5" s="3"/>
      <c r="Z5" s="3"/>
      <c r="AA5" s="3"/>
      <c r="AB5" s="3"/>
      <c r="AC5" s="3"/>
      <c r="AD5" s="3"/>
      <c r="AE5" s="3"/>
      <c r="AF5" s="3"/>
      <c r="AG5" s="3"/>
      <c r="AH5" s="3"/>
      <c r="AI5" s="3"/>
      <c r="AJ5" s="3"/>
      <c r="AK5" s="3"/>
      <c r="AL5" s="3"/>
      <c r="AM5" s="3"/>
    </row>
    <row r="6" spans="1:39">
      <c r="A6" s="36" t="s">
        <v>21</v>
      </c>
      <c r="B6" s="12">
        <f>B5-Datos!G8*Datos!G5</f>
        <v>1103448.2758620689</v>
      </c>
      <c r="C6" s="16">
        <f>C5-Datos!H5*Datos!H8</f>
        <v>1216551.7241379311</v>
      </c>
      <c r="D6" s="12">
        <f>D5-Datos!I5*Datos!I8</f>
        <v>1341248.2758620679</v>
      </c>
      <c r="E6" s="12">
        <f t="shared" ref="E6:K6" si="0">E5-E5/1.16</f>
        <v>1478726.2241379302</v>
      </c>
      <c r="F6" s="12">
        <f t="shared" si="0"/>
        <v>1630295.6621120684</v>
      </c>
      <c r="G6" s="12">
        <f t="shared" si="0"/>
        <v>1797400.9674785547</v>
      </c>
      <c r="H6" s="12">
        <f t="shared" si="0"/>
        <v>1981634.5666451063</v>
      </c>
      <c r="I6" s="12">
        <f t="shared" si="0"/>
        <v>2184752.1097262297</v>
      </c>
      <c r="J6" s="12">
        <f t="shared" si="0"/>
        <v>2408689.200973168</v>
      </c>
      <c r="K6" s="12">
        <f t="shared" si="0"/>
        <v>2655579.8440729175</v>
      </c>
      <c r="L6" s="3"/>
      <c r="M6" s="3"/>
      <c r="N6" s="3"/>
      <c r="O6" s="3"/>
      <c r="P6" s="3"/>
      <c r="Q6" s="3"/>
      <c r="R6" s="3"/>
      <c r="S6" s="3"/>
      <c r="T6" s="3"/>
      <c r="U6" s="3"/>
      <c r="V6" s="3"/>
      <c r="W6" s="3"/>
      <c r="X6" s="3"/>
      <c r="Y6" s="3"/>
      <c r="Z6" s="3"/>
      <c r="AA6" s="3"/>
      <c r="AB6" s="3"/>
      <c r="AC6" s="3"/>
      <c r="AD6" s="3"/>
      <c r="AE6" s="3"/>
      <c r="AF6" s="3"/>
      <c r="AG6" s="3"/>
      <c r="AH6" s="3"/>
      <c r="AI6" s="3"/>
      <c r="AJ6" s="3"/>
      <c r="AK6" s="3"/>
      <c r="AL6" s="3"/>
      <c r="AM6" s="3"/>
    </row>
    <row r="7" spans="1:39">
      <c r="A7" s="36" t="s">
        <v>73</v>
      </c>
      <c r="B7" s="12">
        <f t="shared" ref="B7:K7" si="1">B5-B6</f>
        <v>6896551.7241379311</v>
      </c>
      <c r="C7" s="16">
        <f t="shared" si="1"/>
        <v>7603448.2758620689</v>
      </c>
      <c r="D7" s="12">
        <f t="shared" si="1"/>
        <v>8382801.7241379321</v>
      </c>
      <c r="E7" s="12">
        <f t="shared" si="1"/>
        <v>9242038.9008620698</v>
      </c>
      <c r="F7" s="12">
        <f t="shared" si="1"/>
        <v>10189347.888200432</v>
      </c>
      <c r="G7" s="12">
        <f t="shared" si="1"/>
        <v>11233756.046740975</v>
      </c>
      <c r="H7" s="12">
        <f t="shared" si="1"/>
        <v>12385216.041531924</v>
      </c>
      <c r="I7" s="12">
        <f t="shared" si="1"/>
        <v>13654700.685788944</v>
      </c>
      <c r="J7" s="12">
        <f t="shared" si="1"/>
        <v>15054307.506082311</v>
      </c>
      <c r="K7" s="12">
        <f t="shared" si="1"/>
        <v>16597374.025455749</v>
      </c>
      <c r="L7" s="3"/>
      <c r="M7" s="3"/>
      <c r="N7" s="3"/>
      <c r="O7" s="3"/>
      <c r="P7" s="3"/>
      <c r="Q7" s="3"/>
      <c r="R7" s="3"/>
      <c r="S7" s="3"/>
      <c r="T7" s="3"/>
      <c r="U7" s="3"/>
      <c r="V7" s="3"/>
      <c r="W7" s="3"/>
      <c r="X7" s="3"/>
      <c r="Y7" s="3"/>
      <c r="Z7" s="3"/>
      <c r="AA7" s="3"/>
      <c r="AB7" s="3"/>
      <c r="AC7" s="3"/>
      <c r="AD7" s="3"/>
      <c r="AE7" s="3"/>
      <c r="AF7" s="3"/>
      <c r="AG7" s="3"/>
      <c r="AH7" s="3"/>
      <c r="AI7" s="3"/>
      <c r="AJ7" s="3"/>
      <c r="AK7" s="3"/>
      <c r="AL7" s="3"/>
      <c r="AM7" s="3"/>
    </row>
    <row r="8" spans="1:39">
      <c r="A8" s="36" t="s">
        <v>10</v>
      </c>
      <c r="B8" s="12">
        <f>Datos!G11*Datos!G5</f>
        <v>1200000</v>
      </c>
      <c r="C8" s="16">
        <f>Datos!H11*Datos!H5</f>
        <v>1360800</v>
      </c>
      <c r="D8" s="12">
        <f>Datos!I11*Datos!I5</f>
        <v>1543147.2</v>
      </c>
      <c r="E8" s="12">
        <f>Datos!J11*Datos!J5</f>
        <v>1749928.9247999999</v>
      </c>
      <c r="F8" s="12">
        <f>Datos!K11*Datos!K5</f>
        <v>1984419.4007232001</v>
      </c>
      <c r="G8" s="12">
        <f>Datos!L11*25000</f>
        <v>4407984.2303999998</v>
      </c>
      <c r="H8" s="12">
        <f>Datos!M11*25000</f>
        <v>4760622.9688320002</v>
      </c>
      <c r="I8" s="12">
        <f>Datos!N11*25000</f>
        <v>5141472.8063385598</v>
      </c>
      <c r="J8" s="12">
        <f>Datos!O11*25000</f>
        <v>5552790.6308456445</v>
      </c>
      <c r="K8" s="12">
        <f>Datos!P11*25000</f>
        <v>5997013.881313296</v>
      </c>
      <c r="L8" s="3"/>
      <c r="M8" s="3"/>
      <c r="N8" s="3"/>
      <c r="O8" s="3"/>
      <c r="P8" s="3"/>
      <c r="Q8" s="3"/>
      <c r="R8" s="3"/>
      <c r="S8" s="3"/>
      <c r="T8" s="3"/>
      <c r="U8" s="3"/>
      <c r="V8" s="3"/>
      <c r="W8" s="3"/>
      <c r="X8" s="3"/>
      <c r="Y8" s="3"/>
      <c r="Z8" s="3"/>
      <c r="AA8" s="3"/>
      <c r="AB8" s="3"/>
      <c r="AC8" s="3"/>
      <c r="AD8" s="3"/>
      <c r="AE8" s="3"/>
      <c r="AF8" s="3"/>
      <c r="AG8" s="3"/>
      <c r="AH8" s="3"/>
      <c r="AI8" s="3"/>
      <c r="AJ8" s="3"/>
      <c r="AK8" s="3"/>
      <c r="AL8" s="3"/>
      <c r="AM8" s="3"/>
    </row>
    <row r="9" spans="1:39">
      <c r="A9" s="36" t="s">
        <v>11</v>
      </c>
      <c r="B9" s="12">
        <f>Datos!G12*Datos!G5</f>
        <v>800000</v>
      </c>
      <c r="C9" s="16">
        <f>Datos!H12*Datos!H5</f>
        <v>907200.00000000012</v>
      </c>
      <c r="D9" s="12">
        <f>Datos!I12*Datos!I5</f>
        <v>1028764.8000000002</v>
      </c>
      <c r="E9" s="12">
        <f>Datos!J12*Datos!J5</f>
        <v>1166619.2832000002</v>
      </c>
      <c r="F9" s="12">
        <f>Datos!K12*Datos!K5</f>
        <v>1322946.2671488002</v>
      </c>
      <c r="G9" s="12">
        <f>Datos!L12*25000</f>
        <v>2938656.1536000003</v>
      </c>
      <c r="H9" s="12">
        <f>Datos!M12*25000</f>
        <v>3173748.6458880003</v>
      </c>
      <c r="I9" s="12">
        <f>Datos!N12*25000</f>
        <v>3427648.5375590404</v>
      </c>
      <c r="J9" s="12">
        <f>Datos!O12*25000</f>
        <v>3701860.4205637635</v>
      </c>
      <c r="K9" s="12">
        <f>Datos!P12*25000</f>
        <v>3998009.2542088646</v>
      </c>
      <c r="L9" s="3"/>
      <c r="M9" s="3"/>
      <c r="N9" s="3"/>
      <c r="O9" s="3"/>
      <c r="P9" s="3"/>
      <c r="Q9" s="3"/>
      <c r="R9" s="3"/>
      <c r="S9" s="3"/>
      <c r="T9" s="3"/>
      <c r="U9" s="3"/>
      <c r="V9" s="3"/>
      <c r="W9" s="3"/>
      <c r="X9" s="3"/>
      <c r="Y9" s="3"/>
      <c r="Z9" s="3"/>
      <c r="AA9" s="3"/>
      <c r="AB9" s="3"/>
      <c r="AC9" s="3"/>
      <c r="AD9" s="3"/>
      <c r="AE9" s="3"/>
      <c r="AF9" s="3"/>
      <c r="AG9" s="3"/>
      <c r="AH9" s="3"/>
      <c r="AI9" s="3"/>
      <c r="AJ9" s="3"/>
      <c r="AK9" s="3"/>
      <c r="AL9" s="3"/>
      <c r="AM9" s="3"/>
    </row>
    <row r="10" spans="1:39">
      <c r="A10" s="36" t="s">
        <v>12</v>
      </c>
      <c r="B10" s="12">
        <f>Datos!G13*Datos!G5</f>
        <v>500000</v>
      </c>
      <c r="C10" s="16">
        <f>Datos!H13*Datos!H5</f>
        <v>567000</v>
      </c>
      <c r="D10" s="12">
        <f>Datos!I13*Datos!I5</f>
        <v>642978</v>
      </c>
      <c r="E10" s="12">
        <f>Datos!J13*Datos!J5</f>
        <v>729137.05200000003</v>
      </c>
      <c r="F10" s="12">
        <f>Datos!K13*Datos!K5</f>
        <v>826841.41696799989</v>
      </c>
      <c r="G10" s="12">
        <f>Datos!L13*25000</f>
        <v>1836660.0959999999</v>
      </c>
      <c r="H10" s="12">
        <f>Datos!M13*25000</f>
        <v>1983592.90368</v>
      </c>
      <c r="I10" s="12">
        <f>Datos!N13*25000</f>
        <v>2142280.3359743999</v>
      </c>
      <c r="J10" s="12">
        <f>Datos!O13*25000</f>
        <v>2313662.7628523516</v>
      </c>
      <c r="K10" s="12">
        <f>Datos!P13*25000</f>
        <v>2498755.7838805397</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row>
    <row r="11" spans="1:39">
      <c r="A11" s="36" t="s">
        <v>13</v>
      </c>
      <c r="B11" s="12">
        <f>Datos!G14*Datos!G5</f>
        <v>500000</v>
      </c>
      <c r="C11" s="16">
        <f>Datos!H14*Datos!H5</f>
        <v>567000</v>
      </c>
      <c r="D11" s="12">
        <f>Datos!I14*Datos!I5</f>
        <v>642978</v>
      </c>
      <c r="E11" s="12">
        <f>Datos!J14*Datos!J5</f>
        <v>729137.05200000003</v>
      </c>
      <c r="F11" s="16">
        <f>Datos!K14*Datos!K5</f>
        <v>826841.41696799989</v>
      </c>
      <c r="G11" s="12">
        <f>Datos!L14*25000</f>
        <v>1836660.0959999999</v>
      </c>
      <c r="H11" s="12">
        <f>Datos!M14*25000</f>
        <v>1983592.90368</v>
      </c>
      <c r="I11" s="12">
        <f>Datos!N14*25000</f>
        <v>2142280.3359743999</v>
      </c>
      <c r="J11" s="12">
        <f>Datos!O14*25000</f>
        <v>2313662.7628523516</v>
      </c>
      <c r="K11" s="12">
        <f>Datos!P14*25000</f>
        <v>2498755.7838805397</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1:39">
      <c r="A12" s="36" t="s">
        <v>14</v>
      </c>
      <c r="B12" s="12">
        <f>Datos!G15</f>
        <v>150000</v>
      </c>
      <c r="C12" s="16">
        <f>Datos!H15</f>
        <v>162000</v>
      </c>
      <c r="D12" s="12">
        <f>Datos!I15</f>
        <v>174960</v>
      </c>
      <c r="E12" s="12">
        <f>Datos!J15</f>
        <v>188956.79999999999</v>
      </c>
      <c r="F12" s="16">
        <f>Datos!K15</f>
        <v>204073.34399999998</v>
      </c>
      <c r="G12" s="12">
        <f>Datos!L15</f>
        <v>220399.21151999998</v>
      </c>
      <c r="H12" s="12">
        <f>Datos!M15</f>
        <v>238031.14844159997</v>
      </c>
      <c r="I12" s="12">
        <f>Datos!N15</f>
        <v>257073.64031692798</v>
      </c>
      <c r="J12" s="12">
        <f>Datos!O15</f>
        <v>277639.5315422822</v>
      </c>
      <c r="K12" s="12">
        <f>Datos!P15</f>
        <v>299850.69406566478</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row>
    <row r="13" spans="1:39">
      <c r="A13" s="37" t="s">
        <v>76</v>
      </c>
      <c r="B13" s="16">
        <f>Datos!G10</f>
        <v>0</v>
      </c>
      <c r="C13" s="16">
        <f>Datos!H10</f>
        <v>0</v>
      </c>
      <c r="D13" s="16">
        <f>Datos!I10</f>
        <v>0</v>
      </c>
      <c r="E13" s="16">
        <f>Datos!J10</f>
        <v>0</v>
      </c>
      <c r="F13" s="16">
        <f>Datos!K10</f>
        <v>0</v>
      </c>
      <c r="G13" s="16">
        <f>Datos!L10</f>
        <v>0</v>
      </c>
      <c r="H13" s="16">
        <f>Datos!M10</f>
        <v>0</v>
      </c>
      <c r="I13" s="16">
        <f>Datos!N10</f>
        <v>0</v>
      </c>
      <c r="J13" s="16">
        <f>Datos!O10</f>
        <v>0</v>
      </c>
      <c r="K13" s="16">
        <f>Datos!P10</f>
        <v>0</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1:39">
      <c r="A14" s="36" t="s">
        <v>74</v>
      </c>
      <c r="B14" s="12">
        <f>B8+B9+B10+B11+B12+B13</f>
        <v>3150000</v>
      </c>
      <c r="C14" s="16">
        <f t="shared" ref="C14:K14" si="2">SUM(C8:C13)</f>
        <v>3564000</v>
      </c>
      <c r="D14" s="12">
        <f t="shared" si="2"/>
        <v>4032828</v>
      </c>
      <c r="E14" s="12">
        <f t="shared" si="2"/>
        <v>4563779.1119999997</v>
      </c>
      <c r="F14" s="12">
        <f t="shared" si="2"/>
        <v>5165121.8458080003</v>
      </c>
      <c r="G14" s="12">
        <f t="shared" si="2"/>
        <v>11240359.787520001</v>
      </c>
      <c r="H14" s="12">
        <f t="shared" si="2"/>
        <v>12139588.570521601</v>
      </c>
      <c r="I14" s="12">
        <f t="shared" si="2"/>
        <v>13110755.656163326</v>
      </c>
      <c r="J14" s="12">
        <f t="shared" si="2"/>
        <v>14159616.108656395</v>
      </c>
      <c r="K14" s="12">
        <f t="shared" si="2"/>
        <v>15292385.397348903</v>
      </c>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row>
    <row r="15" spans="1:39">
      <c r="A15" s="36" t="s">
        <v>27</v>
      </c>
      <c r="B15" s="16">
        <f>Datos!D10+Datos!D12</f>
        <v>196666.66666666666</v>
      </c>
      <c r="C15" s="16">
        <f t="shared" ref="C15:K15" si="3">B15</f>
        <v>196666.66666666666</v>
      </c>
      <c r="D15" s="12">
        <f t="shared" si="3"/>
        <v>196666.66666666666</v>
      </c>
      <c r="E15" s="12">
        <f t="shared" si="3"/>
        <v>196666.66666666666</v>
      </c>
      <c r="F15" s="12">
        <f t="shared" si="3"/>
        <v>196666.66666666666</v>
      </c>
      <c r="G15" s="12">
        <f>F15</f>
        <v>196666.66666666666</v>
      </c>
      <c r="H15" s="12">
        <f>G15</f>
        <v>196666.66666666666</v>
      </c>
      <c r="I15" s="12">
        <f t="shared" si="3"/>
        <v>196666.66666666666</v>
      </c>
      <c r="J15" s="12">
        <f t="shared" si="3"/>
        <v>196666.66666666666</v>
      </c>
      <c r="K15" s="12">
        <f t="shared" si="3"/>
        <v>196666.66666666666</v>
      </c>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1:39">
      <c r="A16" s="36" t="s">
        <v>28</v>
      </c>
      <c r="B16" s="16">
        <f t="shared" ref="B16:K16" si="4">B7-B14-B15</f>
        <v>3549885.0574712646</v>
      </c>
      <c r="C16" s="16">
        <f t="shared" si="4"/>
        <v>3842781.6091954024</v>
      </c>
      <c r="D16" s="12">
        <f t="shared" si="4"/>
        <v>4153307.0574712656</v>
      </c>
      <c r="E16" s="12">
        <f t="shared" si="4"/>
        <v>4481593.1221954031</v>
      </c>
      <c r="F16" s="12">
        <f t="shared" si="4"/>
        <v>4827559.3757257648</v>
      </c>
      <c r="G16" s="12">
        <f t="shared" si="4"/>
        <v>-203270.40744569214</v>
      </c>
      <c r="H16" s="12">
        <f t="shared" si="4"/>
        <v>48960.804343656957</v>
      </c>
      <c r="I16" s="12">
        <f t="shared" si="4"/>
        <v>347278.3629589522</v>
      </c>
      <c r="J16" s="12">
        <f t="shared" si="4"/>
        <v>698024.73075924942</v>
      </c>
      <c r="K16" s="12">
        <f t="shared" si="4"/>
        <v>1108321.9614401788</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row>
    <row r="17" spans="1:39">
      <c r="A17" s="36" t="s">
        <v>29</v>
      </c>
      <c r="B17" s="16">
        <f>Datos!G17*Datos!G5</f>
        <v>1000000</v>
      </c>
      <c r="C17" s="16">
        <f>Datos!H17*Datos!H5</f>
        <v>1102500</v>
      </c>
      <c r="D17" s="32">
        <f>Datos!I17*Datos!I5</f>
        <v>1215506.25</v>
      </c>
      <c r="E17" s="16">
        <f>Datos!J17*Datos!J5</f>
        <v>1340095.640625</v>
      </c>
      <c r="F17" s="16">
        <f>Datos!K17*Datos!K5</f>
        <v>1477455.4437890626</v>
      </c>
      <c r="G17" s="32">
        <f>Datos!L17*Datos!M5</f>
        <v>1710339.3581163133</v>
      </c>
      <c r="H17" s="16">
        <f>Datos!M17*25000</f>
        <v>3350239.1015624995</v>
      </c>
      <c r="I17" s="16">
        <f>Datos!N17*Datos!M5</f>
        <v>1885649.142323235</v>
      </c>
      <c r="J17" s="32">
        <f>Datos!O17*Datos!M5</f>
        <v>1979931.5994393968</v>
      </c>
      <c r="K17" s="16">
        <f>Datos!P17*Datos!M5</f>
        <v>2078928.1794113666</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row>
    <row r="18" spans="1:39">
      <c r="A18" s="36" t="s">
        <v>16</v>
      </c>
      <c r="B18" s="33">
        <f>Datos!G18*Datos!G5</f>
        <v>2000000</v>
      </c>
      <c r="C18" s="16">
        <f>Datos!H18*Datos!H5</f>
        <v>2205000</v>
      </c>
      <c r="D18" s="12">
        <f>Datos!I18*Datos!I5</f>
        <v>2431012.5</v>
      </c>
      <c r="E18" s="33">
        <f>Datos!J18*Datos!J5</f>
        <v>2680191.28125</v>
      </c>
      <c r="F18" s="16">
        <f>Datos!K18*Datos!K5</f>
        <v>2954910.8875781251</v>
      </c>
      <c r="G18" s="12">
        <f>Datos!L18*Datos!M5</f>
        <v>3420678.7162326267</v>
      </c>
      <c r="H18" s="33">
        <f>Datos!M18*25000</f>
        <v>6700478.2031249991</v>
      </c>
      <c r="I18" s="16">
        <f>Datos!N18*Datos!M5</f>
        <v>3771298.2846464701</v>
      </c>
      <c r="J18" s="12">
        <f>Datos!O18*Datos!M5</f>
        <v>3959863.1988787935</v>
      </c>
      <c r="K18" s="33">
        <f>Datos!P18*Datos!M5</f>
        <v>4157856.3588227332</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spans="1:39">
      <c r="A19" s="36" t="s">
        <v>75</v>
      </c>
      <c r="B19" s="16">
        <f t="shared" ref="B19:K19" si="5">B16-B17-B18</f>
        <v>549885.05747126462</v>
      </c>
      <c r="C19" s="16">
        <f t="shared" si="5"/>
        <v>535281.60919540236</v>
      </c>
      <c r="D19" s="12">
        <f t="shared" si="5"/>
        <v>506788.30747126555</v>
      </c>
      <c r="E19" s="12">
        <f t="shared" si="5"/>
        <v>461306.20032040309</v>
      </c>
      <c r="F19" s="12">
        <f t="shared" si="5"/>
        <v>395193.04435857711</v>
      </c>
      <c r="G19" s="12">
        <f t="shared" si="5"/>
        <v>-5334288.481794632</v>
      </c>
      <c r="H19" s="12">
        <f t="shared" si="5"/>
        <v>-10001756.500343841</v>
      </c>
      <c r="I19" s="12">
        <f t="shared" si="5"/>
        <v>-5309669.0640107524</v>
      </c>
      <c r="J19" s="12">
        <f>J16-J17-J18</f>
        <v>-5241770.0675589405</v>
      </c>
      <c r="K19" s="12">
        <f t="shared" si="5"/>
        <v>-5128462.5767939212</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row>
    <row r="20" spans="1:39">
      <c r="A20" s="36" t="s">
        <v>30</v>
      </c>
      <c r="B20" s="12">
        <f>B19*Datos!E36</f>
        <v>192459.7701149426</v>
      </c>
      <c r="C20" s="16">
        <f>C19*Datos!E36</f>
        <v>187348.5632183908</v>
      </c>
      <c r="D20" s="12">
        <f>D19*Datos!E36</f>
        <v>177375.90761494293</v>
      </c>
      <c r="E20" s="12">
        <f>E19*Datos!E36</f>
        <v>161457.17011214106</v>
      </c>
      <c r="F20" s="12">
        <f>F19*Datos!E36</f>
        <v>138317.56552550197</v>
      </c>
      <c r="G20" s="12">
        <f>G19*Datos!E35</f>
        <v>-1600286.5445383897</v>
      </c>
      <c r="H20" s="12">
        <f>H19*Datos!E35</f>
        <v>-3000526.9501031521</v>
      </c>
      <c r="I20" s="12">
        <f>I19*Datos!E36</f>
        <v>-1858384.1724037633</v>
      </c>
      <c r="J20" s="12">
        <f>J19*Datos!E36</f>
        <v>-1834619.5236456292</v>
      </c>
      <c r="K20" s="12">
        <f>K19*Datos!E36</f>
        <v>-1794961.9018778724</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row>
    <row r="21" spans="1:39">
      <c r="A21" s="36" t="s">
        <v>31</v>
      </c>
      <c r="B21" s="12">
        <f t="shared" ref="B21:K21" si="6">B19-B20</f>
        <v>357425.28735632205</v>
      </c>
      <c r="C21" s="16">
        <f t="shared" si="6"/>
        <v>347933.04597701156</v>
      </c>
      <c r="D21" s="12">
        <f t="shared" si="6"/>
        <v>329412.39985632262</v>
      </c>
      <c r="E21" s="12">
        <f t="shared" si="6"/>
        <v>299849.03020826203</v>
      </c>
      <c r="F21" s="12">
        <f t="shared" si="6"/>
        <v>256875.47883307515</v>
      </c>
      <c r="G21" s="12">
        <f t="shared" si="6"/>
        <v>-3734001.9372562421</v>
      </c>
      <c r="H21" s="12">
        <f t="shared" si="6"/>
        <v>-7001229.550240688</v>
      </c>
      <c r="I21" s="12">
        <f t="shared" si="6"/>
        <v>-3451284.8916069893</v>
      </c>
      <c r="J21" s="12">
        <f t="shared" si="6"/>
        <v>-3407150.5439133113</v>
      </c>
      <c r="K21" s="12">
        <f t="shared" si="6"/>
        <v>-3333500.6749160485</v>
      </c>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row>
    <row r="22" spans="1:39">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1:39">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row>
    <row r="24" spans="1:39">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1:39">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1:39">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1:39">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row>
    <row r="28" spans="1:39">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row>
    <row r="29" spans="1:3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row>
    <row r="30" spans="1:39">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1:39">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1:39">
      <c r="A32" s="3"/>
      <c r="B32" s="3"/>
      <c r="C32" s="3"/>
      <c r="D32" s="3"/>
      <c r="E32" s="3"/>
      <c r="F32" s="3"/>
      <c r="G32" s="3"/>
      <c r="H32" s="3"/>
      <c r="I32" s="3"/>
      <c r="J32" s="3"/>
      <c r="K32" s="3"/>
      <c r="L32" s="3"/>
      <c r="M32" s="3"/>
      <c r="N32" s="3"/>
      <c r="O32" s="3"/>
      <c r="P32" s="3"/>
      <c r="Q32" s="3"/>
    </row>
    <row r="33" spans="1:17">
      <c r="A33" s="3"/>
      <c r="B33" s="3"/>
      <c r="C33" s="3"/>
      <c r="D33" s="3"/>
      <c r="E33" s="3"/>
      <c r="F33" s="3"/>
      <c r="G33" s="3"/>
      <c r="H33" s="3"/>
      <c r="I33" s="3"/>
      <c r="J33" s="3"/>
      <c r="K33" s="3"/>
      <c r="L33" s="3"/>
      <c r="M33" s="3"/>
      <c r="N33" s="3"/>
      <c r="O33" s="3"/>
      <c r="P33" s="3"/>
      <c r="Q33" s="3"/>
    </row>
    <row r="34" spans="1:17">
      <c r="A34" s="3"/>
      <c r="B34" s="3"/>
      <c r="C34" s="3"/>
      <c r="D34" s="3"/>
      <c r="E34" s="3"/>
      <c r="F34" s="3"/>
      <c r="G34" s="3"/>
      <c r="H34" s="3"/>
      <c r="I34" s="3"/>
      <c r="J34" s="3"/>
      <c r="K34" s="3"/>
      <c r="L34" s="3"/>
      <c r="M34" s="3"/>
      <c r="N34" s="3"/>
      <c r="O34" s="3"/>
      <c r="P34" s="3"/>
      <c r="Q34" s="3"/>
    </row>
    <row r="35" spans="1:17">
      <c r="A35" s="3"/>
      <c r="B35" s="3"/>
      <c r="C35" s="3"/>
      <c r="D35" s="3"/>
      <c r="E35" s="3"/>
      <c r="F35" s="3"/>
      <c r="G35" s="3"/>
      <c r="H35" s="3"/>
      <c r="I35" s="3"/>
      <c r="J35" s="3"/>
      <c r="K35" s="3"/>
      <c r="L35" s="3"/>
      <c r="M35" s="3"/>
      <c r="N35" s="3"/>
      <c r="O35" s="3"/>
      <c r="P35" s="3"/>
      <c r="Q35" s="3"/>
    </row>
    <row r="36" spans="1:17">
      <c r="A36" s="3"/>
      <c r="B36" s="3"/>
      <c r="C36" s="3"/>
      <c r="D36" s="3"/>
      <c r="E36" s="3"/>
      <c r="F36" s="3"/>
      <c r="G36" s="3"/>
      <c r="H36" s="3"/>
      <c r="I36" s="3"/>
      <c r="J36" s="3"/>
      <c r="K36" s="3"/>
      <c r="L36" s="3"/>
      <c r="M36" s="3"/>
      <c r="N36" s="3"/>
      <c r="O36" s="3"/>
      <c r="P36" s="3"/>
      <c r="Q36" s="3"/>
    </row>
    <row r="37" spans="1:17">
      <c r="A37" s="3"/>
      <c r="B37" s="3"/>
      <c r="C37" s="3"/>
      <c r="D37" s="3"/>
      <c r="E37" s="3"/>
      <c r="F37" s="3"/>
      <c r="G37" s="3"/>
      <c r="H37" s="3"/>
      <c r="I37" s="3"/>
      <c r="J37" s="3"/>
      <c r="K37" s="3"/>
      <c r="L37" s="3"/>
      <c r="M37" s="3"/>
      <c r="N37" s="3"/>
      <c r="O37" s="3"/>
      <c r="P37" s="3"/>
      <c r="Q37" s="3"/>
    </row>
    <row r="38" spans="1:17">
      <c r="A38" s="3"/>
      <c r="B38" s="3"/>
      <c r="C38" s="3"/>
      <c r="D38" s="3"/>
      <c r="E38" s="3"/>
      <c r="F38" s="3"/>
      <c r="G38" s="3"/>
      <c r="H38" s="3"/>
      <c r="I38" s="3"/>
      <c r="J38" s="3"/>
      <c r="K38" s="3"/>
      <c r="L38" s="3"/>
      <c r="M38" s="3"/>
      <c r="N38" s="3"/>
      <c r="O38" s="3"/>
      <c r="P38" s="3"/>
      <c r="Q38" s="3"/>
    </row>
    <row r="39" spans="1:17">
      <c r="A39" s="3"/>
      <c r="B39" s="3"/>
      <c r="C39" s="3"/>
      <c r="D39" s="3"/>
      <c r="E39" s="3"/>
      <c r="F39" s="3"/>
      <c r="G39" s="3"/>
      <c r="H39" s="3"/>
      <c r="I39" s="3"/>
      <c r="J39" s="3"/>
      <c r="K39" s="3"/>
      <c r="L39" s="3"/>
      <c r="M39" s="3"/>
      <c r="N39" s="3"/>
      <c r="O39" s="3"/>
      <c r="P39" s="3"/>
      <c r="Q39" s="3"/>
    </row>
    <row r="40" spans="1:17">
      <c r="A40" s="3"/>
      <c r="B40" s="3"/>
      <c r="C40" s="3"/>
      <c r="D40" s="3"/>
      <c r="E40" s="3"/>
      <c r="F40" s="3"/>
      <c r="G40" s="3"/>
      <c r="H40" s="3"/>
      <c r="I40" s="3"/>
      <c r="J40" s="3"/>
      <c r="K40" s="3"/>
      <c r="L40" s="3"/>
      <c r="M40" s="3"/>
      <c r="N40" s="3"/>
      <c r="O40" s="3"/>
      <c r="P40" s="3"/>
      <c r="Q40" s="3"/>
    </row>
    <row r="41" spans="1:17">
      <c r="A41" s="3"/>
      <c r="B41" s="3"/>
      <c r="C41" s="3"/>
      <c r="D41" s="3"/>
      <c r="E41" s="3"/>
      <c r="F41" s="3"/>
      <c r="G41" s="3"/>
      <c r="H41" s="3"/>
      <c r="I41" s="3"/>
      <c r="J41" s="3"/>
      <c r="K41" s="3"/>
      <c r="L41" s="3"/>
      <c r="M41" s="3"/>
      <c r="N41" s="3"/>
      <c r="O41" s="3"/>
      <c r="P41" s="3"/>
      <c r="Q41" s="3"/>
    </row>
    <row r="42" spans="1:17">
      <c r="A42" s="3"/>
      <c r="B42" s="3"/>
      <c r="C42" s="3"/>
      <c r="D42" s="3"/>
      <c r="E42" s="3"/>
      <c r="F42" s="3"/>
      <c r="G42" s="3"/>
      <c r="H42" s="3"/>
      <c r="I42" s="3"/>
      <c r="J42" s="3"/>
      <c r="K42" s="3"/>
      <c r="L42" s="3"/>
      <c r="M42" s="3"/>
      <c r="N42" s="3"/>
      <c r="O42" s="3"/>
      <c r="P42" s="3"/>
      <c r="Q42" s="3"/>
    </row>
    <row r="43" spans="1:17">
      <c r="A43" s="3"/>
      <c r="B43" s="3"/>
      <c r="C43" s="3"/>
      <c r="D43" s="3"/>
      <c r="E43" s="3"/>
      <c r="F43" s="3"/>
      <c r="G43" s="3"/>
      <c r="H43" s="3"/>
      <c r="I43" s="3"/>
      <c r="J43" s="3"/>
      <c r="K43" s="3"/>
      <c r="L43" s="3"/>
      <c r="M43" s="3"/>
      <c r="N43" s="3"/>
      <c r="O43" s="3"/>
      <c r="P43" s="3"/>
      <c r="Q43" s="3"/>
    </row>
    <row r="44" spans="1:17">
      <c r="A44" s="3"/>
      <c r="B44" s="3"/>
      <c r="C44" s="3"/>
      <c r="D44" s="3"/>
      <c r="E44" s="3"/>
      <c r="F44" s="3"/>
      <c r="G44" s="3"/>
      <c r="H44" s="3"/>
      <c r="I44" s="3"/>
      <c r="J44" s="3"/>
      <c r="K44" s="3"/>
      <c r="L44" s="3"/>
      <c r="M44" s="3"/>
      <c r="N44" s="3"/>
      <c r="O44" s="3"/>
      <c r="P44" s="3"/>
      <c r="Q44" s="3"/>
    </row>
    <row r="45" spans="1:17">
      <c r="A45" s="3"/>
      <c r="B45" s="3"/>
      <c r="C45" s="3"/>
      <c r="D45" s="3"/>
      <c r="E45" s="3"/>
      <c r="F45" s="3"/>
      <c r="G45" s="3"/>
      <c r="H45" s="3"/>
      <c r="I45" s="3"/>
      <c r="J45" s="3"/>
      <c r="K45" s="3"/>
      <c r="L45" s="3"/>
      <c r="M45" s="3"/>
      <c r="N45" s="3"/>
      <c r="O45" s="3"/>
      <c r="P45" s="3"/>
      <c r="Q45" s="3"/>
    </row>
    <row r="46" spans="1:17">
      <c r="A46" s="3"/>
      <c r="B46" s="3"/>
      <c r="C46" s="3"/>
      <c r="D46" s="3"/>
      <c r="E46" s="3"/>
      <c r="F46" s="3"/>
      <c r="G46" s="3"/>
      <c r="H46" s="3"/>
      <c r="I46" s="3"/>
      <c r="J46" s="3"/>
      <c r="K46" s="3"/>
      <c r="L46" s="3"/>
      <c r="M46" s="3"/>
      <c r="N46" s="3"/>
      <c r="O46" s="3"/>
      <c r="P46" s="3"/>
      <c r="Q46" s="3"/>
    </row>
    <row r="47" spans="1:17">
      <c r="A47" s="3"/>
      <c r="B47" s="3"/>
      <c r="C47" s="3"/>
      <c r="D47" s="3"/>
      <c r="E47" s="3"/>
      <c r="F47" s="3"/>
      <c r="G47" s="3"/>
      <c r="H47" s="3"/>
      <c r="I47" s="3"/>
      <c r="J47" s="3"/>
      <c r="K47" s="3"/>
      <c r="L47" s="3"/>
      <c r="M47" s="3"/>
      <c r="N47" s="3"/>
      <c r="O47" s="3"/>
      <c r="P47" s="3"/>
      <c r="Q47" s="3"/>
    </row>
    <row r="48" spans="1:17">
      <c r="A48" s="3"/>
      <c r="B48" s="3"/>
      <c r="C48" s="3"/>
      <c r="D48" s="3"/>
      <c r="E48" s="3"/>
      <c r="F48" s="3"/>
      <c r="G48" s="3"/>
      <c r="H48" s="3"/>
      <c r="I48" s="3"/>
      <c r="J48" s="3"/>
      <c r="K48" s="3"/>
      <c r="L48" s="3"/>
      <c r="M48" s="3"/>
      <c r="N48" s="3"/>
      <c r="O48" s="3"/>
      <c r="P48" s="3"/>
      <c r="Q48" s="3"/>
    </row>
    <row r="49" spans="1:17">
      <c r="A49" s="3"/>
      <c r="B49" s="3"/>
      <c r="C49" s="3"/>
      <c r="D49" s="3"/>
      <c r="E49" s="3"/>
      <c r="F49" s="3"/>
      <c r="G49" s="3"/>
      <c r="H49" s="3"/>
      <c r="I49" s="3"/>
      <c r="J49" s="3"/>
      <c r="K49" s="3"/>
      <c r="L49" s="3"/>
      <c r="M49" s="3"/>
      <c r="N49" s="3"/>
      <c r="O49" s="3"/>
      <c r="P49" s="3"/>
      <c r="Q49" s="3"/>
    </row>
    <row r="50" spans="1:17">
      <c r="A50" s="3"/>
      <c r="B50" s="3"/>
      <c r="C50" s="3"/>
      <c r="D50" s="3"/>
      <c r="E50" s="3"/>
      <c r="F50" s="3"/>
      <c r="G50" s="3"/>
      <c r="H50" s="3"/>
      <c r="I50" s="3"/>
      <c r="J50" s="3"/>
      <c r="K50" s="3"/>
      <c r="L50" s="3"/>
      <c r="M50" s="3"/>
      <c r="N50" s="3"/>
      <c r="O50" s="3"/>
      <c r="P50" s="3"/>
      <c r="Q50" s="3"/>
    </row>
    <row r="51" spans="1:17">
      <c r="A51" s="3"/>
      <c r="B51" s="3"/>
      <c r="C51" s="3"/>
      <c r="D51" s="3"/>
      <c r="E51" s="3"/>
      <c r="F51" s="3"/>
      <c r="G51" s="3"/>
      <c r="H51" s="3"/>
      <c r="I51" s="3"/>
      <c r="J51" s="3"/>
      <c r="K51" s="3"/>
      <c r="L51" s="3"/>
      <c r="M51" s="3"/>
      <c r="N51" s="3"/>
      <c r="O51" s="3"/>
      <c r="P51" s="3"/>
      <c r="Q51" s="3"/>
    </row>
    <row r="52" spans="1:17">
      <c r="A52" s="3"/>
      <c r="B52" s="3"/>
      <c r="C52" s="3"/>
      <c r="D52" s="3"/>
      <c r="E52" s="3"/>
      <c r="F52" s="3"/>
      <c r="G52" s="3"/>
      <c r="H52" s="3"/>
      <c r="I52" s="3"/>
      <c r="J52" s="3"/>
      <c r="K52" s="3"/>
      <c r="L52" s="3"/>
      <c r="M52" s="3"/>
      <c r="N52" s="3"/>
      <c r="O52" s="3"/>
      <c r="P52" s="3"/>
      <c r="Q52" s="3"/>
    </row>
    <row r="53" spans="1:17">
      <c r="A53" s="3"/>
      <c r="B53" s="3"/>
      <c r="C53" s="3"/>
      <c r="D53" s="3"/>
      <c r="E53" s="3"/>
      <c r="F53" s="3"/>
      <c r="G53" s="3"/>
      <c r="H53" s="3"/>
      <c r="I53" s="3"/>
      <c r="J53" s="3"/>
      <c r="K53" s="3"/>
      <c r="L53" s="3"/>
      <c r="M53" s="3"/>
      <c r="N53" s="3"/>
      <c r="O53" s="3"/>
      <c r="P53" s="3"/>
      <c r="Q53" s="3"/>
    </row>
    <row r="54" spans="1:17">
      <c r="A54" s="3"/>
      <c r="B54" s="3"/>
      <c r="C54" s="3"/>
      <c r="D54" s="3"/>
      <c r="E54" s="3"/>
      <c r="F54" s="3"/>
      <c r="G54" s="3"/>
      <c r="H54" s="3"/>
      <c r="I54" s="3"/>
      <c r="J54" s="3"/>
      <c r="K54" s="3"/>
      <c r="L54" s="3"/>
      <c r="M54" s="3"/>
      <c r="N54" s="3"/>
      <c r="O54" s="3"/>
      <c r="P54" s="3"/>
      <c r="Q54" s="3"/>
    </row>
    <row r="55" spans="1:17">
      <c r="A55" s="3"/>
      <c r="B55" s="3"/>
      <c r="C55" s="3"/>
      <c r="D55" s="3"/>
      <c r="E55" s="3"/>
      <c r="F55" s="3"/>
      <c r="G55" s="3"/>
      <c r="H55" s="3"/>
      <c r="I55" s="3"/>
      <c r="J55" s="3"/>
      <c r="K55" s="3"/>
      <c r="L55" s="3"/>
      <c r="M55" s="3"/>
      <c r="N55" s="3"/>
      <c r="O55" s="3"/>
      <c r="P55" s="3"/>
      <c r="Q55" s="3"/>
    </row>
    <row r="56" spans="1:17">
      <c r="A56" s="3"/>
      <c r="B56" s="3"/>
      <c r="C56" s="3"/>
      <c r="D56" s="3"/>
      <c r="E56" s="3"/>
      <c r="F56" s="3"/>
      <c r="G56" s="3"/>
      <c r="H56" s="3"/>
      <c r="I56" s="3"/>
      <c r="J56" s="3"/>
      <c r="K56" s="3"/>
      <c r="L56" s="3"/>
      <c r="M56" s="3"/>
      <c r="N56" s="3"/>
      <c r="O56" s="3"/>
      <c r="P56" s="3"/>
      <c r="Q56" s="3"/>
    </row>
    <row r="57" spans="1:17">
      <c r="A57" s="3"/>
      <c r="B57" s="3"/>
      <c r="C57" s="3"/>
      <c r="D57" s="3"/>
      <c r="E57" s="3"/>
      <c r="F57" s="3"/>
      <c r="G57" s="3"/>
      <c r="H57" s="3"/>
      <c r="I57" s="3"/>
      <c r="J57" s="3"/>
      <c r="K57" s="3"/>
      <c r="L57" s="3"/>
      <c r="M57" s="3"/>
      <c r="N57" s="3"/>
      <c r="O57" s="3"/>
      <c r="P57" s="3"/>
      <c r="Q57" s="3"/>
    </row>
    <row r="58" spans="1:17">
      <c r="A58" s="3"/>
      <c r="B58" s="3"/>
      <c r="C58" s="3"/>
      <c r="D58" s="3"/>
      <c r="E58" s="3"/>
      <c r="F58" s="3"/>
      <c r="G58" s="3"/>
      <c r="H58" s="3"/>
      <c r="I58" s="3"/>
      <c r="J58" s="3"/>
      <c r="K58" s="3"/>
      <c r="L58" s="3"/>
      <c r="M58" s="3"/>
      <c r="N58" s="3"/>
      <c r="O58" s="3"/>
      <c r="P58" s="3"/>
      <c r="Q58" s="3"/>
    </row>
    <row r="59" spans="1:17">
      <c r="A59" s="3"/>
      <c r="B59" s="3"/>
      <c r="C59" s="3"/>
      <c r="D59" s="3"/>
      <c r="E59" s="3"/>
      <c r="F59" s="3"/>
      <c r="G59" s="3"/>
      <c r="H59" s="3"/>
      <c r="I59" s="3"/>
      <c r="J59" s="3"/>
      <c r="K59" s="3"/>
      <c r="L59" s="3"/>
      <c r="M59" s="3"/>
      <c r="N59" s="3"/>
      <c r="O59" s="3"/>
      <c r="P59" s="3"/>
      <c r="Q59" s="3"/>
    </row>
    <row r="60" spans="1:17">
      <c r="A60" s="3"/>
      <c r="B60" s="3"/>
      <c r="C60" s="3"/>
      <c r="D60" s="3"/>
      <c r="E60" s="3"/>
      <c r="F60" s="3"/>
      <c r="G60" s="3"/>
      <c r="H60" s="3"/>
      <c r="I60" s="3"/>
      <c r="J60" s="3"/>
      <c r="K60" s="3"/>
      <c r="L60" s="3"/>
      <c r="M60" s="3"/>
      <c r="N60" s="3"/>
      <c r="O60" s="3"/>
      <c r="P60" s="3"/>
      <c r="Q60" s="3"/>
    </row>
    <row r="61" spans="1:17">
      <c r="A61" s="3"/>
      <c r="B61" s="3"/>
      <c r="C61" s="3"/>
      <c r="D61" s="3"/>
      <c r="E61" s="3"/>
      <c r="F61" s="3"/>
      <c r="G61" s="3"/>
      <c r="H61" s="3"/>
      <c r="I61" s="3"/>
      <c r="J61" s="3"/>
      <c r="K61" s="3"/>
      <c r="L61" s="3"/>
      <c r="M61" s="3"/>
      <c r="N61" s="3"/>
      <c r="O61" s="3"/>
      <c r="P61" s="3"/>
      <c r="Q61" s="3"/>
    </row>
    <row r="62" spans="1:17">
      <c r="A62" s="3"/>
      <c r="B62" s="3"/>
      <c r="C62" s="3"/>
      <c r="D62" s="3"/>
      <c r="E62" s="3"/>
      <c r="F62" s="3"/>
      <c r="G62" s="3"/>
      <c r="H62" s="3"/>
      <c r="I62" s="3"/>
      <c r="J62" s="3"/>
      <c r="K62" s="3"/>
      <c r="L62" s="3"/>
      <c r="M62" s="3"/>
      <c r="N62" s="3"/>
      <c r="O62" s="3"/>
      <c r="P62" s="3"/>
      <c r="Q62" s="3"/>
    </row>
    <row r="63" spans="1:17">
      <c r="A63" s="3"/>
      <c r="B63" s="3"/>
      <c r="C63" s="3"/>
      <c r="D63" s="3"/>
      <c r="E63" s="3"/>
      <c r="F63" s="3"/>
      <c r="G63" s="3"/>
      <c r="H63" s="3"/>
      <c r="I63" s="3"/>
      <c r="J63" s="3"/>
      <c r="K63" s="3"/>
      <c r="L63" s="3"/>
      <c r="M63" s="3"/>
      <c r="N63" s="3"/>
      <c r="O63" s="3"/>
      <c r="P63" s="3"/>
      <c r="Q63" s="3"/>
    </row>
    <row r="64" spans="1:17">
      <c r="A64" s="3"/>
      <c r="B64" s="3"/>
      <c r="C64" s="3"/>
      <c r="D64" s="3"/>
      <c r="E64" s="3"/>
      <c r="F64" s="3"/>
      <c r="G64" s="3"/>
      <c r="H64" s="3"/>
      <c r="I64" s="3"/>
      <c r="J64" s="3"/>
      <c r="K64" s="3"/>
      <c r="L64" s="3"/>
      <c r="M64" s="3"/>
      <c r="N64" s="3"/>
      <c r="O64" s="3"/>
      <c r="P64" s="3"/>
      <c r="Q64" s="3"/>
    </row>
    <row r="65" spans="1:17">
      <c r="A65" s="3"/>
      <c r="B65" s="3"/>
      <c r="C65" s="3"/>
      <c r="D65" s="3"/>
      <c r="E65" s="3"/>
      <c r="F65" s="3"/>
      <c r="G65" s="3"/>
      <c r="H65" s="3"/>
      <c r="I65" s="3"/>
      <c r="J65" s="3"/>
      <c r="K65" s="3"/>
      <c r="L65" s="3"/>
      <c r="M65" s="3"/>
      <c r="N65" s="3"/>
      <c r="O65" s="3"/>
      <c r="P65" s="3"/>
      <c r="Q65" s="3"/>
    </row>
    <row r="66" spans="1:17">
      <c r="A66" s="3"/>
      <c r="B66" s="3"/>
      <c r="C66" s="3"/>
      <c r="D66" s="3"/>
      <c r="E66" s="3"/>
      <c r="F66" s="3"/>
      <c r="G66" s="3"/>
      <c r="H66" s="3"/>
      <c r="I66" s="3"/>
      <c r="J66" s="3"/>
      <c r="K66" s="3"/>
      <c r="L66" s="3"/>
      <c r="M66" s="3"/>
      <c r="N66" s="3"/>
      <c r="O66" s="3"/>
      <c r="P66" s="3"/>
      <c r="Q66" s="3"/>
    </row>
    <row r="67" spans="1:17">
      <c r="A67" s="3"/>
      <c r="B67" s="3"/>
      <c r="C67" s="3"/>
      <c r="D67" s="3"/>
      <c r="E67" s="3"/>
      <c r="F67" s="3"/>
      <c r="G67" s="3"/>
      <c r="H67" s="3"/>
      <c r="I67" s="3"/>
      <c r="J67" s="3"/>
      <c r="K67" s="3"/>
      <c r="L67" s="3"/>
      <c r="M67" s="3"/>
      <c r="N67" s="3"/>
      <c r="O67" s="3"/>
      <c r="P67" s="3"/>
      <c r="Q67" s="3"/>
    </row>
    <row r="68" spans="1:17">
      <c r="A68" s="3"/>
      <c r="B68" s="3"/>
      <c r="C68" s="3"/>
      <c r="D68" s="3"/>
      <c r="E68" s="3"/>
      <c r="F68" s="3"/>
      <c r="G68" s="3"/>
      <c r="H68" s="3"/>
      <c r="I68" s="3"/>
      <c r="J68" s="3"/>
      <c r="K68" s="3"/>
      <c r="L68" s="3"/>
      <c r="M68" s="3"/>
      <c r="N68" s="3"/>
      <c r="O68" s="3"/>
      <c r="P68" s="3"/>
      <c r="Q68" s="3"/>
    </row>
    <row r="69" spans="1:17">
      <c r="A69" s="3"/>
      <c r="B69" s="3"/>
      <c r="C69" s="3"/>
      <c r="D69" s="3"/>
      <c r="E69" s="3"/>
      <c r="F69" s="3"/>
      <c r="G69" s="3"/>
      <c r="H69" s="3"/>
      <c r="I69" s="3"/>
      <c r="J69" s="3"/>
      <c r="K69" s="3"/>
      <c r="L69" s="3"/>
      <c r="M69" s="3"/>
      <c r="N69" s="3"/>
      <c r="O69" s="3"/>
      <c r="P69" s="3"/>
      <c r="Q69" s="3"/>
    </row>
    <row r="70" spans="1:17">
      <c r="A70" s="3"/>
      <c r="B70" s="3"/>
      <c r="C70" s="3"/>
      <c r="D70" s="3"/>
      <c r="E70" s="3"/>
      <c r="F70" s="3"/>
      <c r="G70" s="3"/>
      <c r="H70" s="3"/>
      <c r="I70" s="3"/>
      <c r="J70" s="3"/>
      <c r="K70" s="3"/>
      <c r="L70" s="3"/>
      <c r="M70" s="3"/>
      <c r="N70" s="3"/>
      <c r="O70" s="3"/>
      <c r="P70" s="3"/>
      <c r="Q70" s="3"/>
    </row>
    <row r="71" spans="1:17">
      <c r="A71" s="3"/>
      <c r="B71" s="3"/>
      <c r="C71" s="3"/>
      <c r="D71" s="3"/>
      <c r="E71" s="3"/>
      <c r="F71" s="3"/>
      <c r="G71" s="3"/>
      <c r="H71" s="3"/>
      <c r="I71" s="3"/>
      <c r="J71" s="3"/>
      <c r="K71" s="3"/>
      <c r="L71" s="3"/>
      <c r="M71" s="3"/>
      <c r="N71" s="3"/>
      <c r="O71" s="3"/>
      <c r="P71" s="3"/>
      <c r="Q71" s="3"/>
    </row>
    <row r="72" spans="1:17">
      <c r="A72" s="3"/>
      <c r="B72" s="3"/>
      <c r="C72" s="3"/>
      <c r="D72" s="3"/>
      <c r="E72" s="3"/>
      <c r="F72" s="3"/>
      <c r="G72" s="3"/>
      <c r="H72" s="3"/>
      <c r="I72" s="3"/>
      <c r="J72" s="3"/>
      <c r="K72" s="3"/>
      <c r="L72" s="3"/>
      <c r="M72" s="3"/>
      <c r="N72" s="3"/>
      <c r="O72" s="3"/>
      <c r="P72" s="3"/>
      <c r="Q72" s="3"/>
    </row>
    <row r="73" spans="1:17">
      <c r="A73" s="3"/>
      <c r="B73" s="3"/>
      <c r="C73" s="3"/>
      <c r="D73" s="3"/>
      <c r="E73" s="3"/>
      <c r="F73" s="3"/>
      <c r="G73" s="3"/>
      <c r="H73" s="3"/>
      <c r="I73" s="3"/>
      <c r="J73" s="3"/>
      <c r="K73" s="3"/>
      <c r="L73" s="3"/>
      <c r="M73" s="3"/>
      <c r="N73" s="3"/>
      <c r="O73" s="3"/>
      <c r="P73" s="3"/>
      <c r="Q73" s="3"/>
    </row>
    <row r="74" spans="1:17">
      <c r="A74" s="3"/>
      <c r="B74" s="3"/>
      <c r="C74" s="3"/>
      <c r="D74" s="3"/>
      <c r="E74" s="3"/>
      <c r="F74" s="3"/>
      <c r="G74" s="3"/>
      <c r="H74" s="3"/>
      <c r="I74" s="3"/>
      <c r="J74" s="3"/>
      <c r="K74" s="3"/>
      <c r="L74" s="3"/>
      <c r="M74" s="3"/>
      <c r="N74" s="3"/>
      <c r="O74" s="3"/>
      <c r="P74" s="3"/>
      <c r="Q74" s="3"/>
    </row>
    <row r="75" spans="1:17">
      <c r="A75" s="3"/>
      <c r="B75" s="3"/>
      <c r="C75" s="3"/>
      <c r="D75" s="3"/>
      <c r="E75" s="3"/>
      <c r="F75" s="3"/>
      <c r="G75" s="3"/>
      <c r="H75" s="3"/>
      <c r="I75" s="3"/>
      <c r="J75" s="3"/>
      <c r="K75" s="3"/>
      <c r="L75" s="3"/>
      <c r="M75" s="3"/>
      <c r="N75" s="3"/>
      <c r="O75" s="3"/>
      <c r="P75" s="3"/>
      <c r="Q75" s="3"/>
    </row>
    <row r="76" spans="1:17">
      <c r="A76" s="3"/>
      <c r="B76" s="3"/>
      <c r="C76" s="3"/>
      <c r="D76" s="3"/>
      <c r="E76" s="3"/>
      <c r="F76" s="3"/>
      <c r="G76" s="3"/>
      <c r="H76" s="3"/>
      <c r="I76" s="3"/>
      <c r="J76" s="3"/>
      <c r="K76" s="3"/>
      <c r="L76" s="3"/>
      <c r="M76" s="3"/>
      <c r="N76" s="3"/>
      <c r="O76" s="3"/>
      <c r="P76" s="3"/>
      <c r="Q76" s="3"/>
    </row>
    <row r="77" spans="1:17">
      <c r="A77" s="3"/>
      <c r="B77" s="3"/>
      <c r="C77" s="3"/>
      <c r="D77" s="3"/>
      <c r="E77" s="3"/>
      <c r="F77" s="3"/>
      <c r="G77" s="3"/>
      <c r="H77" s="3"/>
      <c r="I77" s="3"/>
      <c r="J77" s="3"/>
      <c r="K77" s="3"/>
      <c r="L77" s="3"/>
      <c r="M77" s="3"/>
      <c r="N77" s="3"/>
      <c r="O77" s="3"/>
      <c r="P77" s="3"/>
      <c r="Q77" s="3"/>
    </row>
    <row r="78" spans="1:17">
      <c r="A78" s="3"/>
      <c r="B78" s="3"/>
      <c r="C78" s="3"/>
      <c r="D78" s="3"/>
      <c r="E78" s="3"/>
      <c r="F78" s="3"/>
      <c r="G78" s="3"/>
      <c r="H78" s="3"/>
      <c r="I78" s="3"/>
      <c r="J78" s="3"/>
      <c r="K78" s="3"/>
      <c r="L78" s="3"/>
      <c r="M78" s="3"/>
      <c r="N78" s="3"/>
      <c r="O78" s="3"/>
      <c r="P78" s="3"/>
      <c r="Q78" s="3"/>
    </row>
  </sheetData>
  <mergeCells count="1">
    <mergeCell ref="C1:H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5"/>
  <sheetViews>
    <sheetView topLeftCell="A7" workbookViewId="0">
      <selection activeCell="A28" sqref="A28"/>
    </sheetView>
  </sheetViews>
  <sheetFormatPr baseColWidth="10" defaultRowHeight="15"/>
  <cols>
    <col min="1" max="1" width="18.140625" style="2" customWidth="1"/>
    <col min="2" max="2" width="11.42578125" style="3"/>
    <col min="3" max="3" width="25.42578125" style="3" customWidth="1"/>
    <col min="4" max="4" width="11.42578125" style="3"/>
    <col min="5" max="5" width="14.85546875" style="3" bestFit="1" customWidth="1"/>
    <col min="6" max="6" width="3.42578125" style="3" customWidth="1"/>
    <col min="7" max="7" width="18.28515625" style="3" bestFit="1" customWidth="1"/>
    <col min="8" max="8" width="15.140625" style="3" customWidth="1"/>
    <col min="9" max="11" width="14.140625" style="3" bestFit="1" customWidth="1"/>
    <col min="12" max="17" width="14.7109375" style="3" bestFit="1" customWidth="1"/>
    <col min="18" max="19" width="11.42578125" style="3"/>
    <col min="20" max="20" width="20.42578125" style="3" bestFit="1" customWidth="1"/>
    <col min="21" max="30" width="15.140625" style="3" bestFit="1" customWidth="1"/>
    <col min="31" max="16384" width="11.42578125" style="3"/>
  </cols>
  <sheetData>
    <row r="1" spans="1:30" s="48" customFormat="1" ht="15.75">
      <c r="A1" s="4"/>
      <c r="F1" s="167" t="s">
        <v>99</v>
      </c>
      <c r="G1" s="167"/>
      <c r="H1" s="167"/>
      <c r="I1" s="167"/>
    </row>
    <row r="2" spans="1:30" s="48" customFormat="1" ht="15.75">
      <c r="A2" s="4"/>
      <c r="F2" s="167"/>
      <c r="G2" s="167"/>
      <c r="H2" s="167"/>
      <c r="I2" s="167"/>
    </row>
    <row r="3" spans="1:30">
      <c r="A3" s="3"/>
    </row>
    <row r="4" spans="1:30">
      <c r="A4" s="3"/>
      <c r="B4" s="145" t="s">
        <v>34</v>
      </c>
      <c r="C4" s="145"/>
      <c r="D4" s="47">
        <v>0.45</v>
      </c>
      <c r="E4" s="3" t="s">
        <v>48</v>
      </c>
      <c r="F4" s="3">
        <v>10</v>
      </c>
      <c r="G4" s="3" t="s">
        <v>5</v>
      </c>
    </row>
    <row r="5" spans="1:30" ht="18.75">
      <c r="A5" s="3"/>
      <c r="B5" s="50" t="s">
        <v>35</v>
      </c>
      <c r="C5" s="51" t="s">
        <v>36</v>
      </c>
      <c r="Y5" s="165" t="s">
        <v>102</v>
      </c>
      <c r="Z5" s="165"/>
      <c r="AA5" s="165"/>
    </row>
    <row r="6" spans="1:30" ht="15.75">
      <c r="A6" s="3"/>
      <c r="B6" s="49">
        <v>0</v>
      </c>
      <c r="C6" s="38">
        <v>-1800000</v>
      </c>
      <c r="G6" s="138" t="s">
        <v>40</v>
      </c>
      <c r="H6" s="139"/>
      <c r="I6" s="140"/>
      <c r="T6" s="166" t="s">
        <v>103</v>
      </c>
      <c r="U6" s="166"/>
      <c r="V6" s="166"/>
    </row>
    <row r="7" spans="1:30">
      <c r="A7" s="3"/>
      <c r="B7" s="49">
        <v>1</v>
      </c>
      <c r="C7" s="52">
        <f>'Estado de Resultados'!B21+'Estado de Resultados'!B15</f>
        <v>554091.95402298868</v>
      </c>
      <c r="G7" s="22" t="s">
        <v>35</v>
      </c>
      <c r="H7" s="22">
        <v>1</v>
      </c>
      <c r="I7" s="22">
        <v>2</v>
      </c>
      <c r="J7" s="22">
        <v>3</v>
      </c>
      <c r="K7" s="22">
        <v>4</v>
      </c>
      <c r="L7" s="22">
        <v>5</v>
      </c>
      <c r="M7" s="22">
        <v>6</v>
      </c>
      <c r="N7" s="22">
        <v>7</v>
      </c>
      <c r="O7" s="22">
        <v>8</v>
      </c>
      <c r="P7" s="22">
        <v>9</v>
      </c>
      <c r="Q7" s="22">
        <v>10</v>
      </c>
      <c r="T7" s="60" t="s">
        <v>104</v>
      </c>
      <c r="U7" s="158">
        <f>Datos!C9</f>
        <v>100000</v>
      </c>
      <c r="V7" s="142"/>
    </row>
    <row r="8" spans="1:30">
      <c r="A8" s="3"/>
      <c r="B8" s="49">
        <v>2</v>
      </c>
      <c r="C8" s="53">
        <f>'Estado de Resultados'!C21+'Estado de Resultados'!C15</f>
        <v>544599.71264367818</v>
      </c>
      <c r="G8" s="22" t="s">
        <v>36</v>
      </c>
      <c r="H8" s="30">
        <f>C7</f>
        <v>554091.95402298868</v>
      </c>
      <c r="I8" s="30">
        <f>C8</f>
        <v>544599.71264367818</v>
      </c>
      <c r="J8" s="30">
        <f>C9</f>
        <v>526079.06652298931</v>
      </c>
      <c r="K8" s="30">
        <f>C10</f>
        <v>496515.69687492866</v>
      </c>
      <c r="L8" s="30">
        <f>C11</f>
        <v>453542.14549974177</v>
      </c>
      <c r="M8" s="30">
        <f>C12</f>
        <v>-4437335.2705895752</v>
      </c>
      <c r="N8" s="30">
        <f>C13</f>
        <v>-6804562.883574021</v>
      </c>
      <c r="O8" s="30">
        <f>C14</f>
        <v>-3254618.2249403228</v>
      </c>
      <c r="P8" s="30">
        <f>C15</f>
        <v>-3210483.8772466448</v>
      </c>
      <c r="Q8" s="30">
        <f>C16</f>
        <v>-3136834.008249382</v>
      </c>
      <c r="T8" s="60" t="s">
        <v>105</v>
      </c>
      <c r="U8" s="158">
        <f>Datos!C10</f>
        <v>500000</v>
      </c>
      <c r="V8" s="142"/>
    </row>
    <row r="9" spans="1:30">
      <c r="A9" s="3"/>
      <c r="B9" s="49">
        <v>3</v>
      </c>
      <c r="C9" s="53">
        <f>'Estado de Resultados'!D21+'Estado de Resultados'!D15</f>
        <v>526079.06652298931</v>
      </c>
      <c r="G9" s="22" t="s">
        <v>37</v>
      </c>
      <c r="H9" s="14">
        <v>0</v>
      </c>
      <c r="I9" s="30">
        <f t="shared" ref="I9:Q9" si="0">H9+H8</f>
        <v>554091.95402298868</v>
      </c>
      <c r="J9" s="30">
        <f t="shared" si="0"/>
        <v>1098691.666666667</v>
      </c>
      <c r="K9" s="30">
        <f t="shared" si="0"/>
        <v>1624770.7331896564</v>
      </c>
      <c r="L9" s="30">
        <f t="shared" si="0"/>
        <v>2121286.4300645851</v>
      </c>
      <c r="M9" s="30">
        <f t="shared" si="0"/>
        <v>2574828.5755643267</v>
      </c>
      <c r="N9" s="30">
        <f t="shared" si="0"/>
        <v>-1862506.6950252485</v>
      </c>
      <c r="O9" s="30">
        <f t="shared" si="0"/>
        <v>-8667069.5785992704</v>
      </c>
      <c r="P9" s="30">
        <f t="shared" si="0"/>
        <v>-11921687.803539593</v>
      </c>
      <c r="Q9" s="30">
        <f t="shared" si="0"/>
        <v>-15132171.680786237</v>
      </c>
      <c r="T9" s="60" t="s">
        <v>106</v>
      </c>
      <c r="U9" s="158">
        <f>Datos!C12</f>
        <v>1000000</v>
      </c>
      <c r="V9" s="142"/>
    </row>
    <row r="10" spans="1:30">
      <c r="A10" s="3"/>
      <c r="B10" s="49">
        <v>4</v>
      </c>
      <c r="C10" s="53">
        <f>'Estado de Resultados'!E21+'Estado de Resultados'!E15</f>
        <v>496515.69687492866</v>
      </c>
      <c r="T10" s="60" t="s">
        <v>107</v>
      </c>
      <c r="U10" s="158">
        <f>Datos!C26</f>
        <v>200000</v>
      </c>
      <c r="V10" s="142"/>
    </row>
    <row r="11" spans="1:30" ht="15.75">
      <c r="A11" s="3"/>
      <c r="B11" s="49">
        <v>5</v>
      </c>
      <c r="C11" s="53">
        <f>'Estado de Resultados'!F21+'Estado de Resultados'!F15</f>
        <v>453542.14549974177</v>
      </c>
      <c r="G11" s="9"/>
      <c r="H11" s="9" t="s">
        <v>38</v>
      </c>
      <c r="I11" s="9" t="s">
        <v>39</v>
      </c>
      <c r="J11" s="9" t="s">
        <v>78</v>
      </c>
      <c r="L11" s="56" t="s">
        <v>134</v>
      </c>
      <c r="M11" s="18">
        <f>(H9-C6)/I8</f>
        <v>3.3051798563428689</v>
      </c>
      <c r="T11" s="58"/>
      <c r="U11" s="34"/>
      <c r="V11" s="59"/>
    </row>
    <row r="12" spans="1:30">
      <c r="A12" s="3"/>
      <c r="B12" s="49">
        <v>6</v>
      </c>
      <c r="C12" s="53">
        <f>'Estado de Resultados'!G21+'Estado de Resultados'!G15-900000</f>
        <v>-4437335.2705895752</v>
      </c>
      <c r="G12" s="14" t="s">
        <v>44</v>
      </c>
      <c r="H12" s="25">
        <f>INT(M11)</f>
        <v>3</v>
      </c>
      <c r="I12" s="25">
        <f>INT((M11-H12)*12)</f>
        <v>3</v>
      </c>
      <c r="J12" s="25">
        <f>INT((((M11-H12)*12)-I12)*30)</f>
        <v>19</v>
      </c>
      <c r="T12" s="60" t="s">
        <v>108</v>
      </c>
      <c r="U12" s="158">
        <f>U7+U8+U9+U10</f>
        <v>1800000</v>
      </c>
      <c r="V12" s="142"/>
    </row>
    <row r="13" spans="1:30">
      <c r="A13" s="3"/>
      <c r="B13" s="49">
        <v>7</v>
      </c>
      <c r="C13" s="53">
        <f>'Estado de Resultados'!H21+'Estado de Resultados'!H15</f>
        <v>-6804562.883574021</v>
      </c>
    </row>
    <row r="14" spans="1:30" ht="21">
      <c r="A14" s="3"/>
      <c r="B14" s="49">
        <v>8</v>
      </c>
      <c r="C14" s="53">
        <f>'Estado de Resultados'!I21+'Estado de Resultados'!I15</f>
        <v>-3254618.2249403228</v>
      </c>
      <c r="G14" s="138" t="s">
        <v>41</v>
      </c>
      <c r="H14" s="139"/>
      <c r="I14" s="140"/>
      <c r="J14" s="6"/>
      <c r="Y14" s="159" t="s">
        <v>109</v>
      </c>
      <c r="Z14" s="159"/>
      <c r="AA14" s="159"/>
    </row>
    <row r="15" spans="1:30">
      <c r="A15" s="3"/>
      <c r="B15" s="49">
        <v>9</v>
      </c>
      <c r="C15" s="53">
        <f>'Estado de Resultados'!J21+'Estado de Resultados'!J15</f>
        <v>-3210483.8772466448</v>
      </c>
      <c r="G15" s="22" t="s">
        <v>35</v>
      </c>
      <c r="H15" s="22">
        <v>1</v>
      </c>
      <c r="I15" s="22">
        <v>2</v>
      </c>
      <c r="J15" s="22">
        <v>3</v>
      </c>
      <c r="K15" s="22">
        <v>4</v>
      </c>
      <c r="L15" s="22">
        <v>5</v>
      </c>
      <c r="M15" s="22">
        <v>6</v>
      </c>
      <c r="N15" s="22">
        <v>7</v>
      </c>
      <c r="O15" s="22">
        <v>8</v>
      </c>
      <c r="P15" s="22">
        <v>9</v>
      </c>
      <c r="Q15" s="22">
        <v>10</v>
      </c>
      <c r="T15" s="10" t="s">
        <v>110</v>
      </c>
      <c r="U15" s="22">
        <v>1</v>
      </c>
      <c r="V15" s="22">
        <v>2</v>
      </c>
      <c r="W15" s="22">
        <v>3</v>
      </c>
      <c r="X15" s="22">
        <v>4</v>
      </c>
      <c r="Y15" s="22">
        <v>5</v>
      </c>
      <c r="Z15" s="22">
        <v>6</v>
      </c>
      <c r="AA15" s="22">
        <v>7</v>
      </c>
      <c r="AB15" s="22">
        <v>8</v>
      </c>
      <c r="AC15" s="22">
        <v>9</v>
      </c>
      <c r="AD15" s="22">
        <v>10</v>
      </c>
    </row>
    <row r="16" spans="1:30">
      <c r="A16" s="3"/>
      <c r="B16" s="49">
        <v>10</v>
      </c>
      <c r="C16" s="53">
        <f>'Estado de Resultados'!K21+'Estado de Resultados'!K15</f>
        <v>-3136834.008249382</v>
      </c>
      <c r="G16" s="22" t="s">
        <v>36</v>
      </c>
      <c r="H16" s="16">
        <f t="shared" ref="H16:Q16" si="1">H8</f>
        <v>554091.95402298868</v>
      </c>
      <c r="I16" s="16">
        <f t="shared" si="1"/>
        <v>544599.71264367818</v>
      </c>
      <c r="J16" s="16">
        <f t="shared" si="1"/>
        <v>526079.06652298931</v>
      </c>
      <c r="K16" s="16">
        <f t="shared" si="1"/>
        <v>496515.69687492866</v>
      </c>
      <c r="L16" s="16">
        <f t="shared" si="1"/>
        <v>453542.14549974177</v>
      </c>
      <c r="M16" s="16">
        <f t="shared" si="1"/>
        <v>-4437335.2705895752</v>
      </c>
      <c r="N16" s="16">
        <f t="shared" si="1"/>
        <v>-6804562.883574021</v>
      </c>
      <c r="O16" s="16">
        <f t="shared" si="1"/>
        <v>-3254618.2249403228</v>
      </c>
      <c r="P16" s="16">
        <f t="shared" si="1"/>
        <v>-3210483.8772466448</v>
      </c>
      <c r="Q16" s="16">
        <f t="shared" si="1"/>
        <v>-3136834.008249382</v>
      </c>
      <c r="T16" s="10" t="s">
        <v>111</v>
      </c>
      <c r="U16" s="16">
        <f>'Estado de Resultados'!B5</f>
        <v>8000000</v>
      </c>
      <c r="V16" s="16">
        <f>'Estado de Resultados'!C5</f>
        <v>8820000</v>
      </c>
      <c r="W16" s="16">
        <f>'Estado de Resultados'!D5</f>
        <v>9724050</v>
      </c>
      <c r="X16" s="16">
        <f>'Estado de Resultados'!E5</f>
        <v>10720765.125</v>
      </c>
      <c r="Y16" s="16">
        <f>'Estado de Resultados'!F5</f>
        <v>11819643.5503125</v>
      </c>
      <c r="Z16" s="16">
        <f>'Estado de Resultados'!G5</f>
        <v>13031157.01421953</v>
      </c>
      <c r="AA16" s="16">
        <f>'Estado de Resultados'!H5</f>
        <v>14366850.60817703</v>
      </c>
      <c r="AB16" s="16">
        <f>'Estado de Resultados'!I5</f>
        <v>15839452.795515174</v>
      </c>
      <c r="AC16" s="16">
        <f>'Estado de Resultados'!J5</f>
        <v>17462996.707055479</v>
      </c>
      <c r="AD16" s="16">
        <f>'Estado de Resultados'!K5</f>
        <v>19252953.869528666</v>
      </c>
    </row>
    <row r="17" spans="1:30" ht="18" customHeight="1">
      <c r="A17" s="3"/>
      <c r="G17" s="22" t="s">
        <v>42</v>
      </c>
      <c r="H17" s="12">
        <f>H16/(1+D4)</f>
        <v>382132.38208481978</v>
      </c>
      <c r="I17" s="12">
        <f>I16/(1+D4)^2</f>
        <v>259024.83359984693</v>
      </c>
      <c r="J17" s="12">
        <f>J16/(1+D4)^3</f>
        <v>172562.73451900098</v>
      </c>
      <c r="K17" s="12">
        <f>K16/(1+D4)^4</f>
        <v>112321.00325045998</v>
      </c>
      <c r="L17" s="12">
        <f>L16/(1+D4)^5</f>
        <v>70758.340529785724</v>
      </c>
      <c r="M17" s="12">
        <f>M16/(1+D4)^6</f>
        <v>-477434.97487673792</v>
      </c>
      <c r="N17" s="12">
        <f>N16/(1+D4)^7</f>
        <v>-504921.90987076529</v>
      </c>
      <c r="O17" s="12">
        <f>O16/(1+D4)^8</f>
        <v>-166554.37080558913</v>
      </c>
      <c r="P17" s="12">
        <f>P16/(1+D4)^9</f>
        <v>-113307.45191952327</v>
      </c>
      <c r="Q17" s="12">
        <f>P17/(1+D4)^10</f>
        <v>-2757.8995933925248</v>
      </c>
    </row>
    <row r="18" spans="1:30" ht="18.75">
      <c r="A18" s="3"/>
      <c r="G18" s="22" t="s">
        <v>43</v>
      </c>
      <c r="H18" s="16">
        <v>0</v>
      </c>
      <c r="I18" s="16">
        <f t="shared" ref="I18:Q18" si="2">H18+H17</f>
        <v>382132.38208481978</v>
      </c>
      <c r="J18" s="16">
        <f t="shared" si="2"/>
        <v>641157.21568466676</v>
      </c>
      <c r="K18" s="16">
        <f t="shared" si="2"/>
        <v>813719.95020366774</v>
      </c>
      <c r="L18" s="16">
        <f t="shared" si="2"/>
        <v>926040.95345412777</v>
      </c>
      <c r="M18" s="16">
        <f t="shared" si="2"/>
        <v>996799.29398391349</v>
      </c>
      <c r="N18" s="16">
        <f t="shared" si="2"/>
        <v>519364.31910717557</v>
      </c>
      <c r="O18" s="16">
        <f t="shared" si="2"/>
        <v>14442.409236410283</v>
      </c>
      <c r="P18" s="16">
        <f t="shared" si="2"/>
        <v>-152111.96156917885</v>
      </c>
      <c r="Q18" s="16">
        <f t="shared" si="2"/>
        <v>-265419.41348870215</v>
      </c>
      <c r="Y18" s="160" t="s">
        <v>112</v>
      </c>
      <c r="Z18" s="160"/>
      <c r="AA18" s="160"/>
    </row>
    <row r="19" spans="1:30">
      <c r="A19" s="3"/>
      <c r="T19" s="10" t="s">
        <v>38</v>
      </c>
      <c r="U19" s="22">
        <v>1</v>
      </c>
      <c r="V19" s="22">
        <v>2</v>
      </c>
      <c r="W19" s="22">
        <v>3</v>
      </c>
      <c r="X19" s="22">
        <v>4</v>
      </c>
      <c r="Y19" s="22">
        <v>5</v>
      </c>
      <c r="Z19" s="22">
        <v>6</v>
      </c>
      <c r="AA19" s="22">
        <v>7</v>
      </c>
      <c r="AB19" s="22">
        <v>8</v>
      </c>
      <c r="AC19" s="22">
        <v>9</v>
      </c>
      <c r="AD19" s="22">
        <v>10</v>
      </c>
    </row>
    <row r="20" spans="1:30">
      <c r="A20" s="3"/>
      <c r="G20" s="9"/>
      <c r="H20" s="14" t="s">
        <v>5</v>
      </c>
      <c r="I20" s="14" t="s">
        <v>46</v>
      </c>
      <c r="J20" s="14" t="s">
        <v>45</v>
      </c>
      <c r="L20" s="56" t="s">
        <v>134</v>
      </c>
      <c r="M20" s="18">
        <f>H18-C6/I16</f>
        <v>3.3051798563428689</v>
      </c>
      <c r="T20" s="10" t="s">
        <v>113</v>
      </c>
      <c r="U20" s="16">
        <f>'Estado de Resultados'!B6</f>
        <v>1103448.2758620689</v>
      </c>
      <c r="V20" s="16">
        <f>'Estado de Resultados'!C6</f>
        <v>1216551.7241379311</v>
      </c>
      <c r="W20" s="16">
        <f>'Estado de Resultados'!D6</f>
        <v>1341248.2758620679</v>
      </c>
      <c r="X20" s="16">
        <f>'Estado de Resultados'!E6</f>
        <v>1478726.2241379302</v>
      </c>
      <c r="Y20" s="16">
        <f>'Estado de Resultados'!F6</f>
        <v>1630295.6621120684</v>
      </c>
      <c r="Z20" s="16">
        <f>'Estado de Resultados'!G6</f>
        <v>1797400.9674785547</v>
      </c>
      <c r="AA20" s="16">
        <f>'Estado de Resultados'!H6</f>
        <v>1981634.5666451063</v>
      </c>
      <c r="AB20" s="16">
        <f>'Estado de Resultados'!I6</f>
        <v>2184752.1097262297</v>
      </c>
      <c r="AC20" s="16">
        <f>'Estado de Resultados'!J6</f>
        <v>2408689.200973168</v>
      </c>
      <c r="AD20" s="16">
        <f>'Estado de Resultados'!K6</f>
        <v>2655579.8440729175</v>
      </c>
    </row>
    <row r="21" spans="1:30">
      <c r="A21" s="3"/>
      <c r="G21" s="9" t="s">
        <v>44</v>
      </c>
      <c r="H21" s="25">
        <f>INT(M20)</f>
        <v>3</v>
      </c>
      <c r="I21" s="9">
        <f>INT((M20-H21)*12)</f>
        <v>3</v>
      </c>
      <c r="J21" s="9">
        <f>INT((((M20-H21)*12)-I21)*30)</f>
        <v>19</v>
      </c>
      <c r="T21" s="10" t="s">
        <v>114</v>
      </c>
      <c r="U21" s="16">
        <f>'Estado de Resultados'!B14</f>
        <v>3150000</v>
      </c>
      <c r="V21" s="16">
        <f>'Estado de Resultados'!C14</f>
        <v>3564000</v>
      </c>
      <c r="W21" s="16">
        <f>'Estado de Resultados'!D14</f>
        <v>4032828</v>
      </c>
      <c r="X21" s="16">
        <f>'Estado de Resultados'!E14</f>
        <v>4563779.1119999997</v>
      </c>
      <c r="Y21" s="16">
        <f>'Estado de Resultados'!F14</f>
        <v>5165121.8458080003</v>
      </c>
      <c r="Z21" s="16">
        <f>'Estado de Resultados'!G14</f>
        <v>11240359.787520001</v>
      </c>
      <c r="AA21" s="16">
        <f>'Estado de Resultados'!H14</f>
        <v>12139588.570521601</v>
      </c>
      <c r="AB21" s="16">
        <f>'Estado de Resultados'!I14</f>
        <v>13110755.656163326</v>
      </c>
      <c r="AC21" s="16">
        <f>'Estado de Resultados'!J14</f>
        <v>14159616.108656395</v>
      </c>
      <c r="AD21" s="16">
        <f>'Estado de Resultados'!K14</f>
        <v>15292385.397348903</v>
      </c>
    </row>
    <row r="22" spans="1:30">
      <c r="A22" s="3"/>
      <c r="T22" s="10" t="s">
        <v>115</v>
      </c>
      <c r="U22" s="16">
        <f>'Estado de Resultados'!B13</f>
        <v>0</v>
      </c>
      <c r="V22" s="16">
        <f>'Estado de Resultados'!C13</f>
        <v>0</v>
      </c>
      <c r="W22" s="16">
        <f>'Estado de Resultados'!D13</f>
        <v>0</v>
      </c>
      <c r="X22" s="16">
        <f>'Estado de Resultados'!E13</f>
        <v>0</v>
      </c>
      <c r="Y22" s="16">
        <f>'Estado de Resultados'!F13</f>
        <v>0</v>
      </c>
      <c r="Z22" s="16">
        <f>'Estado de Resultados'!G13</f>
        <v>0</v>
      </c>
      <c r="AA22" s="16">
        <f>'Estado de Resultados'!H13</f>
        <v>0</v>
      </c>
      <c r="AB22" s="16">
        <f>'Estado de Resultados'!I13</f>
        <v>0</v>
      </c>
      <c r="AC22" s="16">
        <f>'Estado de Resultados'!J13</f>
        <v>0</v>
      </c>
      <c r="AD22" s="16">
        <f>'Estado de Resultados'!K13</f>
        <v>0</v>
      </c>
    </row>
    <row r="23" spans="1:30">
      <c r="A23" s="3"/>
      <c r="G23" s="168" t="s">
        <v>47</v>
      </c>
      <c r="H23" s="169"/>
      <c r="I23" s="170"/>
      <c r="J23" s="6"/>
      <c r="T23" s="10" t="s">
        <v>116</v>
      </c>
      <c r="U23" s="16">
        <f>'Estado de Resultados'!B17</f>
        <v>1000000</v>
      </c>
      <c r="V23" s="16">
        <f>'Estado de Resultados'!C17</f>
        <v>1102500</v>
      </c>
      <c r="W23" s="16">
        <f>'Estado de Resultados'!D17</f>
        <v>1215506.25</v>
      </c>
      <c r="X23" s="16">
        <f>'Estado de Resultados'!E17</f>
        <v>1340095.640625</v>
      </c>
      <c r="Y23" s="16">
        <f>'Estado de Resultados'!F17</f>
        <v>1477455.4437890626</v>
      </c>
      <c r="Z23" s="16">
        <f>'Estado de Resultados'!G17</f>
        <v>1710339.3581163133</v>
      </c>
      <c r="AA23" s="16">
        <f>'Estado de Resultados'!H17</f>
        <v>3350239.1015624995</v>
      </c>
      <c r="AB23" s="16">
        <f>'Estado de Resultados'!I17</f>
        <v>1885649.142323235</v>
      </c>
      <c r="AC23" s="16">
        <f>'Estado de Resultados'!J17</f>
        <v>1979931.5994393968</v>
      </c>
      <c r="AD23" s="16">
        <f>'Estado de Resultados'!K17</f>
        <v>2078928.1794113666</v>
      </c>
    </row>
    <row r="24" spans="1:30">
      <c r="A24" s="3"/>
      <c r="T24" s="10" t="s">
        <v>117</v>
      </c>
      <c r="U24" s="16">
        <f>'Estado de Resultados'!B18</f>
        <v>2000000</v>
      </c>
      <c r="V24" s="16">
        <f>'Estado de Resultados'!C18</f>
        <v>2205000</v>
      </c>
      <c r="W24" s="16">
        <f>'Estado de Resultados'!D18</f>
        <v>2431012.5</v>
      </c>
      <c r="X24" s="16">
        <f>'Estado de Resultados'!E18</f>
        <v>2680191.28125</v>
      </c>
      <c r="Y24" s="16">
        <f>'Estado de Resultados'!F18</f>
        <v>2954910.8875781251</v>
      </c>
      <c r="Z24" s="16">
        <f>'Estado de Resultados'!G18</f>
        <v>3420678.7162326267</v>
      </c>
      <c r="AA24" s="16">
        <f>'Estado de Resultados'!H18</f>
        <v>6700478.2031249991</v>
      </c>
      <c r="AB24" s="16">
        <f>'Estado de Resultados'!I18</f>
        <v>3771298.2846464701</v>
      </c>
      <c r="AC24" s="16">
        <f>'Estado de Resultados'!J18</f>
        <v>3959863.1988787935</v>
      </c>
      <c r="AD24" s="16">
        <f>'Estado de Resultados'!K18</f>
        <v>4157856.3588227332</v>
      </c>
    </row>
    <row r="25" spans="1:30">
      <c r="A25" s="3"/>
      <c r="G25" s="161" t="s">
        <v>49</v>
      </c>
      <c r="H25" s="54">
        <f>Q9/F4</f>
        <v>-1513217.1680786237</v>
      </c>
      <c r="I25" s="171" t="s">
        <v>50</v>
      </c>
      <c r="J25" s="69">
        <f>H25/H26</f>
        <v>-0.8406762044881243</v>
      </c>
      <c r="K25" s="76" t="str">
        <f>IF(J25&gt;D4,"ACEPTADO",IF(J25=D4,"INDIFERENTE","RECHAZADO"))</f>
        <v>RECHAZADO</v>
      </c>
      <c r="T25" s="10" t="s">
        <v>118</v>
      </c>
      <c r="U25" s="16">
        <v>0</v>
      </c>
      <c r="V25" s="16">
        <v>0</v>
      </c>
      <c r="W25" s="16">
        <v>0</v>
      </c>
      <c r="X25" s="16">
        <v>0</v>
      </c>
      <c r="Y25" s="16">
        <v>0</v>
      </c>
      <c r="Z25" s="16">
        <v>0</v>
      </c>
      <c r="AA25" s="16">
        <v>0</v>
      </c>
      <c r="AB25" s="16">
        <v>0</v>
      </c>
      <c r="AC25" s="16">
        <v>0</v>
      </c>
      <c r="AD25" s="16">
        <v>0</v>
      </c>
    </row>
    <row r="26" spans="1:30">
      <c r="A26" s="3"/>
      <c r="G26" s="162"/>
      <c r="H26" s="55">
        <f>-1*C6</f>
        <v>1800000</v>
      </c>
      <c r="I26" s="172"/>
      <c r="J26" s="70"/>
      <c r="K26" s="76"/>
      <c r="T26" s="10" t="s">
        <v>30</v>
      </c>
      <c r="U26" s="16">
        <f>'Estado de Resultados'!B20</f>
        <v>192459.7701149426</v>
      </c>
      <c r="V26" s="16">
        <f>'Estado de Resultados'!C20</f>
        <v>187348.5632183908</v>
      </c>
      <c r="W26" s="16">
        <f>'Estado de Resultados'!D20</f>
        <v>177375.90761494293</v>
      </c>
      <c r="X26" s="16">
        <f>'Estado de Resultados'!E20</f>
        <v>161457.17011214106</v>
      </c>
      <c r="Y26" s="16">
        <f>'Estado de Resultados'!F20</f>
        <v>138317.56552550197</v>
      </c>
      <c r="Z26" s="16">
        <f>'Estado de Resultados'!G20</f>
        <v>-1600286.5445383897</v>
      </c>
      <c r="AA26" s="16">
        <f>'Estado de Resultados'!H20</f>
        <v>-3000526.9501031521</v>
      </c>
      <c r="AB26" s="16">
        <f>'Estado de Resultados'!I20</f>
        <v>-1858384.1724037633</v>
      </c>
      <c r="AC26" s="16">
        <f>'Estado de Resultados'!J20</f>
        <v>-1834619.5236456292</v>
      </c>
      <c r="AD26" s="16">
        <f>'Estado de Resultados'!K20</f>
        <v>-1794961.9018778724</v>
      </c>
    </row>
    <row r="27" spans="1:30">
      <c r="A27" s="3"/>
      <c r="T27" s="10" t="s">
        <v>119</v>
      </c>
      <c r="U27" s="9"/>
      <c r="V27" s="9"/>
      <c r="W27" s="9"/>
      <c r="X27" s="9"/>
      <c r="Y27" s="9"/>
      <c r="Z27" s="16">
        <f>Datos!C12-Datos!C14</f>
        <v>900000</v>
      </c>
      <c r="AA27" s="9"/>
      <c r="AB27" s="9"/>
      <c r="AC27" s="9"/>
      <c r="AD27" s="9"/>
    </row>
    <row r="28" spans="1:30">
      <c r="A28" s="3"/>
      <c r="G28" s="138" t="s">
        <v>51</v>
      </c>
      <c r="H28" s="139"/>
      <c r="I28" s="140"/>
      <c r="J28" s="6"/>
      <c r="T28" s="10" t="s">
        <v>120</v>
      </c>
      <c r="U28" s="16">
        <f>SUM(U20:U27)</f>
        <v>7445908.0459770113</v>
      </c>
      <c r="V28" s="16">
        <f>SUM(V20:V27)</f>
        <v>8275400.2873563217</v>
      </c>
      <c r="W28" s="16">
        <f>W20+W21+W22+W23+W24+W25+W26</f>
        <v>9197970.9334770106</v>
      </c>
      <c r="X28" s="16">
        <f>X20+X21+X22+X23+X24+X25+X26</f>
        <v>10224249.42812507</v>
      </c>
      <c r="Y28" s="16">
        <f>Y20+Y21+Y22+Y23+Y24+Y25+Y26</f>
        <v>11366101.404812757</v>
      </c>
      <c r="Z28" s="16">
        <f>Z20+Z21+Z22+Z23+Z24+Z25+Z26+Z27</f>
        <v>17468492.284809105</v>
      </c>
      <c r="AA28" s="16">
        <f>AA20+AA21+AA22+AA23+AA24+AA26</f>
        <v>21171413.491751052</v>
      </c>
      <c r="AB28" s="16">
        <f>AB20+AB21+AB22+AB23+AB24+AB26</f>
        <v>19094071.020455495</v>
      </c>
      <c r="AC28" s="16">
        <f>AC20+AC21+AC22+AC23+AC24+AC26</f>
        <v>20673480.584302127</v>
      </c>
      <c r="AD28" s="16">
        <f>AD20+AD21+AD22+AD23+AD24+AD26</f>
        <v>22389787.877778046</v>
      </c>
    </row>
    <row r="29" spans="1:30">
      <c r="A29" s="3"/>
    </row>
    <row r="30" spans="1:30" ht="18.75">
      <c r="A30" s="3"/>
      <c r="G30" s="161" t="s">
        <v>52</v>
      </c>
      <c r="H30" s="54">
        <f>Q9</f>
        <v>-15132171.680786237</v>
      </c>
      <c r="I30" s="163" t="s">
        <v>50</v>
      </c>
      <c r="J30" s="71">
        <f>H30/H31</f>
        <v>-8.4067620448812423</v>
      </c>
      <c r="K30" s="76" t="str">
        <f>IF(J30&gt;1,"ACEPTADO",IF(J30=1,"INDIFERENTE","RECHAZADO"))</f>
        <v>RECHAZADO</v>
      </c>
      <c r="Y30" s="156" t="s">
        <v>121</v>
      </c>
      <c r="Z30" s="156"/>
      <c r="AA30" s="156"/>
    </row>
    <row r="31" spans="1:30">
      <c r="A31" s="3"/>
      <c r="G31" s="162"/>
      <c r="H31" s="55">
        <f>C6*-1</f>
        <v>1800000</v>
      </c>
      <c r="I31" s="164"/>
      <c r="J31" s="72"/>
      <c r="K31" s="76"/>
      <c r="T31" s="10" t="s">
        <v>110</v>
      </c>
      <c r="U31" s="22">
        <v>1</v>
      </c>
      <c r="V31" s="22">
        <v>2</v>
      </c>
      <c r="W31" s="22">
        <v>3</v>
      </c>
      <c r="X31" s="22">
        <v>4</v>
      </c>
      <c r="Y31" s="22">
        <v>5</v>
      </c>
      <c r="Z31" s="22">
        <v>6</v>
      </c>
      <c r="AA31" s="22">
        <v>7</v>
      </c>
      <c r="AB31" s="22">
        <v>8</v>
      </c>
      <c r="AC31" s="22">
        <v>9</v>
      </c>
      <c r="AD31" s="22">
        <v>10</v>
      </c>
    </row>
    <row r="32" spans="1:30">
      <c r="A32" s="3"/>
      <c r="T32" s="10" t="s">
        <v>36</v>
      </c>
      <c r="U32" s="16">
        <f>U16-U28</f>
        <v>554091.95402298868</v>
      </c>
      <c r="V32" s="16">
        <f t="shared" ref="V32:AD32" si="3">V16-V28</f>
        <v>544599.7126436783</v>
      </c>
      <c r="W32" s="16">
        <f t="shared" si="3"/>
        <v>526079.06652298942</v>
      </c>
      <c r="X32" s="16">
        <f t="shared" si="3"/>
        <v>496515.69687492959</v>
      </c>
      <c r="Y32" s="16">
        <f t="shared" si="3"/>
        <v>453542.14549974352</v>
      </c>
      <c r="Z32" s="16">
        <f t="shared" si="3"/>
        <v>-4437335.2705895752</v>
      </c>
      <c r="AA32" s="16">
        <f t="shared" si="3"/>
        <v>-6804562.883574022</v>
      </c>
      <c r="AB32" s="16">
        <f t="shared" si="3"/>
        <v>-3254618.2249403205</v>
      </c>
      <c r="AC32" s="16">
        <f t="shared" si="3"/>
        <v>-3210483.8772466481</v>
      </c>
      <c r="AD32" s="16">
        <f t="shared" si="3"/>
        <v>-3136834.0082493797</v>
      </c>
    </row>
    <row r="33" spans="1:25">
      <c r="A33" s="3"/>
      <c r="G33" s="138" t="s">
        <v>53</v>
      </c>
      <c r="H33" s="139"/>
      <c r="I33" s="140"/>
      <c r="J33" s="6"/>
    </row>
    <row r="34" spans="1:25">
      <c r="A34" s="3"/>
      <c r="X34" s="56" t="s">
        <v>122</v>
      </c>
      <c r="Y34" s="57">
        <f>SUM(U32:AD32)</f>
        <v>-18269005.689035617</v>
      </c>
    </row>
    <row r="35" spans="1:25">
      <c r="A35" s="3"/>
      <c r="G35" s="56" t="s">
        <v>54</v>
      </c>
      <c r="H35" s="57">
        <f>(H17+I17+J17+K17+L17+M17+N17+O17+P17+Q17)+C6</f>
        <v>-2068177.3130820948</v>
      </c>
      <c r="I35" s="68" t="str">
        <f>IF(H35&gt;0,"ACEPTADO",IF(H35=0,"INDIFERENTE","RECHAZADO"))</f>
        <v>RECHAZADO</v>
      </c>
      <c r="Y35" s="42"/>
    </row>
    <row r="36" spans="1:25">
      <c r="A36" s="3"/>
    </row>
    <row r="37" spans="1:25">
      <c r="A37" s="3"/>
      <c r="G37" s="138" t="s">
        <v>100</v>
      </c>
      <c r="H37" s="139"/>
      <c r="I37" s="140"/>
    </row>
    <row r="38" spans="1:25">
      <c r="A38" s="3"/>
      <c r="G38" s="6"/>
      <c r="H38" s="6"/>
      <c r="I38" s="6"/>
      <c r="J38" s="6"/>
    </row>
    <row r="39" spans="1:25">
      <c r="A39" s="3"/>
    </row>
    <row r="40" spans="1:25">
      <c r="A40" s="3"/>
      <c r="G40" s="22" t="s">
        <v>35</v>
      </c>
      <c r="H40" s="22">
        <v>1</v>
      </c>
      <c r="I40" s="22">
        <v>2</v>
      </c>
      <c r="J40" s="22">
        <v>3</v>
      </c>
      <c r="K40" s="22">
        <v>4</v>
      </c>
      <c r="L40" s="22">
        <v>5</v>
      </c>
      <c r="M40" s="22">
        <v>6</v>
      </c>
      <c r="N40" s="22">
        <v>7</v>
      </c>
      <c r="O40" s="22">
        <v>8</v>
      </c>
      <c r="P40" s="22">
        <v>9</v>
      </c>
      <c r="Q40" s="22">
        <v>10</v>
      </c>
    </row>
    <row r="41" spans="1:25">
      <c r="A41" s="3"/>
      <c r="G41" s="64" t="s">
        <v>36</v>
      </c>
      <c r="H41" s="16">
        <f>H8</f>
        <v>554091.95402298868</v>
      </c>
      <c r="I41" s="16">
        <f t="shared" ref="I41:Q41" si="4">I8</f>
        <v>544599.71264367818</v>
      </c>
      <c r="J41" s="16">
        <f t="shared" si="4"/>
        <v>526079.06652298931</v>
      </c>
      <c r="K41" s="16">
        <f t="shared" si="4"/>
        <v>496515.69687492866</v>
      </c>
      <c r="L41" s="16">
        <f t="shared" si="4"/>
        <v>453542.14549974177</v>
      </c>
      <c r="M41" s="16">
        <f t="shared" si="4"/>
        <v>-4437335.2705895752</v>
      </c>
      <c r="N41" s="16">
        <f t="shared" si="4"/>
        <v>-6804562.883574021</v>
      </c>
      <c r="O41" s="16">
        <f t="shared" si="4"/>
        <v>-3254618.2249403228</v>
      </c>
      <c r="P41" s="16">
        <f t="shared" si="4"/>
        <v>-3210483.8772466448</v>
      </c>
      <c r="Q41" s="16">
        <f t="shared" si="4"/>
        <v>-3136834.008249382</v>
      </c>
    </row>
    <row r="42" spans="1:25">
      <c r="A42" s="3"/>
      <c r="G42" s="63">
        <f>G48</f>
        <v>0.44</v>
      </c>
      <c r="H42" s="62">
        <f>(1+G48)</f>
        <v>1.44</v>
      </c>
      <c r="I42" s="62">
        <f>H42^I40</f>
        <v>2.0735999999999999</v>
      </c>
      <c r="J42" s="62">
        <f>H42^J40</f>
        <v>2.9859839999999997</v>
      </c>
      <c r="K42" s="61">
        <f>H42^K40</f>
        <v>4.2998169599999994</v>
      </c>
      <c r="L42" s="62">
        <f>H42^L40</f>
        <v>6.1917364223999991</v>
      </c>
      <c r="M42" s="62">
        <f>H42^M40</f>
        <v>8.9161004482559978</v>
      </c>
      <c r="N42" s="62">
        <f>H42^N40</f>
        <v>12.839184645488636</v>
      </c>
      <c r="O42" s="62">
        <f>H42^O40</f>
        <v>18.488425889503635</v>
      </c>
      <c r="P42" s="62">
        <f>H42^P40</f>
        <v>26.623333280885234</v>
      </c>
      <c r="Q42" s="62">
        <f>H42^Q40</f>
        <v>38.337599924474738</v>
      </c>
    </row>
    <row r="43" spans="1:25">
      <c r="A43" s="3"/>
      <c r="G43" s="10" t="s">
        <v>58</v>
      </c>
      <c r="H43" s="16">
        <f t="shared" ref="H43:Q43" si="5">H41/H42</f>
        <v>384786.07918263105</v>
      </c>
      <c r="I43" s="16">
        <f t="shared" si="5"/>
        <v>262634.89228572446</v>
      </c>
      <c r="J43" s="16">
        <f t="shared" si="5"/>
        <v>176182.81495245433</v>
      </c>
      <c r="K43" s="9">
        <f t="shared" si="5"/>
        <v>115473.68213435037</v>
      </c>
      <c r="L43" s="16">
        <f t="shared" si="5"/>
        <v>73249.588574047026</v>
      </c>
      <c r="M43" s="16">
        <f t="shared" si="5"/>
        <v>-497676.68010711169</v>
      </c>
      <c r="N43" s="16">
        <f t="shared" si="5"/>
        <v>-529984.03492584487</v>
      </c>
      <c r="O43" s="16">
        <f t="shared" si="5"/>
        <v>-176035.44208639499</v>
      </c>
      <c r="P43" s="16">
        <f t="shared" si="5"/>
        <v>-120589.10292617932</v>
      </c>
      <c r="Q43" s="16">
        <f t="shared" si="5"/>
        <v>-81821.345478823932</v>
      </c>
    </row>
    <row r="44" spans="1:25">
      <c r="A44" s="3"/>
      <c r="G44" s="66">
        <f>G50</f>
        <v>0.46</v>
      </c>
      <c r="H44" s="25">
        <f>(1+G51)</f>
        <v>1</v>
      </c>
      <c r="I44" s="25">
        <f>H44^I40</f>
        <v>1</v>
      </c>
      <c r="J44" s="25">
        <f>H44^J40</f>
        <v>1</v>
      </c>
      <c r="K44" s="25">
        <f>H44^K40</f>
        <v>1</v>
      </c>
      <c r="L44" s="25">
        <f>H44^L40</f>
        <v>1</v>
      </c>
      <c r="M44" s="25">
        <f>H44^M40</f>
        <v>1</v>
      </c>
      <c r="N44" s="25">
        <f>H44^N40</f>
        <v>1</v>
      </c>
      <c r="O44" s="25">
        <f>H44^O40</f>
        <v>1</v>
      </c>
      <c r="P44" s="25">
        <f>H44^P40</f>
        <v>1</v>
      </c>
      <c r="Q44" s="25">
        <f>H44^Q40</f>
        <v>1</v>
      </c>
    </row>
    <row r="45" spans="1:25">
      <c r="A45" s="3"/>
      <c r="G45" s="10" t="s">
        <v>58</v>
      </c>
      <c r="H45" s="16">
        <f t="shared" ref="H45:Q45" si="6">H41/H44</f>
        <v>554091.95402298868</v>
      </c>
      <c r="I45" s="16">
        <f t="shared" si="6"/>
        <v>544599.71264367818</v>
      </c>
      <c r="J45" s="16">
        <f t="shared" si="6"/>
        <v>526079.06652298931</v>
      </c>
      <c r="K45" s="16">
        <f t="shared" si="6"/>
        <v>496515.69687492866</v>
      </c>
      <c r="L45" s="16">
        <f t="shared" si="6"/>
        <v>453542.14549974177</v>
      </c>
      <c r="M45" s="16">
        <f t="shared" si="6"/>
        <v>-4437335.2705895752</v>
      </c>
      <c r="N45" s="16">
        <f t="shared" si="6"/>
        <v>-6804562.883574021</v>
      </c>
      <c r="O45" s="16">
        <f t="shared" si="6"/>
        <v>-3254618.2249403228</v>
      </c>
      <c r="P45" s="16">
        <f t="shared" si="6"/>
        <v>-3210483.8772466448</v>
      </c>
      <c r="Q45" s="16">
        <f t="shared" si="6"/>
        <v>-3136834.008249382</v>
      </c>
    </row>
    <row r="46" spans="1:25">
      <c r="A46" s="3"/>
    </row>
    <row r="47" spans="1:25" ht="15.75">
      <c r="A47" s="3"/>
      <c r="G47" s="157" t="s">
        <v>123</v>
      </c>
      <c r="H47" s="157"/>
      <c r="I47" s="157"/>
    </row>
    <row r="48" spans="1:25">
      <c r="A48" s="3"/>
      <c r="G48" s="65">
        <f>D4-1%</f>
        <v>0.44</v>
      </c>
      <c r="H48" s="16">
        <f>H43+I43+J43+K43+L43+M43+N43+O43+P43+Q43</f>
        <v>-393779.54839514749</v>
      </c>
      <c r="I48" s="16">
        <f>H48</f>
        <v>-393779.54839514749</v>
      </c>
    </row>
    <row r="49" spans="1:13">
      <c r="A49" s="3"/>
      <c r="G49" s="9" t="s">
        <v>124</v>
      </c>
      <c r="H49" s="9"/>
      <c r="I49" s="16">
        <f>C6*-1</f>
        <v>1800000</v>
      </c>
      <c r="K49" s="56" t="s">
        <v>101</v>
      </c>
      <c r="L49" s="67">
        <f>((H51/I51)*1+(G48*100))/100</f>
        <v>0.35851858518000568</v>
      </c>
      <c r="M49" s="68" t="str">
        <f>IF(L49&gt;0,"ACEPTADO",IF(L49=0,"INDIFERENTE","RECHAZADO"))</f>
        <v>ACEPTADO</v>
      </c>
    </row>
    <row r="50" spans="1:13">
      <c r="A50" s="3"/>
      <c r="G50" s="65">
        <f>D4+1%</f>
        <v>0.46</v>
      </c>
      <c r="H50" s="16">
        <f>H45+I45+J45+K45+L45+M45+N45+O45+P45+Q45</f>
        <v>-18269005.689035621</v>
      </c>
      <c r="I50" s="9"/>
    </row>
    <row r="51" spans="1:13">
      <c r="A51" s="3"/>
      <c r="G51" s="9"/>
      <c r="H51" s="16">
        <f>H48-H50</f>
        <v>17875226.140640475</v>
      </c>
      <c r="I51" s="16">
        <f>I48-I49</f>
        <v>-2193779.5483951475</v>
      </c>
    </row>
    <row r="52" spans="1:13">
      <c r="A52" s="3"/>
    </row>
    <row r="53" spans="1:13">
      <c r="A53" s="3"/>
    </row>
    <row r="54" spans="1:13">
      <c r="A54" s="3"/>
    </row>
    <row r="55" spans="1:13">
      <c r="A55" s="3"/>
    </row>
  </sheetData>
  <mergeCells count="23">
    <mergeCell ref="F1:I2"/>
    <mergeCell ref="G14:I14"/>
    <mergeCell ref="G23:I23"/>
    <mergeCell ref="G28:I28"/>
    <mergeCell ref="G6:I6"/>
    <mergeCell ref="G25:G26"/>
    <mergeCell ref="I25:I26"/>
    <mergeCell ref="Y5:AA5"/>
    <mergeCell ref="T6:V6"/>
    <mergeCell ref="U7:V7"/>
    <mergeCell ref="U8:V8"/>
    <mergeCell ref="B4:C4"/>
    <mergeCell ref="Y30:AA30"/>
    <mergeCell ref="G47:I47"/>
    <mergeCell ref="U9:V9"/>
    <mergeCell ref="U10:V10"/>
    <mergeCell ref="U12:V12"/>
    <mergeCell ref="Y14:AA14"/>
    <mergeCell ref="Y18:AA18"/>
    <mergeCell ref="G30:G31"/>
    <mergeCell ref="I30:I31"/>
    <mergeCell ref="G33:I33"/>
    <mergeCell ref="G37:I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tabSelected="1" workbookViewId="0">
      <selection activeCell="C6" sqref="C6"/>
    </sheetView>
  </sheetViews>
  <sheetFormatPr baseColWidth="10" defaultRowHeight="15"/>
  <cols>
    <col min="1" max="1" width="23.28515625" style="2" customWidth="1"/>
    <col min="2" max="2" width="19.140625" style="3" bestFit="1" customWidth="1"/>
    <col min="3" max="3" width="14.140625" style="3" bestFit="1" customWidth="1"/>
    <col min="4" max="4" width="23.42578125" style="3" bestFit="1" customWidth="1"/>
    <col min="5" max="5" width="14.140625" style="3" bestFit="1" customWidth="1"/>
    <col min="6" max="6" width="11.42578125" style="3"/>
    <col min="7" max="7" width="19.140625" style="3" bestFit="1" customWidth="1"/>
    <col min="8" max="8" width="14.140625" style="3" bestFit="1" customWidth="1"/>
    <col min="9" max="9" width="23.42578125" style="3" bestFit="1" customWidth="1"/>
    <col min="10" max="10" width="14.140625" style="3" bestFit="1" customWidth="1"/>
    <col min="11" max="11" width="11.42578125" style="3"/>
    <col min="12" max="12" width="17.85546875" style="3" bestFit="1" customWidth="1"/>
    <col min="13" max="13" width="15.140625" style="3" bestFit="1" customWidth="1"/>
    <col min="14" max="14" width="21.7109375" style="3" bestFit="1" customWidth="1"/>
    <col min="15" max="15" width="19" style="3" bestFit="1" customWidth="1"/>
    <col min="16" max="16" width="11.42578125" style="3"/>
    <col min="17" max="17" width="19.140625" style="3" bestFit="1" customWidth="1"/>
    <col min="18" max="18" width="15.140625" style="3" bestFit="1" customWidth="1"/>
    <col min="19" max="19" width="23.42578125" style="3" bestFit="1" customWidth="1"/>
    <col min="20" max="20" width="15.140625" style="3" bestFit="1" customWidth="1"/>
    <col min="21" max="21" width="11.42578125" style="3"/>
    <col min="22" max="22" width="19.140625" style="3" bestFit="1" customWidth="1"/>
    <col min="23" max="23" width="15.140625" style="3" bestFit="1" customWidth="1"/>
    <col min="24" max="24" width="23.42578125" style="3" bestFit="1" customWidth="1"/>
    <col min="25" max="25" width="15.140625" style="3" bestFit="1" customWidth="1"/>
    <col min="26" max="26" width="11.42578125" style="3"/>
    <col min="27" max="27" width="19.140625" style="3" bestFit="1" customWidth="1"/>
    <col min="28" max="28" width="14.140625" style="3" bestFit="1" customWidth="1"/>
    <col min="29" max="29" width="23.42578125" style="3" bestFit="1" customWidth="1"/>
    <col min="30" max="30" width="14.140625" style="3" bestFit="1" customWidth="1"/>
    <col min="31" max="16384" width="11.42578125" style="3"/>
  </cols>
  <sheetData>
    <row r="1" spans="1:31" s="4" customFormat="1" ht="15" customHeight="1">
      <c r="B1" s="155" t="s">
        <v>98</v>
      </c>
      <c r="C1" s="155"/>
      <c r="D1" s="155"/>
      <c r="E1" s="155"/>
      <c r="F1" s="155"/>
      <c r="G1" s="155"/>
      <c r="H1" s="155"/>
      <c r="I1" s="155"/>
      <c r="J1" s="155"/>
      <c r="K1" s="155"/>
      <c r="L1" s="155" t="s">
        <v>98</v>
      </c>
      <c r="M1" s="155"/>
      <c r="N1" s="155"/>
      <c r="O1" s="155"/>
      <c r="P1" s="155"/>
      <c r="Q1" s="155"/>
      <c r="R1" s="155"/>
      <c r="S1" s="155"/>
      <c r="T1" s="155"/>
      <c r="U1" s="155"/>
      <c r="V1" s="155" t="s">
        <v>98</v>
      </c>
      <c r="W1" s="155"/>
      <c r="X1" s="155"/>
      <c r="Y1" s="155"/>
      <c r="Z1" s="155"/>
      <c r="AA1" s="155"/>
      <c r="AB1" s="155"/>
      <c r="AC1" s="155"/>
      <c r="AD1" s="155"/>
      <c r="AE1" s="155"/>
    </row>
    <row r="2" spans="1:31" s="4" customFormat="1" ht="15" customHeight="1">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row>
    <row r="3" spans="1:31" ht="19.5" customHeight="1">
      <c r="A3" s="3"/>
    </row>
    <row r="4" spans="1:31" ht="15.75">
      <c r="A4" s="3"/>
      <c r="B4" s="173" t="s">
        <v>97</v>
      </c>
      <c r="C4" s="173"/>
      <c r="D4" s="173"/>
      <c r="E4" s="173"/>
      <c r="G4" s="173" t="s">
        <v>87</v>
      </c>
      <c r="H4" s="173"/>
      <c r="I4" s="173"/>
      <c r="J4" s="173"/>
      <c r="L4" s="173" t="s">
        <v>88</v>
      </c>
      <c r="M4" s="173"/>
      <c r="N4" s="173"/>
      <c r="O4" s="173"/>
      <c r="Q4" s="173" t="s">
        <v>89</v>
      </c>
      <c r="R4" s="173"/>
      <c r="S4" s="173"/>
      <c r="T4" s="173"/>
      <c r="V4" s="173" t="s">
        <v>90</v>
      </c>
      <c r="W4" s="173"/>
      <c r="X4" s="173"/>
      <c r="Y4" s="173"/>
      <c r="AA4" s="173" t="s">
        <v>91</v>
      </c>
      <c r="AB4" s="173"/>
      <c r="AC4" s="173"/>
      <c r="AD4" s="173"/>
    </row>
    <row r="5" spans="1:31">
      <c r="A5" s="3"/>
      <c r="B5" s="44" t="s">
        <v>56</v>
      </c>
      <c r="C5" s="23"/>
      <c r="D5" s="44" t="s">
        <v>66</v>
      </c>
      <c r="E5" s="23"/>
      <c r="G5" s="44" t="s">
        <v>56</v>
      </c>
      <c r="H5" s="23"/>
      <c r="I5" s="44" t="s">
        <v>66</v>
      </c>
      <c r="J5" s="23"/>
      <c r="L5" s="44" t="s">
        <v>56</v>
      </c>
      <c r="M5" s="23"/>
      <c r="N5" s="44" t="s">
        <v>66</v>
      </c>
      <c r="O5" s="23"/>
      <c r="Q5" s="44" t="s">
        <v>56</v>
      </c>
      <c r="R5" s="23"/>
      <c r="S5" s="44" t="s">
        <v>66</v>
      </c>
      <c r="T5" s="23"/>
      <c r="V5" s="44" t="s">
        <v>56</v>
      </c>
      <c r="W5" s="23"/>
      <c r="X5" s="44" t="s">
        <v>66</v>
      </c>
      <c r="Y5" s="23"/>
      <c r="AA5" s="44" t="s">
        <v>56</v>
      </c>
      <c r="AB5" s="23"/>
      <c r="AC5" s="44" t="s">
        <v>66</v>
      </c>
      <c r="AD5" s="23"/>
    </row>
    <row r="6" spans="1:31">
      <c r="A6" s="3"/>
      <c r="B6" s="23" t="s">
        <v>69</v>
      </c>
      <c r="C6" s="38">
        <f>Datos!C26</f>
        <v>200000</v>
      </c>
      <c r="D6" s="23"/>
      <c r="E6" s="23"/>
      <c r="G6" s="23" t="s">
        <v>69</v>
      </c>
      <c r="H6" s="38">
        <f>C6+'Métodos de Evaluación'!C7</f>
        <v>754091.95402298868</v>
      </c>
      <c r="I6" s="23"/>
      <c r="J6" s="23"/>
      <c r="L6" s="23" t="s">
        <v>69</v>
      </c>
      <c r="M6" s="38">
        <f>H6+'Estado de Resultados'!C21+'Estado de Resultados'!C15</f>
        <v>1298691.666666667</v>
      </c>
      <c r="N6" s="23"/>
      <c r="O6" s="23"/>
      <c r="Q6" s="23" t="s">
        <v>69</v>
      </c>
      <c r="R6" s="38">
        <f>M6+'Estado de Resultados'!D21+'Estado de Resultados'!D15</f>
        <v>1824770.7331896564</v>
      </c>
      <c r="S6" s="23"/>
      <c r="T6" s="23"/>
      <c r="V6" s="23" t="s">
        <v>69</v>
      </c>
      <c r="W6" s="38">
        <f>R6+'Estado de Resultados'!E15+'Estado de Resultados'!E21</f>
        <v>2321286.4300645851</v>
      </c>
      <c r="X6" s="23"/>
      <c r="Y6" s="23"/>
      <c r="AA6" s="23" t="s">
        <v>69</v>
      </c>
      <c r="AB6" s="38">
        <f>W6+'Estado de Resultados'!F21+'Estado de Resultados'!F15</f>
        <v>2774828.5755643267</v>
      </c>
      <c r="AC6" s="23"/>
      <c r="AD6" s="23"/>
    </row>
    <row r="7" spans="1:31">
      <c r="A7" s="3"/>
      <c r="B7" s="45" t="s">
        <v>58</v>
      </c>
      <c r="C7" s="46">
        <f>C6</f>
        <v>200000</v>
      </c>
      <c r="D7" s="45" t="s">
        <v>65</v>
      </c>
      <c r="E7" s="46">
        <v>0</v>
      </c>
      <c r="G7" s="45" t="s">
        <v>58</v>
      </c>
      <c r="H7" s="46">
        <f>H6</f>
        <v>754091.95402298868</v>
      </c>
      <c r="I7" s="45" t="s">
        <v>65</v>
      </c>
      <c r="J7" s="46">
        <v>0</v>
      </c>
      <c r="L7" s="45" t="s">
        <v>58</v>
      </c>
      <c r="M7" s="46">
        <f>M6</f>
        <v>1298691.666666667</v>
      </c>
      <c r="N7" s="45" t="s">
        <v>65</v>
      </c>
      <c r="O7" s="46">
        <v>0</v>
      </c>
      <c r="Q7" s="45" t="s">
        <v>58</v>
      </c>
      <c r="R7" s="46">
        <f>R6</f>
        <v>1824770.7331896564</v>
      </c>
      <c r="S7" s="45" t="s">
        <v>65</v>
      </c>
      <c r="T7" s="46">
        <v>0</v>
      </c>
      <c r="V7" s="45" t="s">
        <v>58</v>
      </c>
      <c r="W7" s="46">
        <f>W6</f>
        <v>2321286.4300645851</v>
      </c>
      <c r="X7" s="45" t="s">
        <v>65</v>
      </c>
      <c r="Y7" s="46">
        <v>0</v>
      </c>
      <c r="AA7" s="45" t="s">
        <v>58</v>
      </c>
      <c r="AB7" s="46">
        <f>AB6</f>
        <v>2774828.5755643267</v>
      </c>
      <c r="AC7" s="45" t="s">
        <v>65</v>
      </c>
      <c r="AD7" s="46">
        <v>0</v>
      </c>
    </row>
    <row r="8" spans="1:31">
      <c r="A8" s="3"/>
      <c r="B8" s="44" t="s">
        <v>59</v>
      </c>
      <c r="C8" s="38"/>
      <c r="D8" s="23"/>
      <c r="E8" s="38"/>
      <c r="G8" s="44" t="s">
        <v>59</v>
      </c>
      <c r="H8" s="38"/>
      <c r="I8" s="23"/>
      <c r="J8" s="38"/>
      <c r="L8" s="44" t="s">
        <v>59</v>
      </c>
      <c r="M8" s="38"/>
      <c r="N8" s="23"/>
      <c r="O8" s="38"/>
      <c r="Q8" s="44" t="s">
        <v>59</v>
      </c>
      <c r="R8" s="38"/>
      <c r="S8" s="23"/>
      <c r="T8" s="38"/>
      <c r="V8" s="44" t="s">
        <v>59</v>
      </c>
      <c r="W8" s="38"/>
      <c r="X8" s="23"/>
      <c r="Y8" s="38"/>
      <c r="AA8" s="44" t="s">
        <v>59</v>
      </c>
      <c r="AB8" s="38"/>
      <c r="AC8" s="23"/>
      <c r="AD8" s="38"/>
    </row>
    <row r="9" spans="1:31">
      <c r="A9" s="3"/>
      <c r="B9" s="23" t="s">
        <v>62</v>
      </c>
      <c r="C9" s="38">
        <f>Datos!C10</f>
        <v>500000</v>
      </c>
      <c r="D9" s="44" t="s">
        <v>67</v>
      </c>
      <c r="E9" s="38"/>
      <c r="G9" s="23" t="s">
        <v>2</v>
      </c>
      <c r="H9" s="38">
        <f>C10</f>
        <v>100000</v>
      </c>
      <c r="I9" s="44" t="s">
        <v>67</v>
      </c>
      <c r="J9" s="38"/>
      <c r="L9" s="23" t="s">
        <v>2</v>
      </c>
      <c r="M9" s="38">
        <f>H9</f>
        <v>100000</v>
      </c>
      <c r="N9" s="44" t="s">
        <v>67</v>
      </c>
      <c r="O9" s="38"/>
      <c r="Q9" s="23" t="s">
        <v>2</v>
      </c>
      <c r="R9" s="38">
        <f>M9</f>
        <v>100000</v>
      </c>
      <c r="S9" s="44" t="s">
        <v>67</v>
      </c>
      <c r="T9" s="38"/>
      <c r="V9" s="23" t="s">
        <v>2</v>
      </c>
      <c r="W9" s="38">
        <f>R9</f>
        <v>100000</v>
      </c>
      <c r="X9" s="44" t="s">
        <v>67</v>
      </c>
      <c r="Y9" s="38"/>
      <c r="AA9" s="23" t="s">
        <v>2</v>
      </c>
      <c r="AB9" s="38">
        <f>W9</f>
        <v>100000</v>
      </c>
      <c r="AC9" s="44" t="s">
        <v>67</v>
      </c>
      <c r="AD9" s="38"/>
    </row>
    <row r="10" spans="1:31">
      <c r="A10" s="3"/>
      <c r="B10" s="23" t="s">
        <v>63</v>
      </c>
      <c r="C10" s="38">
        <f>Datos!C9</f>
        <v>100000</v>
      </c>
      <c r="D10" s="23" t="s">
        <v>57</v>
      </c>
      <c r="E10" s="38">
        <f>C9+C10+C11+Datos!C26</f>
        <v>1800000</v>
      </c>
      <c r="G10" s="23" t="s">
        <v>70</v>
      </c>
      <c r="H10" s="38">
        <f>C9</f>
        <v>500000</v>
      </c>
      <c r="I10" s="23" t="s">
        <v>57</v>
      </c>
      <c r="J10" s="38">
        <f>E10</f>
        <v>1800000</v>
      </c>
      <c r="L10" s="23" t="s">
        <v>70</v>
      </c>
      <c r="M10" s="38">
        <f>H10</f>
        <v>500000</v>
      </c>
      <c r="N10" s="23" t="s">
        <v>57</v>
      </c>
      <c r="O10" s="38">
        <f>J15</f>
        <v>2157425.2873563222</v>
      </c>
      <c r="Q10" s="23" t="s">
        <v>70</v>
      </c>
      <c r="R10" s="38">
        <f>M10</f>
        <v>500000</v>
      </c>
      <c r="S10" s="23" t="s">
        <v>57</v>
      </c>
      <c r="T10" s="38">
        <f>O15</f>
        <v>2505358.333333334</v>
      </c>
      <c r="V10" s="23" t="s">
        <v>70</v>
      </c>
      <c r="W10" s="38">
        <f>R10</f>
        <v>500000</v>
      </c>
      <c r="X10" s="23" t="s">
        <v>57</v>
      </c>
      <c r="Y10" s="38">
        <f>T15</f>
        <v>2834770.7331896564</v>
      </c>
      <c r="AA10" s="23" t="s">
        <v>70</v>
      </c>
      <c r="AB10" s="38">
        <f>W10</f>
        <v>500000</v>
      </c>
      <c r="AC10" s="23" t="s">
        <v>57</v>
      </c>
      <c r="AD10" s="38">
        <f>Y15</f>
        <v>3134619.7633979185</v>
      </c>
    </row>
    <row r="11" spans="1:31">
      <c r="A11" s="3"/>
      <c r="B11" s="23" t="s">
        <v>60</v>
      </c>
      <c r="C11" s="38">
        <f>Datos!C12</f>
        <v>1000000</v>
      </c>
      <c r="D11" s="23"/>
      <c r="E11" s="38"/>
      <c r="G11" s="23" t="s">
        <v>71</v>
      </c>
      <c r="H11" s="24">
        <f>Datos!D10</f>
        <v>16666.666666666668</v>
      </c>
      <c r="I11" s="23" t="s">
        <v>31</v>
      </c>
      <c r="J11" s="24">
        <f>'Estado de Resultados'!B21</f>
        <v>357425.28735632205</v>
      </c>
      <c r="L11" s="23" t="s">
        <v>71</v>
      </c>
      <c r="M11" s="24">
        <f>H11*2</f>
        <v>33333.333333333336</v>
      </c>
      <c r="N11" s="23" t="s">
        <v>31</v>
      </c>
      <c r="O11" s="24">
        <f>'Estado de Resultados'!C21</f>
        <v>347933.04597701156</v>
      </c>
      <c r="Q11" s="23" t="s">
        <v>71</v>
      </c>
      <c r="R11" s="24">
        <f>H11*3</f>
        <v>50000</v>
      </c>
      <c r="S11" s="23" t="s">
        <v>31</v>
      </c>
      <c r="T11" s="24">
        <f>'Estado de Resultados'!D21</f>
        <v>329412.39985632262</v>
      </c>
      <c r="V11" s="23" t="s">
        <v>71</v>
      </c>
      <c r="W11" s="24">
        <f>H11*4</f>
        <v>66666.666666666672</v>
      </c>
      <c r="X11" s="23" t="s">
        <v>31</v>
      </c>
      <c r="Y11" s="24">
        <f>'Estado de Resultados'!E21</f>
        <v>299849.03020826203</v>
      </c>
      <c r="AA11" s="23" t="s">
        <v>71</v>
      </c>
      <c r="AB11" s="24">
        <f>W11/4*5</f>
        <v>83333.333333333343</v>
      </c>
      <c r="AC11" s="23" t="s">
        <v>31</v>
      </c>
      <c r="AD11" s="24">
        <f>'Estado de Resultados'!F21</f>
        <v>256875.47883307515</v>
      </c>
    </row>
    <row r="12" spans="1:31">
      <c r="A12" s="3"/>
      <c r="B12" s="23"/>
      <c r="C12" s="38"/>
      <c r="D12" s="23"/>
      <c r="E12" s="38"/>
      <c r="G12" s="23" t="s">
        <v>60</v>
      </c>
      <c r="H12" s="38">
        <f>C11</f>
        <v>1000000</v>
      </c>
      <c r="I12" s="23"/>
      <c r="J12" s="38"/>
      <c r="L12" s="23" t="s">
        <v>60</v>
      </c>
      <c r="M12" s="38">
        <f>H12</f>
        <v>1000000</v>
      </c>
      <c r="N12" s="23"/>
      <c r="O12" s="38"/>
      <c r="Q12" s="23" t="s">
        <v>60</v>
      </c>
      <c r="R12" s="38">
        <f>M12</f>
        <v>1000000</v>
      </c>
      <c r="S12" s="23"/>
      <c r="T12" s="38"/>
      <c r="V12" s="23" t="s">
        <v>60</v>
      </c>
      <c r="W12" s="38">
        <f>R12</f>
        <v>1000000</v>
      </c>
      <c r="X12" s="23"/>
      <c r="Y12" s="38"/>
      <c r="AA12" s="23" t="s">
        <v>60</v>
      </c>
      <c r="AB12" s="38">
        <f>W12</f>
        <v>1000000</v>
      </c>
      <c r="AC12" s="23"/>
      <c r="AD12" s="38"/>
    </row>
    <row r="13" spans="1:31">
      <c r="A13" s="3"/>
      <c r="B13" s="45" t="s">
        <v>61</v>
      </c>
      <c r="C13" s="46">
        <f>C11+C9+C10</f>
        <v>1600000</v>
      </c>
      <c r="D13" s="23"/>
      <c r="E13" s="38"/>
      <c r="G13" s="23" t="s">
        <v>71</v>
      </c>
      <c r="H13" s="38">
        <f>Datos!D12</f>
        <v>180000</v>
      </c>
      <c r="I13" s="23"/>
      <c r="J13" s="38"/>
      <c r="L13" s="23" t="s">
        <v>71</v>
      </c>
      <c r="M13" s="38">
        <f>H13*2</f>
        <v>360000</v>
      </c>
      <c r="N13" s="23"/>
      <c r="O13" s="38"/>
      <c r="Q13" s="23" t="s">
        <v>71</v>
      </c>
      <c r="R13" s="38">
        <f>H13*3</f>
        <v>540000</v>
      </c>
      <c r="S13" s="23"/>
      <c r="T13" s="38"/>
      <c r="V13" s="23" t="s">
        <v>71</v>
      </c>
      <c r="W13" s="38">
        <f>H13*4</f>
        <v>720000</v>
      </c>
      <c r="X13" s="23"/>
      <c r="Y13" s="38"/>
      <c r="AA13" s="23" t="s">
        <v>71</v>
      </c>
      <c r="AB13" s="38">
        <f>W13/4*5</f>
        <v>900000</v>
      </c>
      <c r="AC13" s="23"/>
      <c r="AD13" s="38"/>
    </row>
    <row r="14" spans="1:31">
      <c r="A14" s="3"/>
      <c r="B14" s="45" t="s">
        <v>68</v>
      </c>
      <c r="C14" s="46">
        <f>C13+C7</f>
        <v>1800000</v>
      </c>
      <c r="D14" s="45" t="s">
        <v>64</v>
      </c>
      <c r="E14" s="46">
        <f>E10+E7</f>
        <v>1800000</v>
      </c>
      <c r="G14" s="45" t="s">
        <v>61</v>
      </c>
      <c r="H14" s="46">
        <f>H9+H10+H12-H11-H13</f>
        <v>1403333.3333333333</v>
      </c>
      <c r="I14" s="23"/>
      <c r="J14" s="38"/>
      <c r="L14" s="45" t="s">
        <v>61</v>
      </c>
      <c r="M14" s="46">
        <f>M9+M10+M12-M11-M13</f>
        <v>1206666.6666666667</v>
      </c>
      <c r="N14" s="23"/>
      <c r="O14" s="38"/>
      <c r="Q14" s="45" t="s">
        <v>61</v>
      </c>
      <c r="R14" s="46">
        <f>R9+R10+R12-R11-R13</f>
        <v>1010000</v>
      </c>
      <c r="S14" s="23"/>
      <c r="T14" s="38"/>
      <c r="V14" s="45" t="s">
        <v>61</v>
      </c>
      <c r="W14" s="38">
        <f>W9+W10+W12-W11-W13</f>
        <v>813333.33333333326</v>
      </c>
      <c r="X14" s="23"/>
      <c r="Y14" s="38"/>
      <c r="AA14" s="45" t="s">
        <v>61</v>
      </c>
      <c r="AB14" s="46">
        <f>AB9+AB10+AB12-AB11-AB13</f>
        <v>616666.66666666674</v>
      </c>
      <c r="AC14" s="23"/>
      <c r="AD14" s="38"/>
    </row>
    <row r="15" spans="1:31">
      <c r="A15" s="3"/>
      <c r="G15" s="45" t="s">
        <v>68</v>
      </c>
      <c r="H15" s="46">
        <f>H14+H7</f>
        <v>2157425.2873563217</v>
      </c>
      <c r="I15" s="45" t="s">
        <v>64</v>
      </c>
      <c r="J15" s="46">
        <f>J10+J11</f>
        <v>2157425.2873563222</v>
      </c>
      <c r="L15" s="45" t="s">
        <v>68</v>
      </c>
      <c r="M15" s="46">
        <f>M14+M7</f>
        <v>2505358.333333334</v>
      </c>
      <c r="N15" s="45" t="s">
        <v>64</v>
      </c>
      <c r="O15" s="46">
        <f>O10+O11</f>
        <v>2505358.333333334</v>
      </c>
      <c r="Q15" s="45" t="s">
        <v>68</v>
      </c>
      <c r="R15" s="46">
        <f>R14+R7</f>
        <v>2834770.7331896564</v>
      </c>
      <c r="S15" s="45" t="s">
        <v>64</v>
      </c>
      <c r="T15" s="46">
        <f>T10+T11</f>
        <v>2834770.7331896564</v>
      </c>
      <c r="V15" s="45" t="s">
        <v>68</v>
      </c>
      <c r="W15" s="46">
        <f>W14+W7</f>
        <v>3134619.7633979181</v>
      </c>
      <c r="X15" s="45" t="s">
        <v>64</v>
      </c>
      <c r="Y15" s="46">
        <f>Y10+Y11</f>
        <v>3134619.7633979185</v>
      </c>
      <c r="AA15" s="45" t="s">
        <v>68</v>
      </c>
      <c r="AB15" s="46">
        <f>AB14+AB7</f>
        <v>3391495.2422309937</v>
      </c>
      <c r="AC15" s="45" t="s">
        <v>64</v>
      </c>
      <c r="AD15" s="46">
        <f>AD10+AD11</f>
        <v>3391495.2422309937</v>
      </c>
    </row>
    <row r="16" spans="1:31">
      <c r="A16" s="3"/>
    </row>
    <row r="17" spans="1:30" ht="15.75">
      <c r="A17" s="3"/>
      <c r="B17" s="174" t="s">
        <v>92</v>
      </c>
      <c r="C17" s="175"/>
      <c r="D17" s="175"/>
      <c r="E17" s="176"/>
      <c r="G17" s="173" t="s">
        <v>93</v>
      </c>
      <c r="H17" s="173"/>
      <c r="I17" s="173"/>
      <c r="J17" s="173"/>
      <c r="L17" s="173" t="s">
        <v>94</v>
      </c>
      <c r="M17" s="173"/>
      <c r="N17" s="173"/>
      <c r="O17" s="173"/>
      <c r="Q17" s="173" t="s">
        <v>95</v>
      </c>
      <c r="R17" s="173"/>
      <c r="S17" s="173"/>
      <c r="T17" s="173"/>
      <c r="V17" s="173" t="s">
        <v>96</v>
      </c>
      <c r="W17" s="173"/>
      <c r="X17" s="173"/>
      <c r="Y17" s="173"/>
      <c r="AA17" s="130"/>
      <c r="AB17" s="130"/>
      <c r="AC17" s="130"/>
      <c r="AD17" s="130"/>
    </row>
    <row r="18" spans="1:30">
      <c r="A18" s="3"/>
      <c r="B18" s="44" t="s">
        <v>56</v>
      </c>
      <c r="C18" s="23"/>
      <c r="D18" s="44" t="s">
        <v>66</v>
      </c>
      <c r="E18" s="23"/>
      <c r="G18" s="44" t="s">
        <v>56</v>
      </c>
      <c r="H18" s="23"/>
      <c r="I18" s="44" t="s">
        <v>66</v>
      </c>
      <c r="J18" s="23"/>
      <c r="L18" s="44" t="s">
        <v>56</v>
      </c>
      <c r="M18" s="23"/>
      <c r="N18" s="44" t="s">
        <v>66</v>
      </c>
      <c r="O18" s="23"/>
      <c r="Q18" s="44" t="s">
        <v>56</v>
      </c>
      <c r="R18" s="23"/>
      <c r="S18" s="44" t="s">
        <v>66</v>
      </c>
      <c r="T18" s="23"/>
      <c r="V18" s="44" t="s">
        <v>56</v>
      </c>
      <c r="W18" s="23"/>
      <c r="X18" s="44" t="s">
        <v>66</v>
      </c>
      <c r="Y18" s="23"/>
      <c r="AA18" s="5"/>
      <c r="AB18" s="5"/>
      <c r="AC18" s="5"/>
      <c r="AD18" s="5"/>
    </row>
    <row r="19" spans="1:30">
      <c r="A19" s="3"/>
      <c r="B19" s="23" t="s">
        <v>69</v>
      </c>
      <c r="C19" s="38">
        <f>AB6+'Métodos de Evaluación'!C12</f>
        <v>-1662506.6950252485</v>
      </c>
      <c r="D19" s="23"/>
      <c r="E19" s="38"/>
      <c r="G19" s="23" t="s">
        <v>69</v>
      </c>
      <c r="H19" s="38">
        <f>C20+'Estado de Resultados'!H21+'Estado de Resultados'!H15</f>
        <v>-8467069.5785992704</v>
      </c>
      <c r="I19" s="23" t="s">
        <v>77</v>
      </c>
      <c r="J19" s="38"/>
      <c r="L19" s="23" t="s">
        <v>69</v>
      </c>
      <c r="M19" s="38">
        <f>H19+'Estado de Resultados'!I21+'Estado de Resultados'!I15</f>
        <v>-11721687.803539595</v>
      </c>
      <c r="N19" s="23" t="s">
        <v>77</v>
      </c>
      <c r="O19" s="38"/>
      <c r="Q19" s="23" t="s">
        <v>69</v>
      </c>
      <c r="R19" s="38">
        <f>M19+'Estado de Resultados'!J21+'Estado de Resultados'!J15</f>
        <v>-14932171.680786239</v>
      </c>
      <c r="S19" s="23" t="s">
        <v>77</v>
      </c>
      <c r="T19" s="38"/>
      <c r="V19" s="23" t="s">
        <v>69</v>
      </c>
      <c r="W19" s="38">
        <f>R19+'Estado de Resultados'!K21+'Estado de Resultados'!K15</f>
        <v>-18069005.689035621</v>
      </c>
      <c r="X19" s="23" t="s">
        <v>77</v>
      </c>
      <c r="Y19" s="38"/>
      <c r="AA19" s="5"/>
      <c r="AB19" s="39"/>
      <c r="AC19" s="5"/>
      <c r="AD19" s="39"/>
    </row>
    <row r="20" spans="1:30">
      <c r="A20" s="3"/>
      <c r="B20" s="45" t="s">
        <v>58</v>
      </c>
      <c r="C20" s="46">
        <f>C19</f>
        <v>-1662506.6950252485</v>
      </c>
      <c r="D20" s="45" t="s">
        <v>65</v>
      </c>
      <c r="E20" s="46">
        <f>E19</f>
        <v>0</v>
      </c>
      <c r="G20" s="45" t="s">
        <v>58</v>
      </c>
      <c r="H20" s="46">
        <f>H19</f>
        <v>-8467069.5785992704</v>
      </c>
      <c r="I20" s="45" t="s">
        <v>65</v>
      </c>
      <c r="J20" s="46">
        <f>J19</f>
        <v>0</v>
      </c>
      <c r="L20" s="45" t="s">
        <v>58</v>
      </c>
      <c r="M20" s="46">
        <f>M19</f>
        <v>-11721687.803539595</v>
      </c>
      <c r="N20" s="45" t="s">
        <v>65</v>
      </c>
      <c r="O20" s="46">
        <f>O19</f>
        <v>0</v>
      </c>
      <c r="Q20" s="45" t="s">
        <v>58</v>
      </c>
      <c r="R20" s="46">
        <f>R19</f>
        <v>-14932171.680786239</v>
      </c>
      <c r="S20" s="45" t="s">
        <v>65</v>
      </c>
      <c r="T20" s="46">
        <f>T19</f>
        <v>0</v>
      </c>
      <c r="V20" s="45" t="s">
        <v>58</v>
      </c>
      <c r="W20" s="46">
        <f>W19</f>
        <v>-18069005.689035621</v>
      </c>
      <c r="X20" s="45" t="s">
        <v>65</v>
      </c>
      <c r="Y20" s="46">
        <f>Y19</f>
        <v>0</v>
      </c>
      <c r="AA20" s="5"/>
      <c r="AB20" s="39"/>
      <c r="AC20" s="5"/>
      <c r="AD20" s="39"/>
    </row>
    <row r="21" spans="1:30">
      <c r="A21" s="3"/>
      <c r="B21" s="44" t="s">
        <v>59</v>
      </c>
      <c r="C21" s="38"/>
      <c r="D21" s="23"/>
      <c r="E21" s="38"/>
      <c r="G21" s="44" t="s">
        <v>59</v>
      </c>
      <c r="H21" s="38"/>
      <c r="I21" s="23"/>
      <c r="J21" s="38"/>
      <c r="L21" s="44" t="s">
        <v>59</v>
      </c>
      <c r="M21" s="38"/>
      <c r="N21" s="23"/>
      <c r="O21" s="38"/>
      <c r="Q21" s="44" t="s">
        <v>59</v>
      </c>
      <c r="R21" s="38"/>
      <c r="S21" s="23"/>
      <c r="T21" s="38"/>
      <c r="V21" s="44" t="s">
        <v>59</v>
      </c>
      <c r="W21" s="38"/>
      <c r="X21" s="23"/>
      <c r="Y21" s="38"/>
      <c r="AA21" s="5"/>
      <c r="AB21" s="39"/>
      <c r="AC21" s="5"/>
      <c r="AD21" s="39"/>
    </row>
    <row r="22" spans="1:30">
      <c r="A22" s="3"/>
      <c r="B22" s="23" t="s">
        <v>2</v>
      </c>
      <c r="C22" s="38">
        <f>C10</f>
        <v>100000</v>
      </c>
      <c r="D22" s="44" t="s">
        <v>67</v>
      </c>
      <c r="E22" s="38"/>
      <c r="G22" s="23" t="s">
        <v>2</v>
      </c>
      <c r="H22" s="38">
        <f>C22</f>
        <v>100000</v>
      </c>
      <c r="I22" s="44" t="s">
        <v>67</v>
      </c>
      <c r="J22" s="38"/>
      <c r="L22" s="23" t="s">
        <v>2</v>
      </c>
      <c r="M22" s="38">
        <f>H22</f>
        <v>100000</v>
      </c>
      <c r="N22" s="44" t="s">
        <v>67</v>
      </c>
      <c r="O22" s="38"/>
      <c r="Q22" s="23" t="s">
        <v>2</v>
      </c>
      <c r="R22" s="38">
        <f>M22</f>
        <v>100000</v>
      </c>
      <c r="S22" s="44" t="s">
        <v>67</v>
      </c>
      <c r="T22" s="38"/>
      <c r="V22" s="23" t="s">
        <v>2</v>
      </c>
      <c r="W22" s="38">
        <f>R22</f>
        <v>100000</v>
      </c>
      <c r="X22" s="44" t="s">
        <v>67</v>
      </c>
      <c r="Y22" s="38"/>
      <c r="AA22" s="5"/>
      <c r="AB22" s="39"/>
      <c r="AC22" s="5"/>
      <c r="AD22" s="39"/>
    </row>
    <row r="23" spans="1:30">
      <c r="A23" s="3"/>
      <c r="B23" s="23" t="s">
        <v>70</v>
      </c>
      <c r="C23" s="38">
        <f>C9</f>
        <v>500000</v>
      </c>
      <c r="D23" s="23" t="s">
        <v>57</v>
      </c>
      <c r="E23" s="38">
        <f>AD15</f>
        <v>3391495.2422309937</v>
      </c>
      <c r="G23" s="23" t="s">
        <v>70</v>
      </c>
      <c r="H23" s="38">
        <f>C23</f>
        <v>500000</v>
      </c>
      <c r="I23" s="23" t="s">
        <v>57</v>
      </c>
      <c r="J23" s="38">
        <f>E28</f>
        <v>-342506.69502524845</v>
      </c>
      <c r="L23" s="23" t="s">
        <v>70</v>
      </c>
      <c r="M23" s="38">
        <f>H23</f>
        <v>500000</v>
      </c>
      <c r="N23" s="23" t="s">
        <v>57</v>
      </c>
      <c r="O23" s="38">
        <f>J28</f>
        <v>-7343736.2452659365</v>
      </c>
      <c r="Q23" s="23" t="s">
        <v>70</v>
      </c>
      <c r="R23" s="38">
        <f>M23</f>
        <v>500000</v>
      </c>
      <c r="S23" s="23" t="s">
        <v>57</v>
      </c>
      <c r="T23" s="38">
        <f>O28</f>
        <v>-10795021.136872925</v>
      </c>
      <c r="V23" s="23" t="s">
        <v>70</v>
      </c>
      <c r="W23" s="38">
        <f>R23</f>
        <v>500000</v>
      </c>
      <c r="X23" s="23" t="s">
        <v>57</v>
      </c>
      <c r="Y23" s="38">
        <f>T28</f>
        <v>-14202171.680786237</v>
      </c>
      <c r="AA23" s="5"/>
      <c r="AB23" s="39"/>
      <c r="AC23" s="5"/>
      <c r="AD23" s="39"/>
    </row>
    <row r="24" spans="1:30">
      <c r="A24" s="3"/>
      <c r="B24" s="23" t="s">
        <v>71</v>
      </c>
      <c r="C24" s="24">
        <f>H11*6</f>
        <v>100000</v>
      </c>
      <c r="D24" s="23" t="s">
        <v>31</v>
      </c>
      <c r="E24" s="38">
        <f>'Estado de Resultados'!G21</f>
        <v>-3734001.9372562421</v>
      </c>
      <c r="G24" s="23" t="s">
        <v>71</v>
      </c>
      <c r="H24" s="24">
        <f>$H$11*7</f>
        <v>116666.66666666667</v>
      </c>
      <c r="I24" s="23" t="s">
        <v>31</v>
      </c>
      <c r="J24" s="38">
        <f>'Estado de Resultados'!H21</f>
        <v>-7001229.550240688</v>
      </c>
      <c r="L24" s="23" t="s">
        <v>71</v>
      </c>
      <c r="M24" s="24">
        <f>$H$11*8</f>
        <v>133333.33333333334</v>
      </c>
      <c r="N24" s="23" t="s">
        <v>31</v>
      </c>
      <c r="O24" s="38">
        <f>'Estado de Resultados'!I21</f>
        <v>-3451284.8916069893</v>
      </c>
      <c r="Q24" s="23" t="s">
        <v>71</v>
      </c>
      <c r="R24" s="24">
        <f>$H$11*9</f>
        <v>150000</v>
      </c>
      <c r="S24" s="23" t="s">
        <v>31</v>
      </c>
      <c r="T24" s="38">
        <f>'Estado de Resultados'!J21</f>
        <v>-3407150.5439133113</v>
      </c>
      <c r="V24" s="23" t="s">
        <v>71</v>
      </c>
      <c r="W24" s="24">
        <f>$H$11*10</f>
        <v>166666.66666666669</v>
      </c>
      <c r="X24" s="23" t="s">
        <v>31</v>
      </c>
      <c r="Y24" s="38">
        <f>'Estado de Resultados'!K21</f>
        <v>-3333500.6749160485</v>
      </c>
      <c r="AA24" s="5"/>
      <c r="AB24" s="40"/>
      <c r="AC24" s="5"/>
      <c r="AD24" s="39"/>
    </row>
    <row r="25" spans="1:30">
      <c r="A25" s="3"/>
      <c r="B25" s="23" t="s">
        <v>60</v>
      </c>
      <c r="C25" s="38">
        <f>C11</f>
        <v>1000000</v>
      </c>
      <c r="D25" s="23"/>
      <c r="E25" s="38"/>
      <c r="G25" s="23" t="s">
        <v>60</v>
      </c>
      <c r="H25" s="38">
        <f>C25</f>
        <v>1000000</v>
      </c>
      <c r="I25" s="23"/>
      <c r="J25" s="38"/>
      <c r="L25" s="23" t="s">
        <v>60</v>
      </c>
      <c r="M25" s="38">
        <f>H25</f>
        <v>1000000</v>
      </c>
      <c r="N25" s="23"/>
      <c r="O25" s="38"/>
      <c r="Q25" s="23" t="s">
        <v>60</v>
      </c>
      <c r="R25" s="38">
        <f>M25</f>
        <v>1000000</v>
      </c>
      <c r="S25" s="23"/>
      <c r="T25" s="38"/>
      <c r="V25" s="23" t="s">
        <v>60</v>
      </c>
      <c r="W25" s="38">
        <f>R25</f>
        <v>1000000</v>
      </c>
      <c r="X25" s="23"/>
      <c r="Y25" s="38"/>
      <c r="AA25" s="5"/>
      <c r="AB25" s="39"/>
      <c r="AC25" s="5"/>
      <c r="AD25" s="39"/>
    </row>
    <row r="26" spans="1:30">
      <c r="A26" s="3"/>
      <c r="B26" s="23" t="s">
        <v>71</v>
      </c>
      <c r="C26" s="38">
        <f>H13</f>
        <v>180000</v>
      </c>
      <c r="D26" s="23"/>
      <c r="E26" s="38"/>
      <c r="G26" s="23" t="s">
        <v>71</v>
      </c>
      <c r="H26" s="38">
        <f>M13</f>
        <v>360000</v>
      </c>
      <c r="I26" s="23"/>
      <c r="J26" s="38"/>
      <c r="L26" s="23" t="s">
        <v>71</v>
      </c>
      <c r="M26" s="38">
        <f>C26*3</f>
        <v>540000</v>
      </c>
      <c r="N26" s="23"/>
      <c r="O26" s="38"/>
      <c r="Q26" s="23" t="s">
        <v>71</v>
      </c>
      <c r="R26" s="38">
        <f>C26*4</f>
        <v>720000</v>
      </c>
      <c r="S26" s="23"/>
      <c r="T26" s="38"/>
      <c r="V26" s="23" t="s">
        <v>71</v>
      </c>
      <c r="W26" s="38">
        <f>C26*5</f>
        <v>900000</v>
      </c>
      <c r="X26" s="23"/>
      <c r="Y26" s="38"/>
      <c r="AA26" s="5"/>
      <c r="AB26" s="39"/>
      <c r="AC26" s="5"/>
      <c r="AD26" s="39"/>
    </row>
    <row r="27" spans="1:30">
      <c r="A27" s="3"/>
      <c r="B27" s="45" t="s">
        <v>61</v>
      </c>
      <c r="C27" s="46">
        <f>C22+C23+C25-C24-C26</f>
        <v>1320000</v>
      </c>
      <c r="D27" s="23"/>
      <c r="E27" s="38"/>
      <c r="G27" s="45" t="s">
        <v>61</v>
      </c>
      <c r="H27" s="46">
        <f>H22+H23+H25-H24-H26</f>
        <v>1123333.3333333333</v>
      </c>
      <c r="I27" s="23"/>
      <c r="J27" s="38"/>
      <c r="K27" s="41"/>
      <c r="L27" s="45" t="s">
        <v>61</v>
      </c>
      <c r="M27" s="46">
        <f>M22+M23+M25-M24-M26</f>
        <v>926666.66666666674</v>
      </c>
      <c r="N27" s="23"/>
      <c r="O27" s="38"/>
      <c r="Q27" s="45" t="s">
        <v>61</v>
      </c>
      <c r="R27" s="46">
        <f>R22+R23+R25-R24-R26</f>
        <v>730000</v>
      </c>
      <c r="S27" s="23"/>
      <c r="T27" s="38"/>
      <c r="V27" s="45" t="s">
        <v>61</v>
      </c>
      <c r="W27" s="46">
        <f>W22+W23+W25-W24-W26</f>
        <v>533333.33333333326</v>
      </c>
      <c r="X27" s="23"/>
      <c r="Y27" s="38"/>
      <c r="AA27" s="5"/>
      <c r="AB27" s="39"/>
      <c r="AC27" s="5"/>
      <c r="AD27" s="39"/>
    </row>
    <row r="28" spans="1:30">
      <c r="A28" s="3"/>
      <c r="B28" s="45" t="s">
        <v>68</v>
      </c>
      <c r="C28" s="46">
        <f>C27+C20</f>
        <v>-342506.69502524845</v>
      </c>
      <c r="D28" s="45" t="s">
        <v>64</v>
      </c>
      <c r="E28" s="46">
        <f>E20+E23+E24</f>
        <v>-342506.69502524845</v>
      </c>
      <c r="G28" s="45" t="s">
        <v>68</v>
      </c>
      <c r="H28" s="46">
        <f>H27+H20</f>
        <v>-7343736.2452659374</v>
      </c>
      <c r="I28" s="45" t="s">
        <v>64</v>
      </c>
      <c r="J28" s="46">
        <f>J20+J23+J24</f>
        <v>-7343736.2452659365</v>
      </c>
      <c r="L28" s="45" t="s">
        <v>68</v>
      </c>
      <c r="M28" s="46">
        <f>M27+M20</f>
        <v>-10795021.136872929</v>
      </c>
      <c r="N28" s="45" t="s">
        <v>64</v>
      </c>
      <c r="O28" s="46">
        <f>O20+O23+O24</f>
        <v>-10795021.136872925</v>
      </c>
      <c r="Q28" s="45" t="s">
        <v>68</v>
      </c>
      <c r="R28" s="46">
        <f>R27+R20</f>
        <v>-14202171.680786239</v>
      </c>
      <c r="S28" s="45" t="s">
        <v>64</v>
      </c>
      <c r="T28" s="46">
        <f>T20+T23+T24</f>
        <v>-14202171.680786237</v>
      </c>
      <c r="V28" s="45" t="s">
        <v>68</v>
      </c>
      <c r="W28" s="46">
        <f>W27+W20</f>
        <v>-17535672.355702288</v>
      </c>
      <c r="X28" s="45" t="s">
        <v>64</v>
      </c>
      <c r="Y28" s="46">
        <f>Y20+Y23+Y24</f>
        <v>-17535672.355702285</v>
      </c>
      <c r="AA28" s="5"/>
      <c r="AB28" s="39"/>
      <c r="AC28" s="5"/>
      <c r="AD28" s="39"/>
    </row>
    <row r="29" spans="1:30">
      <c r="A29" s="3"/>
    </row>
    <row r="30" spans="1:30">
      <c r="A30" s="3"/>
      <c r="C30" s="42"/>
      <c r="I30" s="42"/>
    </row>
    <row r="31" spans="1:30">
      <c r="A31" s="3"/>
      <c r="X31" s="43"/>
    </row>
    <row r="32" spans="1:30">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sheetData>
  <mergeCells count="15">
    <mergeCell ref="V1:AE2"/>
    <mergeCell ref="B1:K2"/>
    <mergeCell ref="L1:U2"/>
    <mergeCell ref="AA4:AD4"/>
    <mergeCell ref="B17:E17"/>
    <mergeCell ref="G17:J17"/>
    <mergeCell ref="B4:E4"/>
    <mergeCell ref="G4:J4"/>
    <mergeCell ref="L4:O4"/>
    <mergeCell ref="Q4:T4"/>
    <mergeCell ref="V4:Y4"/>
    <mergeCell ref="L17:O17"/>
    <mergeCell ref="Q17:T17"/>
    <mergeCell ref="V17:Y17"/>
    <mergeCell ref="AA17:A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Portada</vt:lpstr>
      <vt:lpstr>MarcoTeorico</vt:lpstr>
      <vt:lpstr>Objetivo</vt:lpstr>
      <vt:lpstr>Datos</vt:lpstr>
      <vt:lpstr>PE</vt:lpstr>
      <vt:lpstr>Punto de equilibrio</vt:lpstr>
      <vt:lpstr>Estado de Resultados</vt:lpstr>
      <vt:lpstr>Métodos de Evaluación</vt:lpstr>
      <vt:lpstr>Balance General</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Mendez</dc:creator>
  <cp:lastModifiedBy>Toño Rojas Alvarado</cp:lastModifiedBy>
  <dcterms:created xsi:type="dcterms:W3CDTF">2018-11-26T15:53:36Z</dcterms:created>
  <dcterms:modified xsi:type="dcterms:W3CDTF">2018-12-03T16:05:19Z</dcterms:modified>
</cp:coreProperties>
</file>