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https://correoipn-my.sharepoint.com/personal/egomezr1300_alumno_ipn_mx/Documents/ESCOM/4°/Administracion Financiera/Unidad 4/"/>
    </mc:Choice>
  </mc:AlternateContent>
  <xr:revisionPtr revIDLastSave="248" documentId="8_{ED9AB204-919D-4181-9716-2022413FEF5F}" xr6:coauthVersionLast="40" xr6:coauthVersionMax="40" xr10:uidLastSave="{5CADE3BC-CA5B-424D-A214-DD9134AF6E8B}"/>
  <bookViews>
    <workbookView xWindow="0" yWindow="0" windowWidth="23040" windowHeight="8610" xr2:uid="{00000000-000D-0000-FFFF-FFFF00000000}"/>
  </bookViews>
  <sheets>
    <sheet name="Portada" sheetId="6" r:id="rId1"/>
    <sheet name="MarcoTeorico" sheetId="7" r:id="rId2"/>
    <sheet name="Objetivo" sheetId="8" r:id="rId3"/>
    <sheet name="Datos" sheetId="2" r:id="rId4"/>
    <sheet name="Estado de Resultados" sheetId="3" r:id="rId5"/>
    <sheet name="Métodos de Evaluación" sheetId="5" r:id="rId6"/>
    <sheet name="Balance General"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2" i="4" l="1"/>
  <c r="W24" i="4"/>
  <c r="Y22" i="4"/>
  <c r="W17" i="4"/>
  <c r="R22" i="4"/>
  <c r="R25" i="4" s="1"/>
  <c r="R24" i="4"/>
  <c r="T22" i="4"/>
  <c r="R17" i="4"/>
  <c r="M24" i="4"/>
  <c r="M22" i="4"/>
  <c r="O22" i="4"/>
  <c r="M17" i="4"/>
  <c r="M18" i="4" s="1"/>
  <c r="R18" i="4" s="1"/>
  <c r="W25" i="4"/>
  <c r="Y18" i="4"/>
  <c r="T18" i="4"/>
  <c r="M25" i="4"/>
  <c r="O21" i="4"/>
  <c r="O18" i="4"/>
  <c r="O26" i="4" s="1"/>
  <c r="T21" i="4" s="1"/>
  <c r="W18" i="4" l="1"/>
  <c r="T26" i="4"/>
  <c r="Y21" i="4" s="1"/>
  <c r="Y26" i="4" s="1"/>
  <c r="W26" i="4"/>
  <c r="R26" i="4"/>
  <c r="M26" i="4"/>
  <c r="H17" i="4"/>
  <c r="C17" i="4"/>
  <c r="B10" i="5"/>
  <c r="H13" i="3" l="1"/>
  <c r="H22" i="4"/>
  <c r="H9" i="4"/>
  <c r="G13" i="3"/>
  <c r="H16" i="3"/>
  <c r="H15" i="3"/>
  <c r="M7" i="2"/>
  <c r="H11" i="3" s="1"/>
  <c r="K15" i="3"/>
  <c r="K16" i="3"/>
  <c r="J16" i="3"/>
  <c r="J15" i="3"/>
  <c r="I15" i="3"/>
  <c r="I16" i="3"/>
  <c r="G16" i="3"/>
  <c r="G15" i="3"/>
  <c r="H3" i="3"/>
  <c r="M5" i="2"/>
  <c r="L13" i="2"/>
  <c r="L7" i="2"/>
  <c r="G11" i="3" s="1"/>
  <c r="G6" i="3"/>
  <c r="G7" i="3"/>
  <c r="G8" i="3"/>
  <c r="G9" i="3"/>
  <c r="G10" i="3"/>
  <c r="I6" i="3"/>
  <c r="J6" i="3"/>
  <c r="K6" i="3"/>
  <c r="I7" i="3"/>
  <c r="J7" i="3"/>
  <c r="K7" i="3"/>
  <c r="I8" i="3"/>
  <c r="J8" i="3"/>
  <c r="K8" i="3"/>
  <c r="I9" i="3"/>
  <c r="J9" i="3"/>
  <c r="K9" i="3"/>
  <c r="I10" i="3"/>
  <c r="J10" i="3"/>
  <c r="K10" i="3"/>
  <c r="H9" i="3"/>
  <c r="H8" i="3"/>
  <c r="H7" i="3"/>
  <c r="H6" i="3"/>
  <c r="H25" i="4"/>
  <c r="J18" i="4"/>
  <c r="E18" i="4"/>
  <c r="C22" i="4"/>
  <c r="AB11" i="4"/>
  <c r="F11" i="3"/>
  <c r="E11" i="3"/>
  <c r="D11" i="3"/>
  <c r="C11" i="3"/>
  <c r="B11" i="3"/>
  <c r="P7" i="2"/>
  <c r="K11" i="3" s="1"/>
  <c r="N7" i="2"/>
  <c r="I11" i="3" s="1"/>
  <c r="O7" i="2"/>
  <c r="J11" i="3" s="1"/>
  <c r="P5" i="2"/>
  <c r="O5" i="2"/>
  <c r="N5" i="2"/>
  <c r="P4" i="2"/>
  <c r="O4" i="2"/>
  <c r="N4" i="2"/>
  <c r="P3" i="2"/>
  <c r="O3" i="2"/>
  <c r="N3" i="2"/>
  <c r="F3" i="3"/>
  <c r="G3" i="3"/>
  <c r="I3" i="3"/>
  <c r="J3" i="3"/>
  <c r="C25" i="4" l="1"/>
  <c r="K3" i="3"/>
  <c r="K4" i="3" s="1"/>
  <c r="K5" i="3" s="1"/>
  <c r="J4" i="3"/>
  <c r="J5" i="3" s="1"/>
  <c r="I4" i="3"/>
  <c r="I5" i="3" s="1"/>
  <c r="H4" i="3"/>
  <c r="H5" i="3" s="1"/>
  <c r="G4" i="3"/>
  <c r="G5" i="3" s="1"/>
  <c r="F4" i="3"/>
  <c r="F5" i="3" s="1"/>
  <c r="B15" i="3"/>
  <c r="B8" i="3"/>
  <c r="G16" i="2"/>
  <c r="G15" i="2"/>
  <c r="G14" i="2"/>
  <c r="B16" i="3" s="1"/>
  <c r="G13" i="2"/>
  <c r="G12" i="2"/>
  <c r="B10" i="3" s="1"/>
  <c r="G11" i="2"/>
  <c r="B9" i="3" s="1"/>
  <c r="G10" i="2"/>
  <c r="G9" i="2"/>
  <c r="B7" i="3" s="1"/>
  <c r="G8" i="2"/>
  <c r="B6" i="3" s="1"/>
  <c r="G4" i="2"/>
  <c r="G5" i="2" s="1"/>
  <c r="G3" i="2"/>
  <c r="B3" i="3" s="1"/>
  <c r="H11" i="4"/>
  <c r="C11" i="4"/>
  <c r="C5" i="4"/>
  <c r="E12" i="4"/>
  <c r="D10" i="2"/>
  <c r="D8" i="2"/>
  <c r="B12" i="3" l="1"/>
  <c r="R9" i="4"/>
  <c r="W9" i="4"/>
  <c r="M11" i="4"/>
  <c r="R11" i="4"/>
  <c r="W11" i="4"/>
  <c r="H12" i="4"/>
  <c r="M9" i="4"/>
  <c r="M12" i="4" s="1"/>
  <c r="B4" i="3"/>
  <c r="B5" i="3" s="1"/>
  <c r="B13" i="3"/>
  <c r="C13" i="3" s="1"/>
  <c r="D13" i="3" s="1"/>
  <c r="E13" i="3" s="1"/>
  <c r="F13" i="3" s="1"/>
  <c r="C12" i="4"/>
  <c r="G29" i="5"/>
  <c r="G24" i="5"/>
  <c r="H16" i="2"/>
  <c r="H15" i="2"/>
  <c r="H14" i="2"/>
  <c r="H13" i="2"/>
  <c r="H12" i="2"/>
  <c r="H11" i="2"/>
  <c r="H10" i="2"/>
  <c r="H9" i="2"/>
  <c r="H8" i="2"/>
  <c r="H4" i="2"/>
  <c r="H3" i="2"/>
  <c r="W12" i="4" l="1"/>
  <c r="AB9" i="4"/>
  <c r="AB12" i="4" s="1"/>
  <c r="I13" i="3"/>
  <c r="J13" i="3" s="1"/>
  <c r="K13" i="3" s="1"/>
  <c r="R12" i="4"/>
  <c r="B14" i="3"/>
  <c r="B17" i="3" s="1"/>
  <c r="B18" i="3" s="1"/>
  <c r="C3" i="3"/>
  <c r="I3" i="2"/>
  <c r="C9" i="3"/>
  <c r="I11" i="2"/>
  <c r="I15" i="2"/>
  <c r="J15" i="2"/>
  <c r="K15" i="2" s="1"/>
  <c r="L15" i="2" s="1"/>
  <c r="M15" i="2" s="1"/>
  <c r="N15" i="2" s="1"/>
  <c r="O15" i="2" s="1"/>
  <c r="P15" i="2" s="1"/>
  <c r="I8" i="2"/>
  <c r="C6" i="3"/>
  <c r="C12" i="3" s="1"/>
  <c r="I12" i="2"/>
  <c r="C10" i="3"/>
  <c r="J16" i="2"/>
  <c r="I16" i="2"/>
  <c r="C8" i="3"/>
  <c r="I10" i="2"/>
  <c r="C16" i="3"/>
  <c r="I14" i="2"/>
  <c r="H5" i="2"/>
  <c r="I4" i="2"/>
  <c r="C7" i="3"/>
  <c r="I9" i="2"/>
  <c r="I13" i="2"/>
  <c r="C15" i="3"/>
  <c r="B19" i="3" l="1"/>
  <c r="B5" i="5" s="1"/>
  <c r="J9" i="4"/>
  <c r="D16" i="3"/>
  <c r="J14" i="2"/>
  <c r="D3" i="3"/>
  <c r="J3" i="2"/>
  <c r="D15" i="3"/>
  <c r="J13" i="2"/>
  <c r="J4" i="2"/>
  <c r="I5" i="2"/>
  <c r="D10" i="3"/>
  <c r="J12" i="2"/>
  <c r="C4" i="3"/>
  <c r="C5" i="3" s="1"/>
  <c r="D7" i="3"/>
  <c r="J9" i="2"/>
  <c r="J10" i="2"/>
  <c r="D8" i="3"/>
  <c r="D9" i="3"/>
  <c r="J11" i="2"/>
  <c r="L16" i="2"/>
  <c r="M16" i="2" s="1"/>
  <c r="N16" i="2" s="1"/>
  <c r="O16" i="2" s="1"/>
  <c r="P16" i="2" s="1"/>
  <c r="K16" i="2"/>
  <c r="D6" i="3"/>
  <c r="D12" i="3" s="1"/>
  <c r="J8" i="2"/>
  <c r="K11" i="2" l="1"/>
  <c r="E9" i="3"/>
  <c r="K10" i="2"/>
  <c r="E8" i="3"/>
  <c r="K12" i="2"/>
  <c r="E10" i="3"/>
  <c r="K9" i="2"/>
  <c r="E7" i="3"/>
  <c r="K13" i="2"/>
  <c r="E15" i="3"/>
  <c r="K14" i="2"/>
  <c r="E16" i="3"/>
  <c r="C14" i="3"/>
  <c r="C17" i="3" s="1"/>
  <c r="C18" i="3" s="1"/>
  <c r="C19" i="3" s="1"/>
  <c r="E3" i="3"/>
  <c r="K3" i="2"/>
  <c r="L3" i="2" s="1"/>
  <c r="M3" i="2" s="1"/>
  <c r="K4" i="2"/>
  <c r="J5" i="2"/>
  <c r="D4" i="3"/>
  <c r="D5" i="3" s="1"/>
  <c r="D14" i="3" s="1"/>
  <c r="D17" i="3" s="1"/>
  <c r="D18" i="3" s="1"/>
  <c r="D19" i="3" s="1"/>
  <c r="E6" i="3"/>
  <c r="K8" i="2"/>
  <c r="E12" i="3" l="1"/>
  <c r="T9" i="4"/>
  <c r="B7" i="5"/>
  <c r="O9" i="4"/>
  <c r="B6" i="5"/>
  <c r="L14" i="2"/>
  <c r="F16" i="3"/>
  <c r="L9" i="2"/>
  <c r="F7" i="3"/>
  <c r="L10" i="2"/>
  <c r="F8" i="3"/>
  <c r="L8" i="2"/>
  <c r="F6" i="3"/>
  <c r="F15" i="3"/>
  <c r="L12" i="2"/>
  <c r="F10" i="3"/>
  <c r="L11" i="2"/>
  <c r="F9" i="3"/>
  <c r="E4" i="3"/>
  <c r="E5" i="3" s="1"/>
  <c r="E14" i="3" s="1"/>
  <c r="E17" i="3" s="1"/>
  <c r="H6" i="5"/>
  <c r="G10" i="5" s="1"/>
  <c r="H10" i="5" s="1"/>
  <c r="I10" i="5" s="1"/>
  <c r="L4" i="2"/>
  <c r="K5" i="2"/>
  <c r="J13" i="4"/>
  <c r="O8" i="4" s="1"/>
  <c r="F12" i="3" l="1"/>
  <c r="F14" i="3"/>
  <c r="F17" i="3" s="1"/>
  <c r="F18" i="3" s="1"/>
  <c r="F19" i="3" s="1"/>
  <c r="M12" i="2"/>
  <c r="M8" i="2"/>
  <c r="M9" i="2"/>
  <c r="M11" i="2"/>
  <c r="M13" i="2"/>
  <c r="M10" i="2"/>
  <c r="M14" i="2"/>
  <c r="M4" i="2"/>
  <c r="L5" i="2"/>
  <c r="H14" i="5"/>
  <c r="G19" i="5" s="1"/>
  <c r="H19" i="5" s="1"/>
  <c r="I19" i="5" s="1"/>
  <c r="E18" i="3"/>
  <c r="E19" i="3" s="1"/>
  <c r="G6" i="5"/>
  <c r="H7" i="5" s="1"/>
  <c r="I7" i="5" s="1"/>
  <c r="H4" i="4"/>
  <c r="M4" i="4" s="1"/>
  <c r="R4" i="4" s="1"/>
  <c r="B9" i="5" l="1"/>
  <c r="K6" i="5" s="1"/>
  <c r="K14" i="5" s="1"/>
  <c r="K15" i="5" s="1"/>
  <c r="AD9" i="4"/>
  <c r="Y9" i="4"/>
  <c r="B8" i="5"/>
  <c r="G12" i="3"/>
  <c r="G14" i="3" s="1"/>
  <c r="G17" i="3" s="1"/>
  <c r="N10" i="2"/>
  <c r="N11" i="2"/>
  <c r="N8" i="2"/>
  <c r="R5" i="4"/>
  <c r="R13" i="4" s="1"/>
  <c r="W4" i="4"/>
  <c r="N14" i="2"/>
  <c r="N13" i="2"/>
  <c r="N9" i="2"/>
  <c r="N12" i="2"/>
  <c r="H10" i="3"/>
  <c r="H15" i="5"/>
  <c r="G14" i="5"/>
  <c r="G15" i="5" s="1"/>
  <c r="H5" i="4"/>
  <c r="H13" i="4" s="1"/>
  <c r="O13" i="4"/>
  <c r="T8" i="4" s="1"/>
  <c r="T13" i="4" s="1"/>
  <c r="Y8" i="4" s="1"/>
  <c r="Y13" i="4" s="1"/>
  <c r="AD8" i="4" s="1"/>
  <c r="AD13" i="4" s="1"/>
  <c r="E21" i="4" s="1"/>
  <c r="M5" i="4"/>
  <c r="M13" i="4" s="1"/>
  <c r="G18" i="3" l="1"/>
  <c r="G19" i="3" s="1"/>
  <c r="H12" i="3"/>
  <c r="H14" i="3" s="1"/>
  <c r="H17" i="3" s="1"/>
  <c r="W5" i="4"/>
  <c r="W13" i="4" s="1"/>
  <c r="AB4" i="4"/>
  <c r="I6" i="5"/>
  <c r="I14" i="5" s="1"/>
  <c r="I15" i="5" s="1"/>
  <c r="O12" i="2"/>
  <c r="O13" i="2"/>
  <c r="O14" i="2"/>
  <c r="O11" i="2"/>
  <c r="O9" i="2"/>
  <c r="O8" i="2"/>
  <c r="I12" i="3"/>
  <c r="O10" i="2"/>
  <c r="H16" i="5"/>
  <c r="I16" i="5" s="1"/>
  <c r="H18" i="3" l="1"/>
  <c r="H19" i="3"/>
  <c r="L6" i="5"/>
  <c r="L14" i="5" s="1"/>
  <c r="L15" i="5" s="1"/>
  <c r="E22" i="4"/>
  <c r="J16" i="5"/>
  <c r="J7" i="5"/>
  <c r="AB5" i="4"/>
  <c r="AB13" i="4" s="1"/>
  <c r="C18" i="4"/>
  <c r="C26" i="4" s="1"/>
  <c r="P11" i="2"/>
  <c r="P13" i="2"/>
  <c r="P8" i="2"/>
  <c r="P10" i="2"/>
  <c r="P9" i="2"/>
  <c r="I14" i="3"/>
  <c r="I17" i="3" s="1"/>
  <c r="I18" i="3" s="1"/>
  <c r="P14" i="2"/>
  <c r="P12" i="2"/>
  <c r="E26" i="4" l="1"/>
  <c r="J21" i="4" s="1"/>
  <c r="I19" i="3"/>
  <c r="B12" i="5" s="1"/>
  <c r="N6" i="5" s="1"/>
  <c r="N14" i="5" s="1"/>
  <c r="N15" i="5" s="1"/>
  <c r="B11" i="5"/>
  <c r="M6" i="5" s="1"/>
  <c r="M14" i="5" s="1"/>
  <c r="M15" i="5" s="1"/>
  <c r="H18" i="4"/>
  <c r="H26" i="4" s="1"/>
  <c r="J22" i="4"/>
  <c r="J26" i="4" s="1"/>
  <c r="J12" i="3"/>
  <c r="J14" i="3" s="1"/>
  <c r="J17" i="3" s="1"/>
  <c r="J18" i="3" s="1"/>
  <c r="K12" i="3"/>
  <c r="K14" i="3" s="1"/>
  <c r="K17" i="3" s="1"/>
  <c r="K18" i="3" s="1"/>
  <c r="J6" i="5"/>
  <c r="J14" i="5" s="1"/>
  <c r="J15" i="5" s="1"/>
  <c r="K16" i="5" s="1"/>
  <c r="L16" i="5" s="1"/>
  <c r="M16" i="5" s="1"/>
  <c r="J19" i="3" l="1"/>
  <c r="B13" i="5" s="1"/>
  <c r="O6" i="5" s="1"/>
  <c r="O14" i="5" s="1"/>
  <c r="O15" i="5" s="1"/>
  <c r="K19" i="3"/>
  <c r="B14" i="5" s="1"/>
  <c r="P6" i="5" s="1"/>
  <c r="P14" i="5" s="1"/>
  <c r="N16" i="5"/>
  <c r="O16" i="5" s="1"/>
  <c r="K7" i="5"/>
  <c r="L7" i="5" s="1"/>
  <c r="M7" i="5" s="1"/>
  <c r="N7" i="5" s="1"/>
  <c r="O7" i="5" s="1"/>
  <c r="P16" i="5" l="1"/>
  <c r="P15" i="5"/>
  <c r="G33" i="5" s="1"/>
  <c r="P7" i="5"/>
  <c r="G23" i="5" l="1"/>
  <c r="I23" i="5" s="1"/>
  <c r="G28" i="5"/>
  <c r="I28" i="5" s="1"/>
</calcChain>
</file>

<file path=xl/sharedStrings.xml><?xml version="1.0" encoding="utf-8"?>
<sst xmlns="http://schemas.openxmlformats.org/spreadsheetml/2006/main" count="305" uniqueCount="104">
  <si>
    <t>Ventas Pronosticadas</t>
  </si>
  <si>
    <t>Crecimiento Anual</t>
  </si>
  <si>
    <t>Terreno</t>
  </si>
  <si>
    <t>Construcción</t>
  </si>
  <si>
    <t>Vida Útil</t>
  </si>
  <si>
    <t>años</t>
  </si>
  <si>
    <t>Maquinaria</t>
  </si>
  <si>
    <t>Valor de Rescate</t>
  </si>
  <si>
    <t>Valor de Subcontratacion</t>
  </si>
  <si>
    <t>COSTOS</t>
  </si>
  <si>
    <t>Costo de Materia prima A</t>
  </si>
  <si>
    <t>Costo de Materia prima B</t>
  </si>
  <si>
    <t>Costo de Materiales</t>
  </si>
  <si>
    <t>Costo de Mano de Obra</t>
  </si>
  <si>
    <t>Costo de Mantenimiento</t>
  </si>
  <si>
    <t>Gastos Administrativos</t>
  </si>
  <si>
    <t>Gastos de Venta</t>
  </si>
  <si>
    <t>Valor de Recuperacion del equipo</t>
  </si>
  <si>
    <t>Capital de trabajo requerido</t>
  </si>
  <si>
    <t>Valor inicial</t>
  </si>
  <si>
    <t>Incremento Anuel Esperado</t>
  </si>
  <si>
    <t>Impuestos sobre la Renta</t>
  </si>
  <si>
    <t>Límite inferior</t>
  </si>
  <si>
    <t>Límite Superior</t>
  </si>
  <si>
    <t>Couta Fija (pesos)</t>
  </si>
  <si>
    <t>Tasa de Impuestos</t>
  </si>
  <si>
    <t>Ventas</t>
  </si>
  <si>
    <t>Depreciación</t>
  </si>
  <si>
    <t>Utilidad Bruta</t>
  </si>
  <si>
    <t>Gastos de Administración</t>
  </si>
  <si>
    <t>Impuestos</t>
  </si>
  <si>
    <t>Utilidad del ejercicio</t>
  </si>
  <si>
    <t>Precio Producto</t>
  </si>
  <si>
    <t>Precio Prducto</t>
  </si>
  <si>
    <t>Tasa mínima de Aceptación</t>
  </si>
  <si>
    <t>Año</t>
  </si>
  <si>
    <t>FNE</t>
  </si>
  <si>
    <t>Suma de FNE</t>
  </si>
  <si>
    <t>Año 2017</t>
  </si>
  <si>
    <t>Año 2024</t>
  </si>
  <si>
    <t>Año 2026</t>
  </si>
  <si>
    <t>Años</t>
  </si>
  <si>
    <t>Meses</t>
  </si>
  <si>
    <t>1. Periodo de Recuperación</t>
  </si>
  <si>
    <t>2. Periodo de Recuperación Descontados</t>
  </si>
  <si>
    <t>FNE DESCONTADOS</t>
  </si>
  <si>
    <t>SUMA DE FLUJOS</t>
  </si>
  <si>
    <t>Tiempo Inicial</t>
  </si>
  <si>
    <t>dias</t>
  </si>
  <si>
    <t>meses</t>
  </si>
  <si>
    <t>3. RAP</t>
  </si>
  <si>
    <t>Tiempo de Vida</t>
  </si>
  <si>
    <t>RAP=</t>
  </si>
  <si>
    <t>=</t>
  </si>
  <si>
    <t>4. IR</t>
  </si>
  <si>
    <t>IR=</t>
  </si>
  <si>
    <t>5.  VPN</t>
  </si>
  <si>
    <t>VPN=</t>
  </si>
  <si>
    <t>Depresiación</t>
  </si>
  <si>
    <t>Activos Circulantes</t>
  </si>
  <si>
    <t>Capital Contable</t>
  </si>
  <si>
    <t>Total</t>
  </si>
  <si>
    <t>Activos Fijos</t>
  </si>
  <si>
    <t>Maquinaria y Equipo</t>
  </si>
  <si>
    <t>Total de activos fijos</t>
  </si>
  <si>
    <t>Infraestructura</t>
  </si>
  <si>
    <t>Terrreno</t>
  </si>
  <si>
    <t>Total de Pasivos y Capital</t>
  </si>
  <si>
    <t>Total de Pasivos</t>
  </si>
  <si>
    <t>Pasivos</t>
  </si>
  <si>
    <t>Capital</t>
  </si>
  <si>
    <t>Total de activos</t>
  </si>
  <si>
    <t>Capital de Trabajo</t>
  </si>
  <si>
    <t>Balance General Apertura</t>
  </si>
  <si>
    <t>Balance General Año 2017</t>
  </si>
  <si>
    <t>Infrestructura</t>
  </si>
  <si>
    <t>Dep. Acumulada</t>
  </si>
  <si>
    <t>Ventas sin IVA</t>
  </si>
  <si>
    <t>Ventas Netas</t>
  </si>
  <si>
    <t>Total de COSTOS</t>
  </si>
  <si>
    <t>Utilidad Antes de Impuestos</t>
  </si>
  <si>
    <t>Balance General Año 2018</t>
  </si>
  <si>
    <t>Balance General Año 2019</t>
  </si>
  <si>
    <t>Costos de Producción Extra</t>
  </si>
  <si>
    <t>Balance General Año 2020</t>
  </si>
  <si>
    <t>Balance General Año 2021</t>
  </si>
  <si>
    <t>Proveedores</t>
  </si>
  <si>
    <t>Balance General Año 2022</t>
  </si>
  <si>
    <t>Dias</t>
  </si>
  <si>
    <t>Balance General Año 2023</t>
  </si>
  <si>
    <t>Balance General Año 2024</t>
  </si>
  <si>
    <t>Balance General Año 2025</t>
  </si>
  <si>
    <t>Balance General Año 2026</t>
  </si>
  <si>
    <t>Instituto Politécnico Nacional</t>
  </si>
  <si>
    <t>Escuela Superior de Cómputo</t>
  </si>
  <si>
    <t xml:space="preserve">   Administración Financiera</t>
  </si>
  <si>
    <t>Por:</t>
  </si>
  <si>
    <t>Gómez Rodríguez Eduardo</t>
  </si>
  <si>
    <t>Méndez Mejía Sergio Ernesto</t>
  </si>
  <si>
    <t>Marco Teórico</t>
  </si>
  <si>
    <t>Con utilidad</t>
  </si>
  <si>
    <t>Objetivo</t>
  </si>
  <si>
    <t>Crear un simulador sobre el punto de equilibrio, que permita apoyar la planeación financiera, para lo cual se realizan diferentes simulaciones utilizando los datos provistos en la documentación de la practica 4.</t>
  </si>
  <si>
    <t>Práctica 6 "Evaluación de un proyecto de inversión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</si>
</sst>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00_);_(&quot;$&quot;* \(#,##0.00\);_(&quot;$&quot;* &quot;-&quot;??_);_(@_)"/>
  </numFmts>
  <fonts count="8" x14ac:knownFonts="1">
    <font>
      <sz val="11"/>
      <color theme="1"/>
      <name val="Calibri"/>
      <family val="2"/>
      <scheme val="minor"/>
    </font>
    <font>
      <sz val="11"/>
      <color theme="1"/>
      <name val="Calibri"/>
      <family val="2"/>
      <scheme val="minor"/>
    </font>
    <font>
      <sz val="18"/>
      <color theme="0" tint="-0.14999847407452621"/>
      <name val="Soberana Titular"/>
      <family val="3"/>
    </font>
    <font>
      <sz val="16"/>
      <color theme="0" tint="-0.14999847407452621"/>
      <name val="Soberana Titular"/>
      <family val="3"/>
    </font>
    <font>
      <sz val="14"/>
      <color theme="1" tint="4.9989318521683403E-2"/>
      <name val="Soberana Texto"/>
      <family val="3"/>
    </font>
    <font>
      <sz val="11"/>
      <color theme="1"/>
      <name val="Soberana Texto"/>
      <family val="3"/>
    </font>
    <font>
      <sz val="16"/>
      <color theme="0" tint="-4.9989318521683403E-2"/>
      <name val="Soberana Titular"/>
      <family val="3"/>
    </font>
    <font>
      <sz val="16"/>
      <color theme="1"/>
      <name val="Soberana Texto"/>
      <family val="3"/>
    </font>
  </fonts>
  <fills count="7">
    <fill>
      <patternFill patternType="none"/>
    </fill>
    <fill>
      <patternFill patternType="gray125"/>
    </fill>
    <fill>
      <patternFill patternType="solid">
        <fgColor theme="0"/>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theme="2" tint="-0.89999084444715716"/>
      </bottom>
      <diagonal/>
    </border>
    <border>
      <left style="thin">
        <color indexed="64"/>
      </left>
      <right/>
      <top/>
      <bottom/>
      <diagonal/>
    </border>
    <border>
      <left style="thin">
        <color indexed="64"/>
      </left>
      <right style="thin">
        <color indexed="64"/>
      </right>
      <top/>
      <bottom/>
      <diagonal/>
    </border>
    <border>
      <left style="thin">
        <color rgb="FF000000"/>
      </left>
      <right style="thin">
        <color rgb="FF000000"/>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9" fontId="0" fillId="0" borderId="0" xfId="2" applyFont="1"/>
    <xf numFmtId="44" fontId="0" fillId="0" borderId="0" xfId="1" applyFont="1"/>
    <xf numFmtId="0" fontId="0" fillId="0" borderId="0" xfId="0" applyAlignment="1">
      <alignment horizontal="center"/>
    </xf>
    <xf numFmtId="0" fontId="0" fillId="0" borderId="1" xfId="0" applyBorder="1"/>
    <xf numFmtId="44" fontId="0" fillId="0" borderId="1" xfId="1" applyFont="1" applyBorder="1"/>
    <xf numFmtId="9" fontId="0" fillId="0" borderId="1" xfId="2" applyFont="1" applyBorder="1"/>
    <xf numFmtId="0" fontId="0" fillId="0" borderId="2" xfId="0" applyBorder="1"/>
    <xf numFmtId="44" fontId="0" fillId="0" borderId="3" xfId="1" applyFont="1" applyBorder="1"/>
    <xf numFmtId="44" fontId="0" fillId="0" borderId="4" xfId="1" applyFont="1" applyBorder="1"/>
    <xf numFmtId="0" fontId="0" fillId="0" borderId="5" xfId="0" applyBorder="1"/>
    <xf numFmtId="44" fontId="0" fillId="0" borderId="0" xfId="0" applyNumberFormat="1"/>
    <xf numFmtId="0" fontId="0" fillId="0" borderId="0" xfId="0" applyAlignment="1"/>
    <xf numFmtId="44" fontId="0" fillId="0" borderId="0" xfId="0" applyNumberFormat="1" applyAlignment="1">
      <alignment horizontal="center"/>
    </xf>
    <xf numFmtId="44" fontId="0" fillId="0" borderId="0" xfId="1" applyFont="1" applyAlignment="1">
      <alignment horizontal="center"/>
    </xf>
    <xf numFmtId="2" fontId="0" fillId="0" borderId="0" xfId="0" applyNumberFormat="1"/>
    <xf numFmtId="44" fontId="0" fillId="0" borderId="6" xfId="0" applyNumberFormat="1" applyBorder="1"/>
    <xf numFmtId="0" fontId="0" fillId="0" borderId="0" xfId="0" applyAlignment="1">
      <alignment horizontal="center"/>
    </xf>
    <xf numFmtId="44" fontId="0" fillId="0" borderId="1" xfId="0" applyNumberFormat="1" applyBorder="1"/>
    <xf numFmtId="0" fontId="0" fillId="0" borderId="0" xfId="0" applyFill="1" applyBorder="1"/>
    <xf numFmtId="0" fontId="0" fillId="0" borderId="0" xfId="0" applyBorder="1"/>
    <xf numFmtId="2" fontId="0" fillId="0" borderId="0" xfId="1" applyNumberFormat="1" applyFont="1" applyBorder="1"/>
    <xf numFmtId="44" fontId="0" fillId="0" borderId="0" xfId="0" applyNumberFormat="1" applyBorder="1"/>
    <xf numFmtId="44" fontId="0" fillId="0" borderId="0" xfId="1" applyFont="1" applyBorder="1"/>
    <xf numFmtId="0" fontId="0" fillId="0" borderId="0" xfId="1" applyNumberFormat="1" applyFont="1" applyBorder="1"/>
    <xf numFmtId="0" fontId="0" fillId="0" borderId="0" xfId="0" applyBorder="1" applyAlignment="1"/>
    <xf numFmtId="2" fontId="0" fillId="0" borderId="1" xfId="1" applyNumberFormat="1" applyFont="1" applyBorder="1"/>
    <xf numFmtId="0" fontId="0" fillId="0" borderId="1" xfId="0" applyFill="1" applyBorder="1" applyAlignment="1"/>
    <xf numFmtId="44" fontId="0" fillId="0" borderId="1" xfId="0" applyNumberFormat="1" applyBorder="1" applyAlignment="1"/>
    <xf numFmtId="0" fontId="0" fillId="0" borderId="2" xfId="0" applyFill="1" applyBorder="1"/>
    <xf numFmtId="0" fontId="0" fillId="0" borderId="2" xfId="0" applyFill="1" applyBorder="1" applyAlignment="1"/>
    <xf numFmtId="0" fontId="0" fillId="0" borderId="1" xfId="0" applyBorder="1" applyAlignment="1"/>
    <xf numFmtId="44" fontId="0" fillId="0" borderId="1" xfId="1" applyFont="1" applyBorder="1" applyAlignment="1"/>
    <xf numFmtId="0" fontId="0" fillId="0" borderId="7" xfId="0" applyFill="1" applyBorder="1"/>
    <xf numFmtId="0" fontId="0" fillId="2" borderId="1" xfId="0" applyFill="1" applyBorder="1"/>
    <xf numFmtId="44" fontId="0" fillId="2" borderId="1" xfId="0" applyNumberFormat="1" applyFill="1" applyBorder="1"/>
    <xf numFmtId="44" fontId="0" fillId="2" borderId="1" xfId="1" applyFont="1" applyFill="1" applyBorder="1"/>
    <xf numFmtId="0" fontId="0" fillId="0" borderId="8" xfId="0" applyFill="1" applyBorder="1"/>
    <xf numFmtId="2" fontId="0" fillId="2" borderId="1" xfId="0" applyNumberFormat="1" applyFill="1" applyBorder="1"/>
    <xf numFmtId="2" fontId="0" fillId="2" borderId="1" xfId="1" applyNumberFormat="1" applyFont="1" applyFill="1" applyBorder="1"/>
    <xf numFmtId="2" fontId="0" fillId="0" borderId="1" xfId="0" applyNumberFormat="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right" vertical="center"/>
    </xf>
    <xf numFmtId="0" fontId="0" fillId="0" borderId="0" xfId="0" applyAlignment="1">
      <alignment horizontal="center" vertical="center"/>
    </xf>
    <xf numFmtId="2" fontId="0" fillId="0" borderId="0" xfId="1" applyNumberFormat="1" applyFont="1" applyAlignment="1">
      <alignment horizontal="center" vertical="center"/>
    </xf>
    <xf numFmtId="0" fontId="0" fillId="0" borderId="1" xfId="0" applyBorder="1" applyAlignment="1">
      <alignment horizontal="center"/>
    </xf>
    <xf numFmtId="0" fontId="0" fillId="3" borderId="0" xfId="0" applyFill="1" applyBorder="1"/>
    <xf numFmtId="0" fontId="2" fillId="3" borderId="0" xfId="0" applyFont="1" applyFill="1" applyBorder="1" applyAlignment="1">
      <alignment horizontal="center"/>
    </xf>
    <xf numFmtId="0" fontId="3" fillId="3" borderId="0" xfId="0" applyFont="1" applyFill="1" applyAlignment="1">
      <alignment horizontal="center"/>
    </xf>
    <xf numFmtId="0" fontId="0" fillId="4" borderId="0" xfId="0" applyFill="1" applyBorder="1"/>
    <xf numFmtId="0" fontId="4" fillId="4" borderId="0" xfId="0" applyFont="1" applyFill="1" applyBorder="1" applyAlignment="1">
      <alignment horizontal="left"/>
    </xf>
    <xf numFmtId="0" fontId="0" fillId="4" borderId="0" xfId="0" applyFill="1" applyBorder="1" applyAlignment="1">
      <alignment horizontal="right"/>
    </xf>
    <xf numFmtId="0" fontId="0" fillId="4" borderId="0" xfId="0" applyFill="1" applyBorder="1" applyAlignment="1">
      <alignment horizontal="right"/>
    </xf>
    <xf numFmtId="0" fontId="0" fillId="5" borderId="0" xfId="0" applyFill="1" applyBorder="1" applyAlignment="1">
      <alignment horizontal="center"/>
    </xf>
    <xf numFmtId="0" fontId="0" fillId="5" borderId="0" xfId="0" applyFill="1" applyBorder="1"/>
    <xf numFmtId="0" fontId="0" fillId="3" borderId="0" xfId="0" applyFill="1"/>
    <xf numFmtId="0" fontId="3" fillId="3" borderId="0" xfId="0" applyFont="1" applyFill="1" applyAlignment="1">
      <alignment horizontal="center" vertical="center"/>
    </xf>
    <xf numFmtId="0" fontId="0" fillId="4" borderId="0" xfId="0" applyFill="1"/>
    <xf numFmtId="0" fontId="0" fillId="6" borderId="0" xfId="0" applyFill="1"/>
    <xf numFmtId="0" fontId="6" fillId="3" borderId="0" xfId="0" applyFont="1" applyFill="1" applyAlignment="1">
      <alignment horizontal="center" vertical="center"/>
    </xf>
    <xf numFmtId="0" fontId="7" fillId="6" borderId="0" xfId="0" applyFont="1" applyFill="1" applyAlignment="1">
      <alignment horizontal="center" vertical="center" wrapText="1"/>
    </xf>
    <xf numFmtId="0" fontId="5" fillId="4" borderId="0" xfId="0" applyFont="1" applyFill="1" applyBorder="1" applyAlignment="1"/>
    <xf numFmtId="164" fontId="0" fillId="0" borderId="0" xfId="0" applyNumberFormat="1"/>
    <xf numFmtId="44" fontId="0" fillId="0" borderId="9" xfId="1" applyFont="1" applyBorder="1"/>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Datos!A1"/><Relationship Id="rId7" Type="http://schemas.openxmlformats.org/officeDocument/2006/relationships/hyperlink" Target="#'Simulacion 3'!A1"/><Relationship Id="rId2" Type="http://schemas.openxmlformats.org/officeDocument/2006/relationships/hyperlink" Target="#Objetivo!A1"/><Relationship Id="rId1" Type="http://schemas.openxmlformats.org/officeDocument/2006/relationships/hyperlink" Target="#MarcoTeorico!A1"/><Relationship Id="rId6" Type="http://schemas.openxmlformats.org/officeDocument/2006/relationships/hyperlink" Target="#Resultados!A1"/><Relationship Id="rId11" Type="http://schemas.openxmlformats.org/officeDocument/2006/relationships/image" Target="../media/image4.png"/><Relationship Id="rId5" Type="http://schemas.openxmlformats.org/officeDocument/2006/relationships/hyperlink" Target="#'Simulacion 2'!A1"/><Relationship Id="rId10" Type="http://schemas.openxmlformats.org/officeDocument/2006/relationships/image" Target="../media/image3.png"/><Relationship Id="rId4" Type="http://schemas.openxmlformats.org/officeDocument/2006/relationships/hyperlink" Target="#'Simulacion 1'!A1"/><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Portada!A1"/></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Portada!A1"/></Relationships>
</file>

<file path=xl/drawings/drawing1.xml><?xml version="1.0" encoding="utf-8"?>
<xdr:wsDr xmlns:xdr="http://schemas.openxmlformats.org/drawingml/2006/spreadsheetDrawing" xmlns:a="http://schemas.openxmlformats.org/drawingml/2006/main">
  <xdr:twoCellAnchor>
    <xdr:from>
      <xdr:col>8</xdr:col>
      <xdr:colOff>57150</xdr:colOff>
      <xdr:row>14</xdr:row>
      <xdr:rowOff>9525</xdr:rowOff>
    </xdr:from>
    <xdr:to>
      <xdr:col>11</xdr:col>
      <xdr:colOff>723900</xdr:colOff>
      <xdr:row>16</xdr:row>
      <xdr:rowOff>171450</xdr:rowOff>
    </xdr:to>
    <xdr:sp macro="" textlink="">
      <xdr:nvSpPr>
        <xdr:cNvPr id="2" name="CuadroTexto 1">
          <a:hlinkClick xmlns:r="http://schemas.openxmlformats.org/officeDocument/2006/relationships" r:id="rId1"/>
          <a:extLst>
            <a:ext uri="{FF2B5EF4-FFF2-40B4-BE49-F238E27FC236}">
              <a16:creationId xmlns:a16="http://schemas.microsoft.com/office/drawing/2014/main" id="{974C5E0D-8EE6-4387-92D1-388AD9747FAF}"/>
            </a:ext>
          </a:extLst>
        </xdr:cNvPr>
        <xdr:cNvSpPr txBox="1"/>
      </xdr:nvSpPr>
      <xdr:spPr>
        <a:xfrm>
          <a:off x="6153150" y="2724150"/>
          <a:ext cx="2952750" cy="542925"/>
        </a:xfrm>
        <a:prstGeom prst="rect">
          <a:avLst/>
        </a:prstGeom>
        <a:no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s-MX" sz="2000" b="0" cap="none" spc="0">
              <a:ln>
                <a:noFill/>
              </a:ln>
              <a:solidFill>
                <a:schemeClr val="tx1"/>
              </a:solidFill>
              <a:effectLst/>
              <a:latin typeface="Soberana Titular" panose="02000000000000000000" pitchFamily="50" charset="0"/>
              <a:cs typeface="Segoe UI Semibold" panose="020B0702040204020203" pitchFamily="34" charset="0"/>
            </a:rPr>
            <a:t>Marco</a:t>
          </a:r>
          <a:r>
            <a:rPr lang="es-MX" sz="2000" b="0" cap="none" spc="0" baseline="0">
              <a:ln>
                <a:noFill/>
              </a:ln>
              <a:solidFill>
                <a:schemeClr val="tx1"/>
              </a:solidFill>
              <a:effectLst/>
              <a:latin typeface="Soberana Titular" panose="02000000000000000000" pitchFamily="50" charset="0"/>
              <a:cs typeface="Segoe UI Semibold" panose="020B0702040204020203" pitchFamily="34" charset="0"/>
            </a:rPr>
            <a:t> Teorico</a:t>
          </a:r>
          <a:endParaRPr lang="es-MX" sz="2000" b="0" cap="none" spc="0">
            <a:ln>
              <a:noFill/>
            </a:ln>
            <a:solidFill>
              <a:schemeClr val="tx1"/>
            </a:solidFill>
            <a:effectLst/>
            <a:latin typeface="Soberana Titular" panose="02000000000000000000" pitchFamily="50" charset="0"/>
            <a:cs typeface="Segoe UI Semibold" panose="020B0702040204020203" pitchFamily="34" charset="0"/>
          </a:endParaRPr>
        </a:p>
      </xdr:txBody>
    </xdr:sp>
    <xdr:clientData/>
  </xdr:twoCellAnchor>
  <xdr:twoCellAnchor>
    <xdr:from>
      <xdr:col>8</xdr:col>
      <xdr:colOff>9525</xdr:colOff>
      <xdr:row>18</xdr:row>
      <xdr:rowOff>9525</xdr:rowOff>
    </xdr:from>
    <xdr:to>
      <xdr:col>11</xdr:col>
      <xdr:colOff>752475</xdr:colOff>
      <xdr:row>21</xdr:row>
      <xdr:rowOff>0</xdr:rowOff>
    </xdr:to>
    <xdr:sp macro="" textlink="">
      <xdr:nvSpPr>
        <xdr:cNvPr id="3" name="CuadroTexto 2">
          <a:hlinkClick xmlns:r="http://schemas.openxmlformats.org/officeDocument/2006/relationships" r:id="rId2"/>
          <a:extLst>
            <a:ext uri="{FF2B5EF4-FFF2-40B4-BE49-F238E27FC236}">
              <a16:creationId xmlns:a16="http://schemas.microsoft.com/office/drawing/2014/main" id="{D2EBF300-80CA-4C72-8E4A-7A5811459DF3}"/>
            </a:ext>
          </a:extLst>
        </xdr:cNvPr>
        <xdr:cNvSpPr txBox="1"/>
      </xdr:nvSpPr>
      <xdr:spPr>
        <a:xfrm>
          <a:off x="6105525" y="3486150"/>
          <a:ext cx="3028950" cy="56197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tx1"/>
              </a:solidFill>
              <a:latin typeface="Soberana Titular" panose="02000000000000000000" pitchFamily="50" charset="0"/>
              <a:cs typeface="Segoe UI Semibold" panose="020B0702040204020203" pitchFamily="34" charset="0"/>
            </a:rPr>
            <a:t>Objetivo</a:t>
          </a:r>
        </a:p>
      </xdr:txBody>
    </xdr:sp>
    <xdr:clientData/>
  </xdr:twoCellAnchor>
  <xdr:twoCellAnchor>
    <xdr:from>
      <xdr:col>7</xdr:col>
      <xdr:colOff>761999</xdr:colOff>
      <xdr:row>21</xdr:row>
      <xdr:rowOff>161925</xdr:rowOff>
    </xdr:from>
    <xdr:to>
      <xdr:col>11</xdr:col>
      <xdr:colOff>752474</xdr:colOff>
      <xdr:row>25</xdr:row>
      <xdr:rowOff>0</xdr:rowOff>
    </xdr:to>
    <xdr:sp macro="" textlink="">
      <xdr:nvSpPr>
        <xdr:cNvPr id="4" name="CuadroTexto 3">
          <a:hlinkClick xmlns:r="http://schemas.openxmlformats.org/officeDocument/2006/relationships" r:id="rId3"/>
          <a:extLst>
            <a:ext uri="{FF2B5EF4-FFF2-40B4-BE49-F238E27FC236}">
              <a16:creationId xmlns:a16="http://schemas.microsoft.com/office/drawing/2014/main" id="{050C5938-BBCD-4391-8250-059E6ADF7C46}"/>
            </a:ext>
          </a:extLst>
        </xdr:cNvPr>
        <xdr:cNvSpPr txBox="1"/>
      </xdr:nvSpPr>
      <xdr:spPr>
        <a:xfrm>
          <a:off x="6095999" y="4210050"/>
          <a:ext cx="3038475" cy="60007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tx1"/>
              </a:solidFill>
              <a:latin typeface="Soberana Titular" panose="02000000000000000000" pitchFamily="50" charset="0"/>
              <a:cs typeface="Segoe UI Semibold" panose="020B0702040204020203" pitchFamily="34" charset="0"/>
            </a:rPr>
            <a:t>Datos</a:t>
          </a:r>
        </a:p>
      </xdr:txBody>
    </xdr:sp>
    <xdr:clientData/>
  </xdr:twoCellAnchor>
  <xdr:twoCellAnchor>
    <xdr:from>
      <xdr:col>7</xdr:col>
      <xdr:colOff>752474</xdr:colOff>
      <xdr:row>26</xdr:row>
      <xdr:rowOff>9525</xdr:rowOff>
    </xdr:from>
    <xdr:to>
      <xdr:col>11</xdr:col>
      <xdr:colOff>761999</xdr:colOff>
      <xdr:row>29</xdr:row>
      <xdr:rowOff>0</xdr:rowOff>
    </xdr:to>
    <xdr:sp macro="" textlink="">
      <xdr:nvSpPr>
        <xdr:cNvPr id="5" name="CuadroTexto 4">
          <a:hlinkClick xmlns:r="http://schemas.openxmlformats.org/officeDocument/2006/relationships" r:id="rId4"/>
          <a:extLst>
            <a:ext uri="{FF2B5EF4-FFF2-40B4-BE49-F238E27FC236}">
              <a16:creationId xmlns:a16="http://schemas.microsoft.com/office/drawing/2014/main" id="{10A96540-D925-4FF3-8541-1E4B4CD6DFF8}"/>
            </a:ext>
          </a:extLst>
        </xdr:cNvPr>
        <xdr:cNvSpPr txBox="1"/>
      </xdr:nvSpPr>
      <xdr:spPr>
        <a:xfrm>
          <a:off x="6086474" y="5010150"/>
          <a:ext cx="3057525" cy="56197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tx1"/>
              </a:solidFill>
              <a:latin typeface="Soberana Titular" panose="02000000000000000000" pitchFamily="50" charset="0"/>
              <a:cs typeface="Segoe UI Semibold" panose="020B0702040204020203" pitchFamily="34" charset="0"/>
            </a:rPr>
            <a:t>Simulación 1</a:t>
          </a:r>
        </a:p>
      </xdr:txBody>
    </xdr:sp>
    <xdr:clientData/>
  </xdr:twoCellAnchor>
  <xdr:twoCellAnchor>
    <xdr:from>
      <xdr:col>7</xdr:col>
      <xdr:colOff>742950</xdr:colOff>
      <xdr:row>30</xdr:row>
      <xdr:rowOff>9525</xdr:rowOff>
    </xdr:from>
    <xdr:to>
      <xdr:col>12</xdr:col>
      <xdr:colOff>19049</xdr:colOff>
      <xdr:row>33</xdr:row>
      <xdr:rowOff>19050</xdr:rowOff>
    </xdr:to>
    <xdr:sp macro="" textlink="">
      <xdr:nvSpPr>
        <xdr:cNvPr id="6" name="CuadroTexto 5">
          <a:hlinkClick xmlns:r="http://schemas.openxmlformats.org/officeDocument/2006/relationships" r:id="rId5"/>
          <a:extLst>
            <a:ext uri="{FF2B5EF4-FFF2-40B4-BE49-F238E27FC236}">
              <a16:creationId xmlns:a16="http://schemas.microsoft.com/office/drawing/2014/main" id="{E6F214A0-5337-40C0-A6A8-220F223D0F33}"/>
            </a:ext>
          </a:extLst>
        </xdr:cNvPr>
        <xdr:cNvSpPr txBox="1"/>
      </xdr:nvSpPr>
      <xdr:spPr>
        <a:xfrm>
          <a:off x="6076950" y="5772150"/>
          <a:ext cx="3086099" cy="58102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tx1"/>
              </a:solidFill>
              <a:latin typeface="Soberana Titular" panose="02000000000000000000" pitchFamily="50" charset="0"/>
              <a:cs typeface="Segoe UI Semibold" panose="020B0702040204020203" pitchFamily="34" charset="0"/>
            </a:rPr>
            <a:t>Simulación 2</a:t>
          </a:r>
        </a:p>
      </xdr:txBody>
    </xdr:sp>
    <xdr:clientData/>
  </xdr:twoCellAnchor>
  <xdr:twoCellAnchor>
    <xdr:from>
      <xdr:col>7</xdr:col>
      <xdr:colOff>752475</xdr:colOff>
      <xdr:row>37</xdr:row>
      <xdr:rowOff>161925</xdr:rowOff>
    </xdr:from>
    <xdr:to>
      <xdr:col>12</xdr:col>
      <xdr:colOff>9525</xdr:colOff>
      <xdr:row>41</xdr:row>
      <xdr:rowOff>0</xdr:rowOff>
    </xdr:to>
    <xdr:sp macro="" textlink="">
      <xdr:nvSpPr>
        <xdr:cNvPr id="7" name="CuadroTexto 6">
          <a:hlinkClick xmlns:r="http://schemas.openxmlformats.org/officeDocument/2006/relationships" r:id="rId6"/>
          <a:extLst>
            <a:ext uri="{FF2B5EF4-FFF2-40B4-BE49-F238E27FC236}">
              <a16:creationId xmlns:a16="http://schemas.microsoft.com/office/drawing/2014/main" id="{73BF095C-6D8F-4807-8C0E-D11D5ED5920E}"/>
            </a:ext>
          </a:extLst>
        </xdr:cNvPr>
        <xdr:cNvSpPr txBox="1"/>
      </xdr:nvSpPr>
      <xdr:spPr>
        <a:xfrm>
          <a:off x="6086475" y="7258050"/>
          <a:ext cx="3067050" cy="60007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tx1"/>
              </a:solidFill>
              <a:latin typeface="Soberana Titular" panose="02000000000000000000" pitchFamily="50" charset="0"/>
              <a:cs typeface="Segoe UI Semibold" panose="020B0702040204020203" pitchFamily="34" charset="0"/>
            </a:rPr>
            <a:t>Resultados</a:t>
          </a:r>
        </a:p>
      </xdr:txBody>
    </xdr:sp>
    <xdr:clientData/>
  </xdr:twoCellAnchor>
  <xdr:twoCellAnchor>
    <xdr:from>
      <xdr:col>7</xdr:col>
      <xdr:colOff>733424</xdr:colOff>
      <xdr:row>33</xdr:row>
      <xdr:rowOff>171450</xdr:rowOff>
    </xdr:from>
    <xdr:to>
      <xdr:col>12</xdr:col>
      <xdr:colOff>19049</xdr:colOff>
      <xdr:row>36</xdr:row>
      <xdr:rowOff>180975</xdr:rowOff>
    </xdr:to>
    <xdr:sp macro="" textlink="">
      <xdr:nvSpPr>
        <xdr:cNvPr id="8" name="CuadroTexto 7">
          <a:hlinkClick xmlns:r="http://schemas.openxmlformats.org/officeDocument/2006/relationships" r:id="rId7"/>
          <a:extLst>
            <a:ext uri="{FF2B5EF4-FFF2-40B4-BE49-F238E27FC236}">
              <a16:creationId xmlns:a16="http://schemas.microsoft.com/office/drawing/2014/main" id="{0076F86F-1EFE-444E-84EC-ED3233160C44}"/>
            </a:ext>
          </a:extLst>
        </xdr:cNvPr>
        <xdr:cNvSpPr txBox="1"/>
      </xdr:nvSpPr>
      <xdr:spPr>
        <a:xfrm>
          <a:off x="6067424" y="6505575"/>
          <a:ext cx="3095625" cy="58102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s-MX" sz="2000">
              <a:solidFill>
                <a:schemeClr val="tx1"/>
              </a:solidFill>
              <a:latin typeface="Soberana Titular" panose="02000000000000000000" pitchFamily="50" charset="0"/>
              <a:cs typeface="Segoe UI Semibold" panose="020B0702040204020203" pitchFamily="34" charset="0"/>
            </a:rPr>
            <a:t>Simulación 3</a:t>
          </a:r>
        </a:p>
      </xdr:txBody>
    </xdr:sp>
    <xdr:clientData/>
  </xdr:twoCellAnchor>
  <xdr:twoCellAnchor editAs="oneCell">
    <xdr:from>
      <xdr:col>11</xdr:col>
      <xdr:colOff>619125</xdr:colOff>
      <xdr:row>0</xdr:row>
      <xdr:rowOff>180975</xdr:rowOff>
    </xdr:from>
    <xdr:to>
      <xdr:col>13</xdr:col>
      <xdr:colOff>371475</xdr:colOff>
      <xdr:row>5</xdr:row>
      <xdr:rowOff>122128</xdr:rowOff>
    </xdr:to>
    <xdr:pic>
      <xdr:nvPicPr>
        <xdr:cNvPr id="10" name="Imagen 9">
          <a:extLst>
            <a:ext uri="{FF2B5EF4-FFF2-40B4-BE49-F238E27FC236}">
              <a16:creationId xmlns:a16="http://schemas.microsoft.com/office/drawing/2014/main" id="{A6F476C4-AC82-4D6B-A42E-68EC60E39CC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001125" y="180975"/>
          <a:ext cx="1276350" cy="893653"/>
        </a:xfrm>
        <a:prstGeom prst="rect">
          <a:avLst/>
        </a:prstGeom>
      </xdr:spPr>
    </xdr:pic>
    <xdr:clientData/>
  </xdr:twoCellAnchor>
  <xdr:twoCellAnchor editAs="oneCell">
    <xdr:from>
      <xdr:col>1</xdr:col>
      <xdr:colOff>0</xdr:colOff>
      <xdr:row>0</xdr:row>
      <xdr:rowOff>142875</xdr:rowOff>
    </xdr:from>
    <xdr:to>
      <xdr:col>1</xdr:col>
      <xdr:colOff>581025</xdr:colOff>
      <xdr:row>5</xdr:row>
      <xdr:rowOff>188663</xdr:rowOff>
    </xdr:to>
    <xdr:pic>
      <xdr:nvPicPr>
        <xdr:cNvPr id="11" name="Imagen 10">
          <a:extLst>
            <a:ext uri="{FF2B5EF4-FFF2-40B4-BE49-F238E27FC236}">
              <a16:creationId xmlns:a16="http://schemas.microsoft.com/office/drawing/2014/main" id="{EFA9F5F2-1721-412D-BD4C-3977D2BC207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62000" y="142875"/>
          <a:ext cx="581025" cy="998288"/>
        </a:xfrm>
        <a:prstGeom prst="rect">
          <a:avLst/>
        </a:prstGeom>
      </xdr:spPr>
    </xdr:pic>
    <xdr:clientData/>
  </xdr:twoCellAnchor>
  <xdr:twoCellAnchor editAs="oneCell">
    <xdr:from>
      <xdr:col>3</xdr:col>
      <xdr:colOff>523876</xdr:colOff>
      <xdr:row>19</xdr:row>
      <xdr:rowOff>0</xdr:rowOff>
    </xdr:from>
    <xdr:to>
      <xdr:col>6</xdr:col>
      <xdr:colOff>28576</xdr:colOff>
      <xdr:row>26</xdr:row>
      <xdr:rowOff>182205</xdr:rowOff>
    </xdr:to>
    <xdr:pic>
      <xdr:nvPicPr>
        <xdr:cNvPr id="13" name="Imagen 12">
          <a:extLst>
            <a:ext uri="{FF2B5EF4-FFF2-40B4-BE49-F238E27FC236}">
              <a16:creationId xmlns:a16="http://schemas.microsoft.com/office/drawing/2014/main" id="{CEEDA358-E176-4DC4-A570-45E1B5815AD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09876" y="3667125"/>
          <a:ext cx="1790700" cy="1515705"/>
        </a:xfrm>
        <a:prstGeom prst="rect">
          <a:avLst/>
        </a:prstGeom>
      </xdr:spPr>
    </xdr:pic>
    <xdr:clientData/>
  </xdr:twoCellAnchor>
  <xdr:twoCellAnchor editAs="oneCell">
    <xdr:from>
      <xdr:col>1</xdr:col>
      <xdr:colOff>409575</xdr:colOff>
      <xdr:row>25</xdr:row>
      <xdr:rowOff>102787</xdr:rowOff>
    </xdr:from>
    <xdr:to>
      <xdr:col>3</xdr:col>
      <xdr:colOff>133350</xdr:colOff>
      <xdr:row>34</xdr:row>
      <xdr:rowOff>100210</xdr:rowOff>
    </xdr:to>
    <xdr:pic>
      <xdr:nvPicPr>
        <xdr:cNvPr id="15" name="Imagen 14">
          <a:extLst>
            <a:ext uri="{FF2B5EF4-FFF2-40B4-BE49-F238E27FC236}">
              <a16:creationId xmlns:a16="http://schemas.microsoft.com/office/drawing/2014/main" id="{AFA7E68E-95E5-473E-A131-5788357EEAE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71575" y="4912912"/>
          <a:ext cx="1247775" cy="1711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4</xdr:row>
      <xdr:rowOff>85725</xdr:rowOff>
    </xdr:from>
    <xdr:to>
      <xdr:col>4</xdr:col>
      <xdr:colOff>676275</xdr:colOff>
      <xdr:row>8</xdr:row>
      <xdr:rowOff>9525</xdr:rowOff>
    </xdr:to>
    <xdr:sp macro="" textlink="">
      <xdr:nvSpPr>
        <xdr:cNvPr id="2" name="CuadroTexto 1">
          <a:extLst>
            <a:ext uri="{FF2B5EF4-FFF2-40B4-BE49-F238E27FC236}">
              <a16:creationId xmlns:a16="http://schemas.microsoft.com/office/drawing/2014/main" id="{A181C418-CA4A-4AC9-81E2-05AE9D6688ED}"/>
            </a:ext>
          </a:extLst>
        </xdr:cNvPr>
        <xdr:cNvSpPr txBox="1"/>
      </xdr:nvSpPr>
      <xdr:spPr>
        <a:xfrm>
          <a:off x="323850" y="847725"/>
          <a:ext cx="3543300" cy="685800"/>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ctr"/>
          <a:r>
            <a:rPr lang="es-MX" sz="1200" b="0" i="0" baseline="0">
              <a:solidFill>
                <a:schemeClr val="dk1"/>
              </a:solidFill>
              <a:effectLst/>
              <a:latin typeface="+mj-lt"/>
              <a:ea typeface="+mn-ea"/>
              <a:cs typeface="+mn-cs"/>
            </a:rPr>
            <a:t>Determinación del monto de la inversión (Io)</a:t>
          </a:r>
        </a:p>
        <a:p>
          <a:pPr rtl="0" fontAlgn="ctr"/>
          <a:r>
            <a:rPr lang="es-MX" sz="1200" b="0" i="0" baseline="0">
              <a:solidFill>
                <a:schemeClr val="dk1"/>
              </a:solidFill>
              <a:effectLst/>
              <a:latin typeface="+mj-lt"/>
              <a:ea typeface="+mn-ea"/>
              <a:cs typeface="+mn-cs"/>
            </a:rPr>
            <a:t>Tasa mínima de aceptación del proyecto (k) o (Tmar)</a:t>
          </a:r>
        </a:p>
        <a:p>
          <a:pPr rtl="0" fontAlgn="ctr"/>
          <a:r>
            <a:rPr lang="es-MX" sz="1200" b="0" i="0" baseline="0">
              <a:solidFill>
                <a:schemeClr val="dk1"/>
              </a:solidFill>
              <a:effectLst/>
              <a:latin typeface="+mj-lt"/>
              <a:ea typeface="+mn-ea"/>
              <a:cs typeface="+mn-cs"/>
            </a:rPr>
            <a:t>Vida del proyecto (n)</a:t>
          </a:r>
        </a:p>
        <a:p>
          <a:pPr rtl="0" fontAlgn="ctr"/>
          <a:r>
            <a:rPr lang="es-MX" sz="1200" b="0" i="0" baseline="0">
              <a:solidFill>
                <a:schemeClr val="dk1"/>
              </a:solidFill>
              <a:effectLst/>
              <a:latin typeface="+mj-lt"/>
              <a:ea typeface="+mn-ea"/>
              <a:cs typeface="+mn-cs"/>
            </a:rPr>
            <a:t>Flujos netos de efectivo (FNE)</a:t>
          </a:r>
        </a:p>
        <a:p>
          <a:pPr rtl="0" fontAlgn="ctr"/>
          <a:r>
            <a:rPr lang="es-MX" sz="1200" b="0" i="0" baseline="0">
              <a:solidFill>
                <a:schemeClr val="dk1"/>
              </a:solidFill>
              <a:effectLst/>
              <a:latin typeface="+mj-lt"/>
              <a:ea typeface="+mn-ea"/>
              <a:cs typeface="+mn-cs"/>
            </a:rPr>
            <a:t>Aplicación de un método para evaluar proyectos.</a:t>
          </a:r>
        </a:p>
        <a:p>
          <a:endParaRPr lang="es-MX" sz="1100"/>
        </a:p>
      </xdr:txBody>
    </xdr:sp>
    <xdr:clientData/>
  </xdr:twoCellAnchor>
  <xdr:twoCellAnchor>
    <xdr:from>
      <xdr:col>0</xdr:col>
      <xdr:colOff>171450</xdr:colOff>
      <xdr:row>9</xdr:row>
      <xdr:rowOff>66675</xdr:rowOff>
    </xdr:from>
    <xdr:to>
      <xdr:col>5</xdr:col>
      <xdr:colOff>400050</xdr:colOff>
      <xdr:row>12</xdr:row>
      <xdr:rowOff>123825</xdr:rowOff>
    </xdr:to>
    <xdr:sp macro="" textlink="">
      <xdr:nvSpPr>
        <xdr:cNvPr id="3" name="CuadroTexto 2">
          <a:extLst>
            <a:ext uri="{FF2B5EF4-FFF2-40B4-BE49-F238E27FC236}">
              <a16:creationId xmlns:a16="http://schemas.microsoft.com/office/drawing/2014/main" id="{1B74F273-8A06-4F15-A1A9-D740C6A3A3F3}"/>
            </a:ext>
          </a:extLst>
        </xdr:cNvPr>
        <xdr:cNvSpPr txBox="1"/>
      </xdr:nvSpPr>
      <xdr:spPr>
        <a:xfrm>
          <a:off x="171450" y="1781175"/>
          <a:ext cx="4181475" cy="628650"/>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400" b="0" i="0" baseline="0">
              <a:solidFill>
                <a:schemeClr val="dk1"/>
              </a:solidFill>
              <a:effectLst/>
              <a:latin typeface="+mj-lt"/>
              <a:ea typeface="+mn-ea"/>
              <a:cs typeface="+mn-cs"/>
            </a:rPr>
            <a:t>De aquí tenemos diferentes métodos para calcular FNE</a:t>
          </a:r>
          <a:endParaRPr lang="es-MX" sz="1100">
            <a:latin typeface="+mj-lt"/>
          </a:endParaRPr>
        </a:p>
      </xdr:txBody>
    </xdr:sp>
    <xdr:clientData/>
  </xdr:twoCellAnchor>
  <xdr:twoCellAnchor>
    <xdr:from>
      <xdr:col>0</xdr:col>
      <xdr:colOff>0</xdr:colOff>
      <xdr:row>16</xdr:row>
      <xdr:rowOff>38099</xdr:rowOff>
    </xdr:from>
    <xdr:to>
      <xdr:col>7</xdr:col>
      <xdr:colOff>628649</xdr:colOff>
      <xdr:row>27</xdr:row>
      <xdr:rowOff>152400</xdr:rowOff>
    </xdr:to>
    <xdr:sp macro="" textlink="">
      <xdr:nvSpPr>
        <xdr:cNvPr id="5" name="CuadroTexto 4">
          <a:extLst>
            <a:ext uri="{FF2B5EF4-FFF2-40B4-BE49-F238E27FC236}">
              <a16:creationId xmlns:a16="http://schemas.microsoft.com/office/drawing/2014/main" id="{6C61E222-BB84-41AA-9BB5-8179A7D3016B}"/>
            </a:ext>
          </a:extLst>
        </xdr:cNvPr>
        <xdr:cNvSpPr txBox="1"/>
      </xdr:nvSpPr>
      <xdr:spPr>
        <a:xfrm>
          <a:off x="0" y="3086099"/>
          <a:ext cx="6105524" cy="2209801"/>
        </a:xfrm>
        <a:prstGeom prst="rect">
          <a:avLst/>
        </a:prstGeom>
        <a:solidFill>
          <a:schemeClr val="tx1">
            <a:lumMod val="65000"/>
            <a:lumOff val="35000"/>
            <a:alpha val="54902"/>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aseline="0">
              <a:solidFill>
                <a:schemeClr val="bg1">
                  <a:lumMod val="85000"/>
                </a:schemeClr>
              </a:solidFill>
              <a:effectLst/>
              <a:latin typeface="+mn-lt"/>
              <a:ea typeface="+mn-ea"/>
              <a:cs typeface="+mn-cs"/>
            </a:rPr>
            <a:t>Mediante recuperación de inversión:</a:t>
          </a:r>
        </a:p>
        <a:p>
          <a:r>
            <a:rPr lang="es-MX" sz="1400" baseline="0">
              <a:solidFill>
                <a:schemeClr val="bg1">
                  <a:lumMod val="85000"/>
                </a:schemeClr>
              </a:solidFill>
              <a:effectLst/>
              <a:latin typeface="+mn-lt"/>
              <a:ea typeface="+mn-ea"/>
              <a:cs typeface="+mn-cs"/>
            </a:rPr>
            <a:t>	1. Por periodo de recuperación</a:t>
          </a:r>
        </a:p>
        <a:p>
          <a:r>
            <a:rPr lang="es-MX" sz="1400" baseline="0">
              <a:solidFill>
                <a:schemeClr val="bg1">
                  <a:lumMod val="85000"/>
                </a:schemeClr>
              </a:solidFill>
              <a:effectLst/>
              <a:latin typeface="+mn-lt"/>
              <a:ea typeface="+mn-ea"/>
              <a:cs typeface="+mn-cs"/>
            </a:rPr>
            <a:t>	2. Por periodo de recuperación descontado</a:t>
          </a:r>
        </a:p>
        <a:p>
          <a:r>
            <a:rPr lang="es-MX" sz="1400" baseline="0">
              <a:solidFill>
                <a:schemeClr val="bg1">
                  <a:lumMod val="85000"/>
                </a:schemeClr>
              </a:solidFill>
              <a:effectLst/>
              <a:latin typeface="+mn-lt"/>
              <a:ea typeface="+mn-ea"/>
              <a:cs typeface="+mn-cs"/>
            </a:rPr>
            <a:t>Mediante criterio contable:</a:t>
          </a:r>
        </a:p>
        <a:p>
          <a:r>
            <a:rPr lang="es-MX" sz="1400" baseline="0">
              <a:solidFill>
                <a:schemeClr val="bg1">
                  <a:lumMod val="85000"/>
                </a:schemeClr>
              </a:solidFill>
              <a:effectLst/>
              <a:latin typeface="+mn-lt"/>
              <a:ea typeface="+mn-ea"/>
              <a:cs typeface="+mn-cs"/>
            </a:rPr>
            <a:t>	1. Rendimiento anual promedio</a:t>
          </a:r>
        </a:p>
        <a:p>
          <a:r>
            <a:rPr lang="es-MX" sz="1400" baseline="0">
              <a:solidFill>
                <a:schemeClr val="bg1">
                  <a:lumMod val="85000"/>
                </a:schemeClr>
              </a:solidFill>
              <a:effectLst/>
              <a:latin typeface="+mn-lt"/>
              <a:ea typeface="+mn-ea"/>
              <a:cs typeface="+mn-cs"/>
            </a:rPr>
            <a:t>Mediante de flujos de efectivo descontado</a:t>
          </a:r>
        </a:p>
        <a:p>
          <a:r>
            <a:rPr lang="es-MX" sz="1400" baseline="0">
              <a:solidFill>
                <a:schemeClr val="bg1">
                  <a:lumMod val="85000"/>
                </a:schemeClr>
              </a:solidFill>
              <a:effectLst/>
              <a:latin typeface="+mn-lt"/>
              <a:ea typeface="+mn-ea"/>
              <a:cs typeface="+mn-cs"/>
            </a:rPr>
            <a:t>	1. Indice de rentabilidad</a:t>
          </a:r>
        </a:p>
        <a:p>
          <a:r>
            <a:rPr lang="es-MX" sz="1400" baseline="0">
              <a:solidFill>
                <a:schemeClr val="bg1">
                  <a:lumMod val="85000"/>
                </a:schemeClr>
              </a:solidFill>
              <a:effectLst/>
              <a:latin typeface="+mn-lt"/>
              <a:ea typeface="+mn-ea"/>
              <a:cs typeface="+mn-cs"/>
            </a:rPr>
            <a:t>	2. VPN</a:t>
          </a:r>
        </a:p>
        <a:p>
          <a:r>
            <a:rPr lang="es-MX" sz="1400" baseline="0">
              <a:solidFill>
                <a:schemeClr val="bg1">
                  <a:lumMod val="85000"/>
                </a:schemeClr>
              </a:solidFill>
              <a:effectLst/>
              <a:latin typeface="+mn-lt"/>
              <a:ea typeface="+mn-ea"/>
              <a:cs typeface="+mn-cs"/>
            </a:rPr>
            <a:t>	3. TIR</a:t>
          </a:r>
        </a:p>
        <a:p>
          <a:endParaRPr lang="es-MX" sz="1100"/>
        </a:p>
      </xdr:txBody>
    </xdr:sp>
    <xdr:clientData/>
  </xdr:twoCellAnchor>
  <xdr:twoCellAnchor editAs="oneCell">
    <xdr:from>
      <xdr:col>12</xdr:col>
      <xdr:colOff>314325</xdr:colOff>
      <xdr:row>1</xdr:row>
      <xdr:rowOff>66645</xdr:rowOff>
    </xdr:from>
    <xdr:to>
      <xdr:col>13</xdr:col>
      <xdr:colOff>314325</xdr:colOff>
      <xdr:row>3</xdr:row>
      <xdr:rowOff>138623</xdr:rowOff>
    </xdr:to>
    <xdr:pic>
      <xdr:nvPicPr>
        <xdr:cNvPr id="17" name="Imagen 16">
          <a:hlinkClick xmlns:r="http://schemas.openxmlformats.org/officeDocument/2006/relationships" r:id="rId1"/>
          <a:extLst>
            <a:ext uri="{FF2B5EF4-FFF2-40B4-BE49-F238E27FC236}">
              <a16:creationId xmlns:a16="http://schemas.microsoft.com/office/drawing/2014/main" id="{05CDA9D2-EB26-461B-8739-2B5E92F9B7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0275" y="257145"/>
          <a:ext cx="552450" cy="452978"/>
        </a:xfrm>
        <a:prstGeom prst="rect">
          <a:avLst/>
        </a:prstGeom>
      </xdr:spPr>
    </xdr:pic>
    <xdr:clientData/>
  </xdr:twoCellAnchor>
  <xdr:twoCellAnchor>
    <xdr:from>
      <xdr:col>5</xdr:col>
      <xdr:colOff>333375</xdr:colOff>
      <xdr:row>4</xdr:row>
      <xdr:rowOff>57150</xdr:rowOff>
    </xdr:from>
    <xdr:to>
      <xdr:col>9</xdr:col>
      <xdr:colOff>609600</xdr:colOff>
      <xdr:row>7</xdr:row>
      <xdr:rowOff>171450</xdr:rowOff>
    </xdr:to>
    <xdr:sp macro="" textlink="">
      <xdr:nvSpPr>
        <xdr:cNvPr id="18" name="CuadroTexto 17">
          <a:extLst>
            <a:ext uri="{FF2B5EF4-FFF2-40B4-BE49-F238E27FC236}">
              <a16:creationId xmlns:a16="http://schemas.microsoft.com/office/drawing/2014/main" id="{A2C77DDC-3892-45B0-A071-55C0A80C0ACC}"/>
            </a:ext>
          </a:extLst>
        </xdr:cNvPr>
        <xdr:cNvSpPr txBox="1"/>
      </xdr:nvSpPr>
      <xdr:spPr>
        <a:xfrm>
          <a:off x="4286250" y="819150"/>
          <a:ext cx="3543300" cy="685800"/>
        </a:xfrm>
        <a:prstGeom prst="rect">
          <a:avLst/>
        </a:prstGeom>
        <a:solidFill>
          <a:srgbClr val="FFFFFF">
            <a:alpha val="5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ctr"/>
          <a:r>
            <a:rPr lang="es-MX" sz="1200" b="0" i="0" baseline="0">
              <a:solidFill>
                <a:schemeClr val="dk1"/>
              </a:solidFill>
              <a:effectLst/>
              <a:latin typeface="+mj-lt"/>
              <a:ea typeface="+mn-ea"/>
              <a:cs typeface="+mn-cs"/>
            </a:rPr>
            <a:t>Flujos netos de efectivo (FNE)</a:t>
          </a:r>
        </a:p>
        <a:p>
          <a:pPr rtl="0" fontAlgn="ctr"/>
          <a:r>
            <a:rPr lang="es-MX" sz="1200" b="0" i="0" baseline="0">
              <a:solidFill>
                <a:schemeClr val="dk1"/>
              </a:solidFill>
              <a:effectLst/>
              <a:latin typeface="+mj-lt"/>
              <a:ea typeface="+mn-ea"/>
              <a:cs typeface="+mn-cs"/>
            </a:rPr>
            <a:t>Aplicación de un método para evaluar proyectos.</a:t>
          </a:r>
        </a:p>
        <a:p>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228600</xdr:colOff>
      <xdr:row>1</xdr:row>
      <xdr:rowOff>47625</xdr:rowOff>
    </xdr:from>
    <xdr:to>
      <xdr:col>13</xdr:col>
      <xdr:colOff>314325</xdr:colOff>
      <xdr:row>3</xdr:row>
      <xdr:rowOff>119603</xdr:rowOff>
    </xdr:to>
    <xdr:pic>
      <xdr:nvPicPr>
        <xdr:cNvPr id="2" name="Imagen 1">
          <a:hlinkClick xmlns:r="http://schemas.openxmlformats.org/officeDocument/2006/relationships" r:id="rId1"/>
          <a:extLst>
            <a:ext uri="{FF2B5EF4-FFF2-40B4-BE49-F238E27FC236}">
              <a16:creationId xmlns:a16="http://schemas.microsoft.com/office/drawing/2014/main" id="{78545787-647E-485D-8713-D6608A31D6A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72600" y="238125"/>
          <a:ext cx="552450" cy="45297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CEC-3231-4F5D-A956-C95AC3E3964D}">
  <dimension ref="A1:N42"/>
  <sheetViews>
    <sheetView tabSelected="1" topLeftCell="A15" workbookViewId="0">
      <selection activeCell="H16" sqref="H16"/>
    </sheetView>
  </sheetViews>
  <sheetFormatPr baseColWidth="10" defaultRowHeight="15" x14ac:dyDescent="0.25"/>
  <sheetData>
    <row r="1" spans="1:14" x14ac:dyDescent="0.25">
      <c r="A1" s="47"/>
      <c r="B1" s="47"/>
      <c r="C1" s="47"/>
      <c r="D1" s="47"/>
      <c r="E1" s="47"/>
      <c r="F1" s="47"/>
      <c r="G1" s="47"/>
      <c r="H1" s="47"/>
      <c r="I1" s="47"/>
      <c r="J1" s="47"/>
      <c r="K1" s="47"/>
      <c r="L1" s="47"/>
      <c r="M1" s="47"/>
      <c r="N1" s="47"/>
    </row>
    <row r="2" spans="1:14" x14ac:dyDescent="0.25">
      <c r="A2" s="47"/>
      <c r="B2" s="48" t="s">
        <v>93</v>
      </c>
      <c r="C2" s="48"/>
      <c r="D2" s="48"/>
      <c r="E2" s="48"/>
      <c r="F2" s="48"/>
      <c r="G2" s="48"/>
      <c r="H2" s="48"/>
      <c r="I2" s="48"/>
      <c r="J2" s="48"/>
      <c r="K2" s="48"/>
      <c r="L2" s="48"/>
      <c r="M2" s="48"/>
      <c r="N2" s="47"/>
    </row>
    <row r="3" spans="1:14" x14ac:dyDescent="0.25">
      <c r="A3" s="47"/>
      <c r="B3" s="48"/>
      <c r="C3" s="48"/>
      <c r="D3" s="48"/>
      <c r="E3" s="48"/>
      <c r="F3" s="48"/>
      <c r="G3" s="48"/>
      <c r="H3" s="48"/>
      <c r="I3" s="48"/>
      <c r="J3" s="48"/>
      <c r="K3" s="48"/>
      <c r="L3" s="48"/>
      <c r="M3" s="48"/>
      <c r="N3" s="47"/>
    </row>
    <row r="4" spans="1:14" x14ac:dyDescent="0.25">
      <c r="A4" s="47"/>
      <c r="B4" s="47"/>
      <c r="C4" s="47"/>
      <c r="D4" s="47"/>
      <c r="E4" s="47"/>
      <c r="F4" s="47"/>
      <c r="G4" s="47"/>
      <c r="H4" s="47"/>
      <c r="I4" s="47"/>
      <c r="J4" s="47"/>
      <c r="K4" s="47"/>
      <c r="L4" s="47"/>
      <c r="M4" s="47"/>
      <c r="N4" s="47"/>
    </row>
    <row r="5" spans="1:14" x14ac:dyDescent="0.25">
      <c r="A5" s="47"/>
      <c r="B5" s="49" t="s">
        <v>94</v>
      </c>
      <c r="C5" s="49"/>
      <c r="D5" s="49"/>
      <c r="E5" s="49"/>
      <c r="F5" s="49"/>
      <c r="G5" s="49"/>
      <c r="H5" s="49"/>
      <c r="I5" s="49"/>
      <c r="J5" s="49"/>
      <c r="K5" s="49"/>
      <c r="L5" s="49"/>
      <c r="M5" s="49"/>
      <c r="N5" s="47"/>
    </row>
    <row r="6" spans="1:14" x14ac:dyDescent="0.25">
      <c r="A6" s="47"/>
      <c r="B6" s="49"/>
      <c r="C6" s="49"/>
      <c r="D6" s="49"/>
      <c r="E6" s="49"/>
      <c r="F6" s="49"/>
      <c r="G6" s="49"/>
      <c r="H6" s="49"/>
      <c r="I6" s="49"/>
      <c r="J6" s="49"/>
      <c r="K6" s="49"/>
      <c r="L6" s="49"/>
      <c r="M6" s="49"/>
      <c r="N6" s="47"/>
    </row>
    <row r="7" spans="1:14" x14ac:dyDescent="0.25">
      <c r="A7" s="47"/>
      <c r="B7" s="47"/>
      <c r="C7" s="47"/>
      <c r="D7" s="47"/>
      <c r="E7" s="47"/>
      <c r="F7" s="47"/>
      <c r="G7" s="47"/>
      <c r="H7" s="47"/>
      <c r="I7" s="47"/>
      <c r="J7" s="47"/>
      <c r="K7" s="47"/>
      <c r="L7" s="47"/>
      <c r="M7" s="47"/>
      <c r="N7" s="47"/>
    </row>
    <row r="8" spans="1:14" x14ac:dyDescent="0.25">
      <c r="A8" s="50"/>
      <c r="B8" s="50"/>
      <c r="C8" s="50"/>
      <c r="D8" s="50"/>
      <c r="E8" s="50"/>
      <c r="F8" s="50"/>
      <c r="G8" s="50"/>
      <c r="H8" s="50"/>
      <c r="I8" s="50"/>
      <c r="J8" s="50"/>
      <c r="K8" s="50"/>
      <c r="L8" s="50"/>
      <c r="M8" s="50"/>
      <c r="N8" s="50"/>
    </row>
    <row r="9" spans="1:14" ht="18.75" x14ac:dyDescent="0.3">
      <c r="A9" s="51" t="s">
        <v>95</v>
      </c>
      <c r="B9" s="51"/>
      <c r="C9" s="51"/>
      <c r="D9" s="51"/>
      <c r="E9" s="50"/>
      <c r="F9" s="50"/>
      <c r="G9" s="50"/>
      <c r="H9" s="50"/>
      <c r="I9" s="50"/>
      <c r="J9" s="50"/>
      <c r="K9" s="50"/>
      <c r="L9" s="50"/>
      <c r="M9" s="52" t="s">
        <v>96</v>
      </c>
      <c r="N9" s="50"/>
    </row>
    <row r="10" spans="1:14" x14ac:dyDescent="0.25">
      <c r="A10" s="50"/>
      <c r="B10" s="62" t="s">
        <v>103</v>
      </c>
      <c r="C10" s="62"/>
      <c r="D10" s="62"/>
      <c r="E10" s="50"/>
      <c r="F10" s="50"/>
      <c r="G10" s="50"/>
      <c r="H10" s="50"/>
      <c r="I10" s="50"/>
      <c r="J10" s="53" t="s">
        <v>97</v>
      </c>
      <c r="K10" s="53"/>
      <c r="L10" s="53"/>
      <c r="M10" s="53"/>
      <c r="N10" s="50"/>
    </row>
    <row r="11" spans="1:14" x14ac:dyDescent="0.25">
      <c r="A11" s="50"/>
      <c r="B11" s="50"/>
      <c r="C11" s="50"/>
      <c r="D11" s="50"/>
      <c r="E11" s="50"/>
      <c r="F11" s="50"/>
      <c r="G11" s="50"/>
      <c r="H11" s="50"/>
      <c r="I11" s="50"/>
      <c r="J11" s="53" t="s">
        <v>98</v>
      </c>
      <c r="K11" s="53"/>
      <c r="L11" s="53"/>
      <c r="M11" s="53"/>
      <c r="N11" s="50"/>
    </row>
    <row r="12" spans="1:14" x14ac:dyDescent="0.25">
      <c r="A12" s="50"/>
      <c r="B12" s="50"/>
      <c r="C12" s="50"/>
      <c r="D12" s="50"/>
      <c r="E12" s="50"/>
      <c r="F12" s="50"/>
      <c r="G12" s="50"/>
      <c r="H12" s="50"/>
      <c r="I12" s="50"/>
      <c r="J12" s="50"/>
      <c r="K12" s="50"/>
      <c r="L12" s="50"/>
      <c r="M12" s="50"/>
      <c r="N12" s="50"/>
    </row>
    <row r="13" spans="1:14" x14ac:dyDescent="0.25">
      <c r="A13" s="47"/>
      <c r="B13" s="47"/>
      <c r="C13" s="47"/>
      <c r="D13" s="47"/>
      <c r="E13" s="47"/>
      <c r="F13" s="47"/>
      <c r="G13" s="47"/>
      <c r="H13" s="47"/>
      <c r="I13" s="47"/>
      <c r="J13" s="47"/>
      <c r="K13" s="47"/>
      <c r="L13" s="47"/>
      <c r="M13" s="47"/>
      <c r="N13" s="47"/>
    </row>
    <row r="14" spans="1:14" x14ac:dyDescent="0.25">
      <c r="A14" s="47"/>
      <c r="B14" s="47"/>
      <c r="C14" s="47"/>
      <c r="D14" s="47"/>
      <c r="E14" s="47"/>
      <c r="F14" s="47"/>
      <c r="G14" s="47"/>
      <c r="H14" s="47"/>
      <c r="I14" s="47"/>
      <c r="J14" s="47"/>
      <c r="K14" s="47"/>
      <c r="L14" s="47"/>
      <c r="M14" s="47"/>
      <c r="N14" s="47"/>
    </row>
    <row r="15" spans="1:14" x14ac:dyDescent="0.25">
      <c r="A15" s="47"/>
      <c r="B15" s="47"/>
      <c r="C15" s="47"/>
      <c r="D15" s="47"/>
      <c r="E15" s="47"/>
      <c r="F15" s="47"/>
      <c r="G15" s="47"/>
      <c r="H15" s="47"/>
      <c r="I15" s="54"/>
      <c r="J15" s="54"/>
      <c r="K15" s="54"/>
      <c r="L15" s="54"/>
      <c r="M15" s="47"/>
      <c r="N15" s="47"/>
    </row>
    <row r="16" spans="1:14" x14ac:dyDescent="0.25">
      <c r="A16" s="47"/>
      <c r="B16" s="47"/>
      <c r="C16" s="47"/>
      <c r="D16" s="47"/>
      <c r="E16" s="47"/>
      <c r="F16" s="47"/>
      <c r="G16" s="47"/>
      <c r="H16" s="47"/>
      <c r="I16" s="54"/>
      <c r="J16" s="54"/>
      <c r="K16" s="54"/>
      <c r="L16" s="54"/>
      <c r="M16" s="47"/>
      <c r="N16" s="47"/>
    </row>
    <row r="17" spans="1:14" x14ac:dyDescent="0.25">
      <c r="A17" s="47"/>
      <c r="B17" s="47"/>
      <c r="C17" s="47"/>
      <c r="D17" s="47"/>
      <c r="E17" s="47"/>
      <c r="F17" s="47"/>
      <c r="G17" s="47"/>
      <c r="H17" s="47"/>
      <c r="I17" s="54"/>
      <c r="J17" s="54"/>
      <c r="K17" s="54"/>
      <c r="L17" s="54"/>
      <c r="M17" s="47"/>
      <c r="N17" s="47"/>
    </row>
    <row r="18" spans="1:14" x14ac:dyDescent="0.25">
      <c r="A18" s="47"/>
      <c r="B18" s="47"/>
      <c r="C18" s="47"/>
      <c r="D18" s="47"/>
      <c r="E18" s="47"/>
      <c r="F18" s="47"/>
      <c r="G18" s="47"/>
      <c r="H18" s="47"/>
      <c r="I18" s="47"/>
      <c r="J18" s="47"/>
      <c r="K18" s="47"/>
      <c r="L18" s="47"/>
      <c r="M18" s="47"/>
      <c r="N18" s="47"/>
    </row>
    <row r="19" spans="1:14" x14ac:dyDescent="0.25">
      <c r="A19" s="47"/>
      <c r="B19" s="47"/>
      <c r="C19" s="47"/>
      <c r="D19" s="47"/>
      <c r="E19" s="47"/>
      <c r="F19" s="47"/>
      <c r="G19" s="47"/>
      <c r="H19" s="47"/>
      <c r="I19" s="55"/>
      <c r="J19" s="55"/>
      <c r="K19" s="55"/>
      <c r="L19" s="55"/>
      <c r="M19" s="47"/>
      <c r="N19" s="47"/>
    </row>
    <row r="20" spans="1:14" x14ac:dyDescent="0.25">
      <c r="A20" s="47"/>
      <c r="B20" s="47"/>
      <c r="C20" s="47"/>
      <c r="D20" s="47"/>
      <c r="E20" s="47"/>
      <c r="F20" s="47"/>
      <c r="G20" s="47"/>
      <c r="H20" s="47"/>
      <c r="I20" s="55"/>
      <c r="J20" s="55"/>
      <c r="K20" s="55"/>
      <c r="L20" s="55"/>
      <c r="M20" s="47"/>
      <c r="N20" s="47"/>
    </row>
    <row r="21" spans="1:14" x14ac:dyDescent="0.25">
      <c r="A21" s="47"/>
      <c r="B21" s="47"/>
      <c r="C21" s="47"/>
      <c r="D21" s="47"/>
      <c r="E21" s="47"/>
      <c r="F21" s="47"/>
      <c r="G21" s="47"/>
      <c r="H21" s="47"/>
      <c r="I21" s="55"/>
      <c r="J21" s="55"/>
      <c r="K21" s="55"/>
      <c r="L21" s="55"/>
      <c r="M21" s="47"/>
      <c r="N21" s="47"/>
    </row>
    <row r="22" spans="1:14" x14ac:dyDescent="0.25">
      <c r="A22" s="47"/>
      <c r="B22" s="47"/>
      <c r="C22" s="47"/>
      <c r="D22" s="47"/>
      <c r="E22" s="47"/>
      <c r="F22" s="47"/>
      <c r="G22" s="47"/>
      <c r="H22" s="47"/>
      <c r="I22" s="47"/>
      <c r="J22" s="47"/>
      <c r="K22" s="47"/>
      <c r="L22" s="47"/>
      <c r="M22" s="47"/>
      <c r="N22" s="47"/>
    </row>
    <row r="23" spans="1:14" x14ac:dyDescent="0.25">
      <c r="A23" s="47"/>
      <c r="B23" s="47"/>
      <c r="C23" s="47"/>
      <c r="D23" s="47"/>
      <c r="E23" s="47"/>
      <c r="F23" s="47"/>
      <c r="G23" s="47"/>
      <c r="H23" s="47"/>
      <c r="I23" s="55"/>
      <c r="J23" s="55"/>
      <c r="K23" s="55"/>
      <c r="L23" s="55"/>
      <c r="M23" s="47"/>
      <c r="N23" s="47"/>
    </row>
    <row r="24" spans="1:14" x14ac:dyDescent="0.25">
      <c r="A24" s="47"/>
      <c r="B24" s="47"/>
      <c r="C24" s="47"/>
      <c r="D24" s="47"/>
      <c r="E24" s="47"/>
      <c r="F24" s="47"/>
      <c r="G24" s="47"/>
      <c r="H24" s="47"/>
      <c r="I24" s="55"/>
      <c r="J24" s="55"/>
      <c r="K24" s="55"/>
      <c r="L24" s="55"/>
      <c r="M24" s="47"/>
      <c r="N24" s="47"/>
    </row>
    <row r="25" spans="1:14" x14ac:dyDescent="0.25">
      <c r="A25" s="47"/>
      <c r="B25" s="47"/>
      <c r="C25" s="47"/>
      <c r="D25" s="47"/>
      <c r="E25" s="47"/>
      <c r="F25" s="47"/>
      <c r="G25" s="47"/>
      <c r="H25" s="47"/>
      <c r="I25" s="55"/>
      <c r="J25" s="55"/>
      <c r="K25" s="55"/>
      <c r="L25" s="55"/>
      <c r="M25" s="47"/>
      <c r="N25" s="47"/>
    </row>
    <row r="26" spans="1:14" x14ac:dyDescent="0.25">
      <c r="A26" s="47"/>
      <c r="B26" s="47"/>
      <c r="C26" s="47"/>
      <c r="D26" s="47"/>
      <c r="E26" s="47"/>
      <c r="F26" s="47"/>
      <c r="G26" s="47"/>
      <c r="H26" s="47"/>
      <c r="I26" s="47"/>
      <c r="J26" s="47"/>
      <c r="K26" s="47"/>
      <c r="L26" s="47"/>
      <c r="M26" s="47"/>
      <c r="N26" s="47"/>
    </row>
    <row r="27" spans="1:14" x14ac:dyDescent="0.25">
      <c r="A27" s="47"/>
      <c r="B27" s="47"/>
      <c r="C27" s="47"/>
      <c r="D27" s="47"/>
      <c r="E27" s="47"/>
      <c r="F27" s="47"/>
      <c r="G27" s="47"/>
      <c r="H27" s="47"/>
      <c r="I27" s="55"/>
      <c r="J27" s="55"/>
      <c r="K27" s="55"/>
      <c r="L27" s="55"/>
      <c r="M27" s="47"/>
      <c r="N27" s="47"/>
    </row>
    <row r="28" spans="1:14" x14ac:dyDescent="0.25">
      <c r="A28" s="47"/>
      <c r="B28" s="47"/>
      <c r="C28" s="56"/>
      <c r="D28" s="47"/>
      <c r="E28" s="47"/>
      <c r="F28" s="47"/>
      <c r="G28" s="47"/>
      <c r="H28" s="47"/>
      <c r="I28" s="55"/>
      <c r="J28" s="55"/>
      <c r="K28" s="55"/>
      <c r="L28" s="55"/>
      <c r="M28" s="47"/>
      <c r="N28" s="47"/>
    </row>
    <row r="29" spans="1:14" x14ac:dyDescent="0.25">
      <c r="A29" s="47"/>
      <c r="B29" s="47"/>
      <c r="C29" s="47"/>
      <c r="D29" s="47"/>
      <c r="E29" s="47"/>
      <c r="F29" s="47"/>
      <c r="G29" s="47"/>
      <c r="H29" s="47"/>
      <c r="I29" s="55"/>
      <c r="J29" s="55"/>
      <c r="K29" s="55"/>
      <c r="L29" s="55"/>
      <c r="M29" s="47"/>
      <c r="N29" s="47"/>
    </row>
    <row r="30" spans="1:14" x14ac:dyDescent="0.25">
      <c r="A30" s="47"/>
      <c r="B30" s="47"/>
      <c r="C30" s="47"/>
      <c r="D30" s="47"/>
      <c r="E30" s="47"/>
      <c r="F30" s="47"/>
      <c r="G30" s="47"/>
      <c r="H30" s="47"/>
      <c r="I30" s="47"/>
      <c r="J30" s="47"/>
      <c r="K30" s="47"/>
      <c r="L30" s="47"/>
      <c r="M30" s="47"/>
      <c r="N30" s="47"/>
    </row>
    <row r="31" spans="1:14" x14ac:dyDescent="0.25">
      <c r="A31" s="47"/>
      <c r="B31" s="47"/>
      <c r="C31" s="47"/>
      <c r="D31" s="47"/>
      <c r="E31" s="47"/>
      <c r="F31" s="47"/>
      <c r="G31" s="47"/>
      <c r="H31" s="47"/>
      <c r="I31" s="55"/>
      <c r="J31" s="55"/>
      <c r="K31" s="55"/>
      <c r="L31" s="55"/>
      <c r="M31" s="47"/>
      <c r="N31" s="47"/>
    </row>
    <row r="32" spans="1:14" x14ac:dyDescent="0.25">
      <c r="A32" s="47"/>
      <c r="B32" s="47"/>
      <c r="C32" s="47"/>
      <c r="D32" s="47"/>
      <c r="E32" s="47"/>
      <c r="F32" s="47"/>
      <c r="G32" s="47"/>
      <c r="H32" s="47"/>
      <c r="I32" s="55"/>
      <c r="J32" s="55"/>
      <c r="K32" s="55"/>
      <c r="L32" s="55"/>
      <c r="M32" s="47"/>
      <c r="N32" s="47"/>
    </row>
    <row r="33" spans="1:14" x14ac:dyDescent="0.25">
      <c r="A33" s="47"/>
      <c r="B33" s="47"/>
      <c r="C33" s="47"/>
      <c r="D33" s="47"/>
      <c r="E33" s="47"/>
      <c r="F33" s="47"/>
      <c r="G33" s="47"/>
      <c r="H33" s="47"/>
      <c r="I33" s="55"/>
      <c r="J33" s="55"/>
      <c r="K33" s="55"/>
      <c r="L33" s="55"/>
      <c r="M33" s="47"/>
      <c r="N33" s="47"/>
    </row>
    <row r="34" spans="1:14" x14ac:dyDescent="0.25">
      <c r="A34" s="47"/>
      <c r="B34" s="47"/>
      <c r="C34" s="47"/>
      <c r="D34" s="47"/>
      <c r="E34" s="47"/>
      <c r="F34" s="47"/>
      <c r="G34" s="47"/>
      <c r="H34" s="47"/>
      <c r="I34" s="47"/>
      <c r="J34" s="47"/>
      <c r="K34" s="47"/>
      <c r="L34" s="47"/>
      <c r="M34" s="47"/>
      <c r="N34" s="47"/>
    </row>
    <row r="35" spans="1:14" x14ac:dyDescent="0.25">
      <c r="A35" s="47"/>
      <c r="B35" s="47"/>
      <c r="C35" s="47"/>
      <c r="D35" s="47"/>
      <c r="E35" s="47"/>
      <c r="F35" s="47"/>
      <c r="G35" s="47"/>
      <c r="H35" s="47"/>
      <c r="I35" s="55"/>
      <c r="J35" s="55"/>
      <c r="K35" s="55"/>
      <c r="L35" s="55"/>
      <c r="M35" s="47"/>
      <c r="N35" s="47"/>
    </row>
    <row r="36" spans="1:14" x14ac:dyDescent="0.25">
      <c r="A36" s="47"/>
      <c r="B36" s="47"/>
      <c r="C36" s="47"/>
      <c r="D36" s="47"/>
      <c r="E36" s="47"/>
      <c r="F36" s="47"/>
      <c r="G36" s="47"/>
      <c r="H36" s="47"/>
      <c r="I36" s="55"/>
      <c r="J36" s="55"/>
      <c r="K36" s="55"/>
      <c r="L36" s="55"/>
      <c r="M36" s="47"/>
      <c r="N36" s="47"/>
    </row>
    <row r="37" spans="1:14" x14ac:dyDescent="0.25">
      <c r="A37" s="47"/>
      <c r="B37" s="47"/>
      <c r="C37" s="47"/>
      <c r="D37" s="47"/>
      <c r="E37" s="47"/>
      <c r="F37" s="47"/>
      <c r="G37" s="47"/>
      <c r="H37" s="47"/>
      <c r="I37" s="55"/>
      <c r="J37" s="55"/>
      <c r="K37" s="55"/>
      <c r="L37" s="55"/>
      <c r="M37" s="47"/>
      <c r="N37" s="47"/>
    </row>
    <row r="38" spans="1:14" x14ac:dyDescent="0.25">
      <c r="A38" s="47"/>
      <c r="B38" s="47"/>
      <c r="C38" s="47"/>
      <c r="D38" s="47"/>
      <c r="E38" s="47"/>
      <c r="F38" s="47"/>
      <c r="G38" s="47"/>
      <c r="H38" s="47"/>
      <c r="I38" s="47"/>
      <c r="J38" s="47"/>
      <c r="K38" s="47"/>
      <c r="L38" s="47"/>
      <c r="M38" s="47"/>
      <c r="N38" s="47"/>
    </row>
    <row r="39" spans="1:14" x14ac:dyDescent="0.25">
      <c r="A39" s="47"/>
      <c r="B39" s="47"/>
      <c r="C39" s="47"/>
      <c r="D39" s="47"/>
      <c r="E39" s="47"/>
      <c r="F39" s="47"/>
      <c r="G39" s="47"/>
      <c r="H39" s="47"/>
      <c r="I39" s="55"/>
      <c r="J39" s="55"/>
      <c r="K39" s="55"/>
      <c r="L39" s="55"/>
      <c r="M39" s="47"/>
      <c r="N39" s="47"/>
    </row>
    <row r="40" spans="1:14" x14ac:dyDescent="0.25">
      <c r="A40" s="47"/>
      <c r="B40" s="47"/>
      <c r="C40" s="47"/>
      <c r="D40" s="47"/>
      <c r="E40" s="47"/>
      <c r="F40" s="47"/>
      <c r="G40" s="47"/>
      <c r="H40" s="47"/>
      <c r="I40" s="55"/>
      <c r="J40" s="55"/>
      <c r="K40" s="55"/>
      <c r="L40" s="55"/>
      <c r="M40" s="47"/>
      <c r="N40" s="47"/>
    </row>
    <row r="41" spans="1:14" x14ac:dyDescent="0.25">
      <c r="A41" s="47"/>
      <c r="B41" s="47"/>
      <c r="C41" s="47"/>
      <c r="D41" s="47"/>
      <c r="E41" s="47"/>
      <c r="F41" s="47"/>
      <c r="G41" s="47"/>
      <c r="H41" s="47"/>
      <c r="I41" s="55"/>
      <c r="J41" s="55"/>
      <c r="K41" s="55"/>
      <c r="L41" s="55"/>
      <c r="M41" s="47"/>
      <c r="N41" s="47"/>
    </row>
    <row r="42" spans="1:14" x14ac:dyDescent="0.25">
      <c r="A42" s="47"/>
      <c r="B42" s="47"/>
      <c r="C42" s="47"/>
      <c r="D42" s="47"/>
      <c r="E42" s="47"/>
      <c r="F42" s="47"/>
      <c r="G42" s="47"/>
      <c r="H42" s="47"/>
      <c r="I42" s="47"/>
      <c r="J42" s="47"/>
      <c r="K42" s="47"/>
      <c r="L42" s="47"/>
      <c r="M42" s="47"/>
      <c r="N42" s="47"/>
    </row>
  </sheetData>
  <mergeCells count="6">
    <mergeCell ref="I15:L17"/>
    <mergeCell ref="B2:M3"/>
    <mergeCell ref="B5:M6"/>
    <mergeCell ref="A9:D9"/>
    <mergeCell ref="J10:M10"/>
    <mergeCell ref="J11:M1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66010-3A2F-4EE3-A5D7-61CDCFA0C452}">
  <dimension ref="A1:N91"/>
  <sheetViews>
    <sheetView workbookViewId="0">
      <selection activeCell="L59" sqref="L58:L59"/>
    </sheetView>
  </sheetViews>
  <sheetFormatPr baseColWidth="10" defaultRowHeight="15" x14ac:dyDescent="0.25"/>
  <cols>
    <col min="4" max="4" width="13.5703125" customWidth="1"/>
    <col min="9" max="9" width="14.7109375" customWidth="1"/>
    <col min="13" max="13" width="8.28515625" customWidth="1"/>
    <col min="14" max="14" width="8.42578125" customWidth="1"/>
    <col min="16" max="16" width="10.7109375" customWidth="1"/>
  </cols>
  <sheetData>
    <row r="1" spans="1:14" x14ac:dyDescent="0.25">
      <c r="A1" s="57" t="s">
        <v>99</v>
      </c>
      <c r="B1" s="57"/>
      <c r="C1" s="57"/>
      <c r="D1" s="57"/>
      <c r="E1" s="57"/>
      <c r="F1" s="57"/>
      <c r="G1" s="57"/>
      <c r="H1" s="57"/>
      <c r="I1" s="57"/>
      <c r="J1" s="57"/>
      <c r="K1" s="57"/>
    </row>
    <row r="2" spans="1:14" x14ac:dyDescent="0.25">
      <c r="A2" s="57"/>
      <c r="B2" s="57"/>
      <c r="C2" s="57"/>
      <c r="D2" s="57"/>
      <c r="E2" s="57"/>
      <c r="F2" s="57"/>
      <c r="G2" s="57"/>
      <c r="H2" s="57"/>
      <c r="I2" s="57"/>
      <c r="J2" s="57"/>
      <c r="K2" s="57"/>
      <c r="M2" s="56"/>
      <c r="N2" s="56"/>
    </row>
    <row r="3" spans="1:14" x14ac:dyDescent="0.25">
      <c r="A3" s="57"/>
      <c r="B3" s="57"/>
      <c r="C3" s="57"/>
      <c r="D3" s="57"/>
      <c r="E3" s="57"/>
      <c r="F3" s="57"/>
      <c r="G3" s="57"/>
      <c r="H3" s="57"/>
      <c r="I3" s="57"/>
      <c r="J3" s="57"/>
      <c r="K3" s="57"/>
      <c r="M3" s="56"/>
      <c r="N3" s="56"/>
    </row>
    <row r="4" spans="1:14" x14ac:dyDescent="0.25">
      <c r="A4" s="58"/>
      <c r="B4" s="58"/>
      <c r="C4" s="58"/>
      <c r="D4" s="58"/>
      <c r="E4" s="58"/>
      <c r="F4" s="58"/>
      <c r="G4" s="58"/>
      <c r="H4" s="58"/>
      <c r="I4" s="58"/>
      <c r="J4" s="58"/>
      <c r="K4" s="58"/>
      <c r="M4" s="56"/>
      <c r="N4" s="56"/>
    </row>
    <row r="5" spans="1:14" x14ac:dyDescent="0.25">
      <c r="A5" s="58"/>
      <c r="B5" s="58"/>
      <c r="C5" s="58"/>
      <c r="D5" s="58"/>
      <c r="E5" s="58"/>
      <c r="F5" s="58"/>
      <c r="G5" s="58"/>
      <c r="H5" s="58"/>
      <c r="I5" s="58"/>
      <c r="J5" s="58"/>
      <c r="K5" s="58"/>
    </row>
    <row r="6" spans="1:14" x14ac:dyDescent="0.25">
      <c r="A6" s="58"/>
      <c r="B6" s="58"/>
      <c r="C6" s="58"/>
      <c r="D6" s="58"/>
      <c r="E6" s="58"/>
      <c r="F6" s="58"/>
      <c r="G6" s="58"/>
      <c r="H6" s="58"/>
      <c r="I6" s="58"/>
      <c r="J6" s="58"/>
      <c r="K6" s="58"/>
    </row>
    <row r="7" spans="1:14" x14ac:dyDescent="0.25">
      <c r="A7" s="58"/>
      <c r="B7" s="58"/>
      <c r="C7" s="58"/>
      <c r="D7" s="58"/>
      <c r="E7" s="58"/>
      <c r="F7" s="58"/>
      <c r="G7" s="58"/>
      <c r="H7" s="58"/>
      <c r="I7" s="58"/>
      <c r="J7" s="58"/>
      <c r="K7" s="58"/>
    </row>
    <row r="8" spans="1:14" x14ac:dyDescent="0.25">
      <c r="A8" s="58"/>
      <c r="B8" s="58"/>
      <c r="C8" s="58"/>
      <c r="D8" s="58"/>
      <c r="E8" s="58"/>
      <c r="F8" s="58"/>
      <c r="G8" s="58"/>
      <c r="H8" s="58"/>
      <c r="I8" s="58"/>
      <c r="J8" s="58"/>
      <c r="K8" s="58"/>
    </row>
    <row r="9" spans="1:14" x14ac:dyDescent="0.25">
      <c r="A9" s="58"/>
      <c r="B9" s="58"/>
      <c r="C9" s="58"/>
      <c r="D9" s="58"/>
      <c r="E9" s="58"/>
      <c r="F9" s="58"/>
      <c r="G9" s="58"/>
      <c r="H9" s="58"/>
      <c r="I9" s="58"/>
      <c r="J9" s="58"/>
      <c r="K9" s="58"/>
    </row>
    <row r="10" spans="1:14" x14ac:dyDescent="0.25">
      <c r="A10" s="59"/>
      <c r="B10" s="59"/>
      <c r="C10" s="59"/>
      <c r="D10" s="59"/>
      <c r="E10" s="59"/>
      <c r="F10" s="59"/>
      <c r="G10" s="59"/>
      <c r="H10" s="59"/>
      <c r="I10" s="59"/>
      <c r="J10" s="59"/>
      <c r="K10" s="59"/>
    </row>
    <row r="11" spans="1:14" x14ac:dyDescent="0.25">
      <c r="A11" s="59"/>
      <c r="B11" s="59"/>
      <c r="C11" s="59"/>
      <c r="D11" s="59"/>
      <c r="E11" s="59"/>
      <c r="F11" s="59"/>
      <c r="G11" s="59"/>
      <c r="H11" s="59"/>
      <c r="I11" s="59"/>
      <c r="J11" s="59"/>
      <c r="K11" s="59"/>
    </row>
    <row r="12" spans="1:14" x14ac:dyDescent="0.25">
      <c r="A12" s="59"/>
      <c r="B12" s="59"/>
      <c r="C12" s="59"/>
      <c r="D12" s="59"/>
      <c r="E12" s="59"/>
      <c r="F12" s="59"/>
      <c r="G12" s="59"/>
      <c r="H12" s="59"/>
      <c r="I12" s="59"/>
      <c r="J12" s="59"/>
      <c r="K12" s="59"/>
    </row>
    <row r="13" spans="1:14" x14ac:dyDescent="0.25">
      <c r="A13" s="59"/>
      <c r="B13" s="59"/>
      <c r="C13" s="59"/>
      <c r="D13" s="59"/>
      <c r="E13" s="59"/>
      <c r="F13" s="59"/>
      <c r="G13" s="59"/>
      <c r="H13" s="59"/>
      <c r="I13" s="59"/>
      <c r="J13" s="59"/>
      <c r="K13" s="59"/>
    </row>
    <row r="14" spans="1:14" x14ac:dyDescent="0.25">
      <c r="A14" s="59"/>
      <c r="B14" s="59"/>
      <c r="C14" s="59"/>
      <c r="D14" s="59"/>
      <c r="E14" s="59"/>
      <c r="F14" s="59"/>
      <c r="G14" s="59"/>
      <c r="H14" s="59"/>
      <c r="I14" s="59"/>
      <c r="J14" s="59"/>
      <c r="K14" s="59"/>
    </row>
    <row r="15" spans="1:14" x14ac:dyDescent="0.25">
      <c r="A15" s="59"/>
      <c r="B15" s="59"/>
      <c r="C15" s="59"/>
      <c r="D15" s="59"/>
      <c r="E15" s="59"/>
      <c r="F15" s="59"/>
      <c r="G15" s="59"/>
      <c r="H15" s="59"/>
      <c r="I15" s="59"/>
      <c r="J15" s="59"/>
      <c r="K15" s="59"/>
    </row>
    <row r="16" spans="1:14" x14ac:dyDescent="0.25">
      <c r="A16" s="56"/>
      <c r="B16" s="56"/>
      <c r="C16" s="56"/>
      <c r="D16" s="56"/>
      <c r="E16" s="56"/>
      <c r="F16" s="56"/>
      <c r="G16" s="56"/>
      <c r="H16" s="56"/>
      <c r="I16" s="56"/>
      <c r="J16" s="56"/>
      <c r="K16" s="56"/>
    </row>
    <row r="17" spans="1:11" x14ac:dyDescent="0.25">
      <c r="A17" s="56"/>
      <c r="B17" s="56"/>
      <c r="C17" s="56"/>
      <c r="D17" s="56"/>
      <c r="E17" s="56"/>
      <c r="F17" s="56"/>
      <c r="G17" s="56"/>
      <c r="H17" s="56"/>
      <c r="I17" s="56"/>
      <c r="J17" s="56"/>
      <c r="K17" s="56"/>
    </row>
    <row r="18" spans="1:11" x14ac:dyDescent="0.25">
      <c r="A18" s="56"/>
      <c r="B18" s="56"/>
      <c r="C18" s="56"/>
      <c r="D18" s="56"/>
      <c r="E18" s="56"/>
      <c r="F18" s="56"/>
      <c r="G18" s="56"/>
      <c r="H18" s="56"/>
      <c r="I18" s="56"/>
      <c r="J18" s="56"/>
      <c r="K18" s="56"/>
    </row>
    <row r="19" spans="1:11" x14ac:dyDescent="0.25">
      <c r="A19" s="56"/>
      <c r="B19" s="56"/>
      <c r="C19" s="56"/>
      <c r="D19" s="56"/>
      <c r="E19" s="56"/>
      <c r="F19" s="56"/>
      <c r="G19" s="56"/>
      <c r="H19" s="56"/>
      <c r="I19" s="56"/>
      <c r="J19" s="56"/>
      <c r="K19" s="56"/>
    </row>
    <row r="20" spans="1:11" x14ac:dyDescent="0.25">
      <c r="A20" s="56"/>
      <c r="B20" s="56"/>
      <c r="C20" s="56"/>
      <c r="D20" s="56"/>
      <c r="E20" s="56"/>
      <c r="F20" s="56"/>
      <c r="G20" s="56"/>
      <c r="H20" s="56"/>
      <c r="I20" s="56"/>
      <c r="J20" s="56"/>
      <c r="K20" s="56"/>
    </row>
    <row r="21" spans="1:11" x14ac:dyDescent="0.25">
      <c r="A21" s="56"/>
      <c r="B21" s="56"/>
      <c r="C21" s="56"/>
      <c r="D21" s="56"/>
      <c r="E21" s="56"/>
      <c r="F21" s="56"/>
      <c r="G21" s="56"/>
      <c r="H21" s="56"/>
      <c r="I21" s="56"/>
      <c r="J21" s="56"/>
      <c r="K21" s="56"/>
    </row>
    <row r="22" spans="1:11" x14ac:dyDescent="0.25">
      <c r="A22" s="56"/>
      <c r="B22" s="56"/>
      <c r="C22" s="56"/>
      <c r="D22" s="56"/>
      <c r="E22" s="56"/>
      <c r="F22" s="56"/>
      <c r="G22" s="56"/>
      <c r="H22" s="56"/>
      <c r="I22" s="56"/>
      <c r="J22" s="56"/>
      <c r="K22" s="56"/>
    </row>
    <row r="23" spans="1:11" x14ac:dyDescent="0.25">
      <c r="A23" s="56"/>
      <c r="B23" s="56"/>
      <c r="C23" s="56"/>
      <c r="D23" s="56"/>
      <c r="E23" s="56"/>
      <c r="F23" s="56"/>
      <c r="G23" s="56"/>
      <c r="H23" s="56"/>
      <c r="I23" s="56"/>
      <c r="J23" s="56"/>
      <c r="K23" s="56"/>
    </row>
    <row r="24" spans="1:11" x14ac:dyDescent="0.25">
      <c r="A24" s="56"/>
      <c r="B24" s="56"/>
      <c r="C24" s="56"/>
      <c r="D24" s="56"/>
      <c r="E24" s="56"/>
      <c r="F24" s="56"/>
      <c r="G24" s="56"/>
      <c r="H24" s="56"/>
      <c r="I24" s="56"/>
      <c r="J24" s="56"/>
      <c r="K24" s="56"/>
    </row>
    <row r="25" spans="1:11" x14ac:dyDescent="0.25">
      <c r="A25" s="56"/>
      <c r="B25" s="56"/>
      <c r="C25" s="56"/>
      <c r="D25" s="56"/>
      <c r="E25" s="56"/>
      <c r="F25" s="56"/>
      <c r="G25" s="56"/>
      <c r="H25" s="56"/>
      <c r="I25" s="56"/>
      <c r="J25" s="56"/>
      <c r="K25" s="56"/>
    </row>
    <row r="26" spans="1:11" x14ac:dyDescent="0.25">
      <c r="A26" s="56"/>
      <c r="B26" s="56"/>
      <c r="C26" s="56"/>
      <c r="D26" s="56"/>
      <c r="E26" s="56"/>
      <c r="F26" s="56"/>
      <c r="G26" s="56"/>
      <c r="H26" s="56"/>
      <c r="I26" s="56"/>
      <c r="J26" s="56"/>
      <c r="K26" s="56"/>
    </row>
    <row r="27" spans="1:11" x14ac:dyDescent="0.25">
      <c r="A27" s="56"/>
      <c r="B27" s="56"/>
      <c r="C27" s="56"/>
      <c r="D27" s="56"/>
      <c r="E27" s="56"/>
      <c r="F27" s="56"/>
      <c r="G27" s="56"/>
      <c r="H27" s="56"/>
      <c r="I27" s="56"/>
      <c r="J27" s="56"/>
      <c r="K27" s="56"/>
    </row>
    <row r="28" spans="1:11" x14ac:dyDescent="0.25">
      <c r="A28" s="56"/>
      <c r="B28" s="56"/>
      <c r="C28" s="56"/>
      <c r="D28" s="56"/>
      <c r="E28" s="56"/>
      <c r="F28" s="56"/>
      <c r="G28" s="56"/>
      <c r="H28" s="56"/>
      <c r="I28" s="56"/>
      <c r="J28" s="56"/>
      <c r="K28" s="56"/>
    </row>
    <row r="29" spans="1:11" x14ac:dyDescent="0.25">
      <c r="A29" s="56"/>
      <c r="B29" s="56"/>
      <c r="C29" s="56"/>
      <c r="D29" s="56"/>
      <c r="E29" s="56"/>
      <c r="F29" s="56"/>
      <c r="G29" s="56"/>
      <c r="H29" s="56"/>
      <c r="I29" s="56"/>
      <c r="J29" s="56"/>
      <c r="K29" s="56"/>
    </row>
    <row r="30" spans="1:11" x14ac:dyDescent="0.25">
      <c r="A30" s="56"/>
      <c r="B30" s="56"/>
      <c r="C30" s="56"/>
      <c r="D30" s="56"/>
      <c r="E30" s="56"/>
      <c r="F30" s="56"/>
      <c r="G30" s="56"/>
      <c r="H30" s="56"/>
      <c r="I30" s="56"/>
      <c r="J30" s="56"/>
      <c r="K30" s="56"/>
    </row>
    <row r="47" ht="25.5" customHeight="1" x14ac:dyDescent="0.25"/>
    <row r="61" ht="16.5" customHeight="1" x14ac:dyDescent="0.25"/>
    <row r="68" ht="13.5" customHeight="1" x14ac:dyDescent="0.25"/>
    <row r="69" ht="15" customHeight="1" x14ac:dyDescent="0.25"/>
    <row r="90" spans="1:1" ht="15" customHeight="1" x14ac:dyDescent="0.25">
      <c r="A90" t="s">
        <v>100</v>
      </c>
    </row>
    <row r="91" spans="1:1" ht="15" customHeight="1" x14ac:dyDescent="0.25"/>
  </sheetData>
  <mergeCells count="1">
    <mergeCell ref="A1:K3"/>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E83B-B784-42E3-AA92-52D62B1A66CC}">
  <dimension ref="A1:N16"/>
  <sheetViews>
    <sheetView workbookViewId="0">
      <selection activeCell="E22" sqref="E22"/>
    </sheetView>
  </sheetViews>
  <sheetFormatPr baseColWidth="10" defaultRowHeight="15" x14ac:dyDescent="0.25"/>
  <cols>
    <col min="13" max="13" width="7" customWidth="1"/>
    <col min="14" max="14" width="7.85546875" customWidth="1"/>
    <col min="15" max="15" width="10.85546875" customWidth="1"/>
  </cols>
  <sheetData>
    <row r="1" spans="1:14" x14ac:dyDescent="0.25">
      <c r="A1" s="60" t="s">
        <v>101</v>
      </c>
      <c r="B1" s="60"/>
      <c r="C1" s="60"/>
      <c r="D1" s="60"/>
      <c r="E1" s="60"/>
      <c r="F1" s="60"/>
      <c r="G1" s="60"/>
      <c r="H1" s="60"/>
      <c r="I1" s="60"/>
      <c r="J1" s="60"/>
      <c r="K1" s="60"/>
    </row>
    <row r="2" spans="1:14" x14ac:dyDescent="0.25">
      <c r="A2" s="60"/>
      <c r="B2" s="60"/>
      <c r="C2" s="60"/>
      <c r="D2" s="60"/>
      <c r="E2" s="60"/>
      <c r="F2" s="60"/>
      <c r="G2" s="60"/>
      <c r="H2" s="60"/>
      <c r="I2" s="60"/>
      <c r="J2" s="60"/>
      <c r="K2" s="60"/>
      <c r="M2" s="56"/>
      <c r="N2" s="56"/>
    </row>
    <row r="3" spans="1:14" x14ac:dyDescent="0.25">
      <c r="A3" s="60"/>
      <c r="B3" s="60"/>
      <c r="C3" s="60"/>
      <c r="D3" s="60"/>
      <c r="E3" s="60"/>
      <c r="F3" s="60"/>
      <c r="G3" s="60"/>
      <c r="H3" s="60"/>
      <c r="I3" s="60"/>
      <c r="J3" s="60"/>
      <c r="K3" s="60"/>
      <c r="M3" s="56"/>
      <c r="N3" s="56"/>
    </row>
    <row r="4" spans="1:14" x14ac:dyDescent="0.25">
      <c r="A4" s="58"/>
      <c r="B4" s="58"/>
      <c r="C4" s="58"/>
      <c r="D4" s="58"/>
      <c r="E4" s="58"/>
      <c r="F4" s="58"/>
      <c r="G4" s="58"/>
      <c r="H4" s="58"/>
      <c r="I4" s="58"/>
      <c r="J4" s="58"/>
      <c r="K4" s="58"/>
      <c r="M4" s="56"/>
      <c r="N4" s="56"/>
    </row>
    <row r="5" spans="1:14" x14ac:dyDescent="0.25">
      <c r="A5" s="58"/>
      <c r="B5" s="58"/>
      <c r="C5" s="58"/>
      <c r="D5" s="58"/>
      <c r="E5" s="58"/>
      <c r="F5" s="58"/>
      <c r="G5" s="58"/>
      <c r="H5" s="58"/>
      <c r="I5" s="58"/>
      <c r="J5" s="58"/>
      <c r="K5" s="58"/>
    </row>
    <row r="6" spans="1:14" x14ac:dyDescent="0.25">
      <c r="A6" s="58"/>
      <c r="B6" s="61" t="s">
        <v>102</v>
      </c>
      <c r="C6" s="61"/>
      <c r="D6" s="61"/>
      <c r="E6" s="61"/>
      <c r="F6" s="61"/>
      <c r="G6" s="61"/>
      <c r="H6" s="61"/>
      <c r="I6" s="61"/>
      <c r="J6" s="61"/>
      <c r="K6" s="58"/>
    </row>
    <row r="7" spans="1:14" x14ac:dyDescent="0.25">
      <c r="A7" s="58"/>
      <c r="B7" s="61"/>
      <c r="C7" s="61"/>
      <c r="D7" s="61"/>
      <c r="E7" s="61"/>
      <c r="F7" s="61"/>
      <c r="G7" s="61"/>
      <c r="H7" s="61"/>
      <c r="I7" s="61"/>
      <c r="J7" s="61"/>
      <c r="K7" s="58"/>
    </row>
    <row r="8" spans="1:14" x14ac:dyDescent="0.25">
      <c r="A8" s="58"/>
      <c r="B8" s="61"/>
      <c r="C8" s="61"/>
      <c r="D8" s="61"/>
      <c r="E8" s="61"/>
      <c r="F8" s="61"/>
      <c r="G8" s="61"/>
      <c r="H8" s="61"/>
      <c r="I8" s="61"/>
      <c r="J8" s="61"/>
      <c r="K8" s="58"/>
    </row>
    <row r="9" spans="1:14" x14ac:dyDescent="0.25">
      <c r="A9" s="58"/>
      <c r="B9" s="61"/>
      <c r="C9" s="61"/>
      <c r="D9" s="61"/>
      <c r="E9" s="61"/>
      <c r="F9" s="61"/>
      <c r="G9" s="61"/>
      <c r="H9" s="61"/>
      <c r="I9" s="61"/>
      <c r="J9" s="61"/>
      <c r="K9" s="58"/>
    </row>
    <row r="10" spans="1:14" x14ac:dyDescent="0.25">
      <c r="A10" s="58"/>
      <c r="B10" s="61"/>
      <c r="C10" s="61"/>
      <c r="D10" s="61"/>
      <c r="E10" s="61"/>
      <c r="F10" s="61"/>
      <c r="G10" s="61"/>
      <c r="H10" s="61"/>
      <c r="I10" s="61"/>
      <c r="J10" s="61"/>
      <c r="K10" s="58"/>
    </row>
    <row r="11" spans="1:14" x14ac:dyDescent="0.25">
      <c r="A11" s="58"/>
      <c r="B11" s="61"/>
      <c r="C11" s="61"/>
      <c r="D11" s="61"/>
      <c r="E11" s="61"/>
      <c r="F11" s="61"/>
      <c r="G11" s="61"/>
      <c r="H11" s="61"/>
      <c r="I11" s="61"/>
      <c r="J11" s="61"/>
      <c r="K11" s="58"/>
    </row>
    <row r="12" spans="1:14" x14ac:dyDescent="0.25">
      <c r="A12" s="58"/>
      <c r="B12" s="61"/>
      <c r="C12" s="61"/>
      <c r="D12" s="61"/>
      <c r="E12" s="61"/>
      <c r="F12" s="61"/>
      <c r="G12" s="61"/>
      <c r="H12" s="61"/>
      <c r="I12" s="61"/>
      <c r="J12" s="61"/>
      <c r="K12" s="58"/>
    </row>
    <row r="13" spans="1:14" x14ac:dyDescent="0.25">
      <c r="A13" s="58"/>
      <c r="B13" s="61"/>
      <c r="C13" s="61"/>
      <c r="D13" s="61"/>
      <c r="E13" s="61"/>
      <c r="F13" s="61"/>
      <c r="G13" s="61"/>
      <c r="H13" s="61"/>
      <c r="I13" s="61"/>
      <c r="J13" s="61"/>
      <c r="K13" s="58"/>
    </row>
    <row r="14" spans="1:14" x14ac:dyDescent="0.25">
      <c r="A14" s="58"/>
      <c r="B14" s="61"/>
      <c r="C14" s="61"/>
      <c r="D14" s="61"/>
      <c r="E14" s="61"/>
      <c r="F14" s="61"/>
      <c r="G14" s="61"/>
      <c r="H14" s="61"/>
      <c r="I14" s="61"/>
      <c r="J14" s="61"/>
      <c r="K14" s="58"/>
    </row>
    <row r="15" spans="1:14" x14ac:dyDescent="0.25">
      <c r="A15" s="58"/>
      <c r="B15" s="58"/>
      <c r="C15" s="58"/>
      <c r="D15" s="58"/>
      <c r="E15" s="58"/>
      <c r="F15" s="58"/>
      <c r="G15" s="58"/>
      <c r="H15" s="58"/>
      <c r="I15" s="58"/>
      <c r="J15" s="58"/>
      <c r="K15" s="58"/>
    </row>
    <row r="16" spans="1:14" x14ac:dyDescent="0.25">
      <c r="A16" s="58"/>
      <c r="B16" s="58"/>
      <c r="C16" s="58"/>
      <c r="D16" s="58"/>
      <c r="E16" s="58"/>
      <c r="F16" s="58"/>
      <c r="G16" s="58"/>
      <c r="H16" s="58"/>
      <c r="I16" s="58"/>
      <c r="J16" s="58"/>
      <c r="K16" s="58"/>
    </row>
  </sheetData>
  <mergeCells count="2">
    <mergeCell ref="A1:K3"/>
    <mergeCell ref="B6:J14"/>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6"/>
  <sheetViews>
    <sheetView topLeftCell="C1" zoomScale="90" workbookViewId="0">
      <selection activeCell="L7" sqref="L7"/>
    </sheetView>
  </sheetViews>
  <sheetFormatPr baseColWidth="10" defaultRowHeight="15" x14ac:dyDescent="0.25"/>
  <cols>
    <col min="2" max="2" width="28.5703125" bestFit="1" customWidth="1"/>
    <col min="3" max="3" width="14.85546875" bestFit="1" customWidth="1"/>
    <col min="4" max="4" width="23.7109375" bestFit="1" customWidth="1"/>
    <col min="5" max="5" width="16.28515625" bestFit="1" customWidth="1"/>
    <col min="6" max="6" width="30.140625" bestFit="1" customWidth="1"/>
    <col min="7" max="7" width="16.7109375" customWidth="1"/>
    <col min="8" max="9" width="13.28515625" bestFit="1" customWidth="1"/>
    <col min="10" max="10" width="21.7109375" customWidth="1"/>
    <col min="11" max="12" width="13.28515625" bestFit="1" customWidth="1"/>
    <col min="13" max="13" width="14.85546875" bestFit="1" customWidth="1"/>
    <col min="14" max="14" width="16" bestFit="1" customWidth="1"/>
    <col min="15" max="16" width="14.85546875" bestFit="1" customWidth="1"/>
    <col min="17" max="17" width="12.28515625" bestFit="1" customWidth="1"/>
    <col min="20" max="20" width="12.28515625" bestFit="1" customWidth="1"/>
  </cols>
  <sheetData>
    <row r="1" spans="2:20" x14ac:dyDescent="0.25">
      <c r="B1" s="41" t="s">
        <v>38</v>
      </c>
      <c r="C1" s="41"/>
      <c r="D1" s="41"/>
      <c r="G1" s="41"/>
      <c r="H1" s="41"/>
      <c r="I1" s="12"/>
      <c r="J1" s="41"/>
      <c r="K1" s="41"/>
      <c r="M1" s="41"/>
      <c r="N1" s="41"/>
      <c r="O1" s="12"/>
      <c r="P1" s="41" t="s">
        <v>39</v>
      </c>
      <c r="Q1" s="41"/>
      <c r="S1" s="41" t="s">
        <v>40</v>
      </c>
      <c r="T1" s="41"/>
    </row>
    <row r="2" spans="2:20" x14ac:dyDescent="0.25">
      <c r="F2" s="4"/>
      <c r="G2" s="34">
        <v>2017</v>
      </c>
      <c r="H2" s="34">
        <v>2018</v>
      </c>
      <c r="I2" s="34">
        <v>2019</v>
      </c>
      <c r="J2" s="4">
        <v>2020</v>
      </c>
      <c r="K2" s="4">
        <v>2021</v>
      </c>
      <c r="L2" s="4">
        <v>2022</v>
      </c>
      <c r="M2" s="4">
        <v>2023</v>
      </c>
      <c r="N2" s="4">
        <v>2024</v>
      </c>
      <c r="O2" s="4">
        <v>2025</v>
      </c>
      <c r="P2" s="4">
        <v>2026</v>
      </c>
    </row>
    <row r="3" spans="2:20" x14ac:dyDescent="0.25">
      <c r="B3" s="4" t="s">
        <v>0</v>
      </c>
      <c r="C3" s="4">
        <v>20000</v>
      </c>
      <c r="D3" s="11"/>
      <c r="F3" s="4" t="s">
        <v>26</v>
      </c>
      <c r="G3" s="38">
        <f>C3</f>
        <v>20000</v>
      </c>
      <c r="H3" s="39">
        <f>C3*C4+C3</f>
        <v>21000</v>
      </c>
      <c r="I3" s="38">
        <f>H3+H3*C4</f>
        <v>22050</v>
      </c>
      <c r="J3" s="26">
        <f>I3+I3*C4</f>
        <v>23152.5</v>
      </c>
      <c r="K3" s="26">
        <f>J3+J3*C4</f>
        <v>24310.125</v>
      </c>
      <c r="L3" s="40">
        <f>K3+K3*C4</f>
        <v>25525.631249999999</v>
      </c>
      <c r="M3" s="40">
        <f>L3+L3*C4</f>
        <v>26801.912812499999</v>
      </c>
      <c r="N3" s="26">
        <f>M3+M3*C4</f>
        <v>28142.008453125</v>
      </c>
      <c r="O3" s="40">
        <f>N3+N3*C4</f>
        <v>29549.10887578125</v>
      </c>
      <c r="P3" s="40">
        <f>O3+O3*C4</f>
        <v>31026.564319570312</v>
      </c>
      <c r="Q3" s="21"/>
      <c r="R3" s="20"/>
      <c r="S3" s="20"/>
      <c r="T3" s="21"/>
    </row>
    <row r="4" spans="2:20" x14ac:dyDescent="0.25">
      <c r="B4" s="4" t="s">
        <v>1</v>
      </c>
      <c r="C4" s="6">
        <v>0.05</v>
      </c>
      <c r="F4" s="4" t="s">
        <v>33</v>
      </c>
      <c r="G4" s="35">
        <f>C5</f>
        <v>800</v>
      </c>
      <c r="H4" s="35">
        <f>C5+C5*C6</f>
        <v>840</v>
      </c>
      <c r="I4" s="35">
        <f>H4+H4*C6</f>
        <v>882</v>
      </c>
      <c r="J4" s="18">
        <f>I4+I4*C6</f>
        <v>926.1</v>
      </c>
      <c r="K4" s="18">
        <f>J4+J4*C6</f>
        <v>972.40499999999997</v>
      </c>
      <c r="L4" s="18">
        <f>K4+K4*C6</f>
        <v>1021.0252499999999</v>
      </c>
      <c r="M4" s="18">
        <f>L4+L4*C6</f>
        <v>1072.0765124999998</v>
      </c>
      <c r="N4" s="18">
        <f>M4+M4*C6</f>
        <v>1125.6803381249997</v>
      </c>
      <c r="O4" s="18">
        <f>N4+N4*C6</f>
        <v>1181.9643550312496</v>
      </c>
      <c r="P4" s="18">
        <f>O4+O4*C6</f>
        <v>1241.0625727828121</v>
      </c>
      <c r="Q4" s="22"/>
      <c r="R4" s="20"/>
      <c r="S4" s="20"/>
      <c r="T4" s="22"/>
    </row>
    <row r="5" spans="2:20" x14ac:dyDescent="0.25">
      <c r="B5" s="4" t="s">
        <v>32</v>
      </c>
      <c r="C5" s="5">
        <v>800</v>
      </c>
      <c r="F5" s="4" t="s">
        <v>77</v>
      </c>
      <c r="G5" s="35">
        <f t="shared" ref="G5:M5" si="0">G4/1.16</f>
        <v>689.65517241379314</v>
      </c>
      <c r="H5" s="35">
        <f t="shared" si="0"/>
        <v>724.13793103448279</v>
      </c>
      <c r="I5" s="35">
        <f t="shared" si="0"/>
        <v>760.34482758620697</v>
      </c>
      <c r="J5" s="18">
        <f t="shared" si="0"/>
        <v>798.36206896551732</v>
      </c>
      <c r="K5" s="18">
        <f t="shared" si="0"/>
        <v>838.28017241379314</v>
      </c>
      <c r="L5" s="18">
        <f t="shared" si="0"/>
        <v>880.19418103448277</v>
      </c>
      <c r="M5" s="18">
        <f t="shared" si="0"/>
        <v>924.2038900862068</v>
      </c>
      <c r="N5" s="18">
        <f>N4/1.16</f>
        <v>970.41408459051706</v>
      </c>
      <c r="O5" s="18">
        <f>O4/1.16</f>
        <v>1018.9347888200429</v>
      </c>
      <c r="P5" s="18">
        <f>O5/1.16</f>
        <v>878.3920593276232</v>
      </c>
      <c r="Q5" s="20"/>
      <c r="R5" s="20"/>
      <c r="S5" s="20"/>
      <c r="T5" s="20"/>
    </row>
    <row r="6" spans="2:20" x14ac:dyDescent="0.25">
      <c r="B6" s="4" t="s">
        <v>1</v>
      </c>
      <c r="C6" s="6">
        <v>0.05</v>
      </c>
      <c r="F6" s="4" t="s">
        <v>9</v>
      </c>
      <c r="G6" s="34"/>
      <c r="H6" s="34"/>
      <c r="I6" s="34"/>
      <c r="J6" s="4"/>
      <c r="K6" s="4"/>
      <c r="L6" s="4"/>
      <c r="M6" s="4"/>
      <c r="N6" s="4"/>
      <c r="O6" s="4"/>
      <c r="P6" s="4"/>
      <c r="Q6" s="20"/>
      <c r="R6" s="20"/>
      <c r="S6" s="20"/>
      <c r="T6" s="20"/>
    </row>
    <row r="7" spans="2:20" x14ac:dyDescent="0.25">
      <c r="B7" s="4" t="s">
        <v>2</v>
      </c>
      <c r="C7" s="5">
        <v>100000</v>
      </c>
      <c r="D7" s="4" t="s">
        <v>58</v>
      </c>
      <c r="F7" s="37" t="s">
        <v>83</v>
      </c>
      <c r="G7" s="5">
        <v>0</v>
      </c>
      <c r="H7" s="5">
        <v>0</v>
      </c>
      <c r="I7" s="5">
        <v>0</v>
      </c>
      <c r="J7" s="5">
        <v>0</v>
      </c>
      <c r="K7" s="5">
        <v>0</v>
      </c>
      <c r="L7" s="18">
        <f>(L3-25000)*C13</f>
        <v>210252.49999999942</v>
      </c>
      <c r="M7" s="18">
        <f>(M3-25000)*C13</f>
        <v>720765.12499999953</v>
      </c>
      <c r="N7" s="18">
        <f>(N3-25000)*C13</f>
        <v>1256803.3812499999</v>
      </c>
      <c r="O7" s="18">
        <f>(O3-25000)*C13</f>
        <v>1819643.5503125002</v>
      </c>
      <c r="P7" s="18">
        <f>(P3-25000)*C13</f>
        <v>2410625.727828125</v>
      </c>
      <c r="Q7" s="23"/>
      <c r="R7" s="20"/>
      <c r="S7" s="20"/>
      <c r="T7" s="23"/>
    </row>
    <row r="8" spans="2:20" x14ac:dyDescent="0.25">
      <c r="B8" s="4" t="s">
        <v>3</v>
      </c>
      <c r="C8" s="8">
        <v>500000</v>
      </c>
      <c r="D8" s="18">
        <f>C8/C9</f>
        <v>16666.666666666668</v>
      </c>
      <c r="F8" s="4" t="s">
        <v>10</v>
      </c>
      <c r="G8" s="35">
        <f t="shared" ref="G8:G16" si="1">C16</f>
        <v>120</v>
      </c>
      <c r="H8" s="36">
        <f t="shared" ref="H8:H14" si="2">C16+C16*D16</f>
        <v>129.6</v>
      </c>
      <c r="I8" s="35">
        <f t="shared" ref="I8:I14" si="3">H8+H8*D16</f>
        <v>139.96799999999999</v>
      </c>
      <c r="J8" s="5">
        <f t="shared" ref="J8:J14" si="4">I8+I8*D16</f>
        <v>151.16543999999999</v>
      </c>
      <c r="K8" s="5">
        <f t="shared" ref="K8:K14" si="5">J8+J8*D16</f>
        <v>163.2586752</v>
      </c>
      <c r="L8" s="18">
        <f>K8+K8*D16</f>
        <v>176.31936921599998</v>
      </c>
      <c r="M8" s="18">
        <f t="shared" ref="M8:M14" si="6">L8+L8*D16</f>
        <v>190.42491875328</v>
      </c>
      <c r="N8" s="5">
        <f>M8+M8*D16</f>
        <v>205.65891225354238</v>
      </c>
      <c r="O8" s="18">
        <f>N8+N8*D16</f>
        <v>222.11162523382578</v>
      </c>
      <c r="P8" s="18">
        <f>O8+O8*D16</f>
        <v>239.88055525253185</v>
      </c>
      <c r="Q8" s="23"/>
      <c r="R8" s="20"/>
      <c r="S8" s="20"/>
      <c r="T8" s="23"/>
    </row>
    <row r="9" spans="2:20" x14ac:dyDescent="0.25">
      <c r="B9" s="7" t="s">
        <v>4</v>
      </c>
      <c r="C9" s="7">
        <v>30</v>
      </c>
      <c r="D9" s="10" t="s">
        <v>5</v>
      </c>
      <c r="F9" s="4" t="s">
        <v>11</v>
      </c>
      <c r="G9" s="35">
        <f t="shared" si="1"/>
        <v>80</v>
      </c>
      <c r="H9" s="36">
        <f t="shared" si="2"/>
        <v>86.4</v>
      </c>
      <c r="I9" s="35">
        <f t="shared" si="3"/>
        <v>93.312000000000012</v>
      </c>
      <c r="J9" s="5">
        <f t="shared" si="4"/>
        <v>100.77696000000002</v>
      </c>
      <c r="K9" s="5">
        <f t="shared" si="5"/>
        <v>108.83911680000001</v>
      </c>
      <c r="L9" s="18">
        <f>K9+K9*D17</f>
        <v>117.54624614400001</v>
      </c>
      <c r="M9" s="18">
        <f t="shared" si="6"/>
        <v>126.94994583552001</v>
      </c>
      <c r="N9" s="5">
        <f>M9+M9*D17</f>
        <v>137.10594150236162</v>
      </c>
      <c r="O9" s="18">
        <f>N9+N9*D17</f>
        <v>148.07441682255055</v>
      </c>
      <c r="P9" s="18">
        <f>O9+O9*D17</f>
        <v>159.92037016835459</v>
      </c>
      <c r="Q9" s="23"/>
      <c r="R9" s="20"/>
      <c r="S9" s="20"/>
      <c r="T9" s="23"/>
    </row>
    <row r="10" spans="2:20" x14ac:dyDescent="0.25">
      <c r="B10" s="4" t="s">
        <v>6</v>
      </c>
      <c r="C10" s="9">
        <v>1000000</v>
      </c>
      <c r="D10" s="5">
        <f>(C10-C12)/C11</f>
        <v>180000</v>
      </c>
      <c r="F10" s="4" t="s">
        <v>12</v>
      </c>
      <c r="G10" s="35">
        <f t="shared" si="1"/>
        <v>50</v>
      </c>
      <c r="H10" s="36">
        <f t="shared" si="2"/>
        <v>54</v>
      </c>
      <c r="I10" s="35">
        <f t="shared" si="3"/>
        <v>58.32</v>
      </c>
      <c r="J10" s="5">
        <f t="shared" si="4"/>
        <v>62.985599999999998</v>
      </c>
      <c r="K10" s="5">
        <f t="shared" si="5"/>
        <v>68.024447999999992</v>
      </c>
      <c r="L10" s="18">
        <f>K10+K10*D18</f>
        <v>73.466403839999998</v>
      </c>
      <c r="M10" s="18">
        <f t="shared" si="6"/>
        <v>79.343716147199999</v>
      </c>
      <c r="N10" s="5">
        <f>M10+M10*D19</f>
        <v>85.691213438975993</v>
      </c>
      <c r="O10" s="18">
        <f>N10+N10*D19</f>
        <v>92.546510514094066</v>
      </c>
      <c r="P10" s="18">
        <f>O10+O10*D19</f>
        <v>99.95023135522159</v>
      </c>
      <c r="Q10" s="23"/>
      <c r="R10" s="20"/>
      <c r="S10" s="20"/>
      <c r="T10" s="23"/>
    </row>
    <row r="11" spans="2:20" x14ac:dyDescent="0.25">
      <c r="B11" s="4" t="s">
        <v>4</v>
      </c>
      <c r="C11" s="7">
        <v>5</v>
      </c>
      <c r="D11" s="10" t="s">
        <v>5</v>
      </c>
      <c r="F11" s="4" t="s">
        <v>13</v>
      </c>
      <c r="G11" s="35">
        <f t="shared" si="1"/>
        <v>50</v>
      </c>
      <c r="H11" s="36">
        <f t="shared" si="2"/>
        <v>54</v>
      </c>
      <c r="I11" s="35">
        <f t="shared" si="3"/>
        <v>58.32</v>
      </c>
      <c r="J11" s="5">
        <f t="shared" si="4"/>
        <v>62.985599999999998</v>
      </c>
      <c r="K11" s="5">
        <f t="shared" si="5"/>
        <v>68.024447999999992</v>
      </c>
      <c r="L11" s="18">
        <f>K11+K11*D19</f>
        <v>73.466403839999998</v>
      </c>
      <c r="M11" s="18">
        <f t="shared" si="6"/>
        <v>79.343716147199999</v>
      </c>
      <c r="N11" s="5">
        <f>M11+M11*D20</f>
        <v>85.691213438975993</v>
      </c>
      <c r="O11" s="18">
        <f>N11+N11*D20</f>
        <v>92.546510514094066</v>
      </c>
      <c r="P11" s="18">
        <f>O11+O11*D20</f>
        <v>99.95023135522159</v>
      </c>
      <c r="Q11" s="23"/>
      <c r="R11" s="20"/>
      <c r="S11" s="20"/>
      <c r="T11" s="23"/>
    </row>
    <row r="12" spans="2:20" x14ac:dyDescent="0.25">
      <c r="B12" s="4" t="s">
        <v>7</v>
      </c>
      <c r="C12" s="5">
        <v>100000</v>
      </c>
      <c r="F12" s="4" t="s">
        <v>14</v>
      </c>
      <c r="G12" s="35">
        <f t="shared" si="1"/>
        <v>150000</v>
      </c>
      <c r="H12" s="36">
        <f t="shared" si="2"/>
        <v>162000</v>
      </c>
      <c r="I12" s="35">
        <f t="shared" si="3"/>
        <v>174960</v>
      </c>
      <c r="J12" s="5">
        <f t="shared" si="4"/>
        <v>188956.79999999999</v>
      </c>
      <c r="K12" s="5">
        <f t="shared" si="5"/>
        <v>204073.34399999998</v>
      </c>
      <c r="L12" s="18">
        <f>K12+K12*D20</f>
        <v>220399.21151999998</v>
      </c>
      <c r="M12" s="18">
        <f t="shared" si="6"/>
        <v>238031.14844159997</v>
      </c>
      <c r="N12" s="5">
        <f>M12+M12*D20</f>
        <v>257073.64031692798</v>
      </c>
      <c r="O12" s="18">
        <f>N12+N12*D20</f>
        <v>277639.5315422822</v>
      </c>
      <c r="P12" s="18">
        <f>O12+O12*D20</f>
        <v>299850.69406566478</v>
      </c>
      <c r="Q12" s="23"/>
      <c r="R12" s="20"/>
      <c r="S12" s="20"/>
      <c r="T12" s="23"/>
    </row>
    <row r="13" spans="2:20" x14ac:dyDescent="0.25">
      <c r="B13" s="4" t="s">
        <v>8</v>
      </c>
      <c r="C13" s="5">
        <v>400</v>
      </c>
      <c r="D13">
        <v>400</v>
      </c>
      <c r="F13" s="4" t="s">
        <v>15</v>
      </c>
      <c r="G13" s="35">
        <f t="shared" si="1"/>
        <v>100</v>
      </c>
      <c r="H13" s="36">
        <f t="shared" si="2"/>
        <v>105</v>
      </c>
      <c r="I13" s="35">
        <f t="shared" si="3"/>
        <v>110.25</v>
      </c>
      <c r="J13" s="5">
        <f t="shared" si="4"/>
        <v>115.7625</v>
      </c>
      <c r="K13" s="5">
        <f t="shared" si="5"/>
        <v>121.550625</v>
      </c>
      <c r="L13" s="18">
        <f>K13+(K13*D21)</f>
        <v>127.62815624999999</v>
      </c>
      <c r="M13" s="18">
        <f t="shared" si="6"/>
        <v>134.00956406249998</v>
      </c>
      <c r="N13" s="5">
        <f>M13+M13*D21</f>
        <v>140.71004226562496</v>
      </c>
      <c r="O13" s="18">
        <f>N13+N13*D21</f>
        <v>147.7455443789062</v>
      </c>
      <c r="P13" s="18">
        <f>O13+O13*D21</f>
        <v>155.13282159785152</v>
      </c>
      <c r="Q13" s="23"/>
      <c r="R13" s="20"/>
      <c r="S13" s="20"/>
      <c r="T13" s="23"/>
    </row>
    <row r="14" spans="2:20" x14ac:dyDescent="0.25">
      <c r="F14" s="4" t="s">
        <v>16</v>
      </c>
      <c r="G14" s="35">
        <f t="shared" si="1"/>
        <v>200</v>
      </c>
      <c r="H14" s="36">
        <f t="shared" si="2"/>
        <v>210</v>
      </c>
      <c r="I14" s="35">
        <f t="shared" si="3"/>
        <v>220.5</v>
      </c>
      <c r="J14" s="5">
        <f t="shared" si="4"/>
        <v>231.52500000000001</v>
      </c>
      <c r="K14" s="5">
        <f t="shared" si="5"/>
        <v>243.10124999999999</v>
      </c>
      <c r="L14" s="18">
        <f>K14+K14*D22</f>
        <v>255.25631249999998</v>
      </c>
      <c r="M14" s="18">
        <f t="shared" si="6"/>
        <v>268.01912812499995</v>
      </c>
      <c r="N14" s="5">
        <f>M14+M14*D22</f>
        <v>281.42008453124993</v>
      </c>
      <c r="O14" s="18">
        <f>N14+N14*D22</f>
        <v>295.49108875781241</v>
      </c>
      <c r="P14" s="18">
        <f>O14+O14*D22</f>
        <v>310.26564319570303</v>
      </c>
      <c r="Q14" s="23"/>
      <c r="R14" s="20"/>
      <c r="S14" s="20"/>
      <c r="T14" s="23"/>
    </row>
    <row r="15" spans="2:20" x14ac:dyDescent="0.25">
      <c r="B15" s="4" t="s">
        <v>9</v>
      </c>
      <c r="C15" s="4" t="s">
        <v>19</v>
      </c>
      <c r="D15" s="4" t="s">
        <v>20</v>
      </c>
      <c r="F15" s="4" t="s">
        <v>17</v>
      </c>
      <c r="G15" s="35">
        <f t="shared" si="1"/>
        <v>100000</v>
      </c>
      <c r="H15" s="36">
        <f>C23</f>
        <v>100000</v>
      </c>
      <c r="I15" s="35">
        <f>H15</f>
        <v>100000</v>
      </c>
      <c r="J15" s="5">
        <f>H15</f>
        <v>100000</v>
      </c>
      <c r="K15" s="5">
        <f t="shared" ref="K15:P15" si="7">J15</f>
        <v>100000</v>
      </c>
      <c r="L15" s="18">
        <f t="shared" si="7"/>
        <v>100000</v>
      </c>
      <c r="M15" s="18">
        <f t="shared" si="7"/>
        <v>100000</v>
      </c>
      <c r="N15" s="5">
        <f t="shared" si="7"/>
        <v>100000</v>
      </c>
      <c r="O15" s="18">
        <f t="shared" si="7"/>
        <v>100000</v>
      </c>
      <c r="P15" s="18">
        <f t="shared" si="7"/>
        <v>100000</v>
      </c>
      <c r="Q15" s="23"/>
      <c r="R15" s="20"/>
      <c r="S15" s="20"/>
      <c r="T15" s="23"/>
    </row>
    <row r="16" spans="2:20" x14ac:dyDescent="0.25">
      <c r="B16" s="4" t="s">
        <v>10</v>
      </c>
      <c r="C16" s="5">
        <v>120</v>
      </c>
      <c r="D16" s="6">
        <v>0.08</v>
      </c>
      <c r="F16" s="4" t="s">
        <v>18</v>
      </c>
      <c r="G16" s="35">
        <f t="shared" si="1"/>
        <v>200000</v>
      </c>
      <c r="H16" s="36">
        <f>C24</f>
        <v>200000</v>
      </c>
      <c r="I16" s="35">
        <f>H16</f>
        <v>200000</v>
      </c>
      <c r="J16" s="5">
        <f>H16</f>
        <v>200000</v>
      </c>
      <c r="K16" s="5">
        <f>J16</f>
        <v>200000</v>
      </c>
      <c r="L16" s="18">
        <f>J16</f>
        <v>200000</v>
      </c>
      <c r="M16" s="18">
        <f>L16</f>
        <v>200000</v>
      </c>
      <c r="N16" s="5">
        <f>M16</f>
        <v>200000</v>
      </c>
      <c r="O16" s="18">
        <f>N16</f>
        <v>200000</v>
      </c>
      <c r="P16" s="18">
        <f>O16</f>
        <v>200000</v>
      </c>
    </row>
    <row r="17" spans="2:17" x14ac:dyDescent="0.25">
      <c r="B17" s="4" t="s">
        <v>11</v>
      </c>
      <c r="C17" s="5">
        <v>80</v>
      </c>
      <c r="D17" s="6">
        <v>0.08</v>
      </c>
      <c r="G17" s="42"/>
      <c r="H17" s="42"/>
      <c r="I17" s="20"/>
      <c r="J17" s="42"/>
      <c r="K17" s="42"/>
      <c r="L17" s="20"/>
      <c r="M17" s="42"/>
      <c r="N17" s="42"/>
      <c r="O17" s="20"/>
      <c r="P17" s="42"/>
      <c r="Q17" s="42"/>
    </row>
    <row r="18" spans="2:17" x14ac:dyDescent="0.25">
      <c r="B18" s="4" t="s">
        <v>12</v>
      </c>
      <c r="C18" s="5">
        <v>50</v>
      </c>
      <c r="D18" s="6">
        <v>0.08</v>
      </c>
      <c r="G18" s="20"/>
      <c r="H18" s="24"/>
      <c r="I18" s="20"/>
      <c r="J18" s="20"/>
      <c r="K18" s="21"/>
      <c r="L18" s="20"/>
      <c r="M18" s="20"/>
      <c r="N18" s="21"/>
      <c r="O18" s="20"/>
      <c r="P18" s="20"/>
      <c r="Q18" s="21"/>
    </row>
    <row r="19" spans="2:17" x14ac:dyDescent="0.25">
      <c r="B19" s="4" t="s">
        <v>13</v>
      </c>
      <c r="C19" s="5">
        <v>50</v>
      </c>
      <c r="D19" s="6">
        <v>0.08</v>
      </c>
      <c r="G19" s="20"/>
      <c r="H19" s="22"/>
      <c r="I19" s="20"/>
      <c r="J19" s="20"/>
      <c r="K19" s="22"/>
      <c r="L19" s="20"/>
      <c r="M19" s="20"/>
      <c r="N19" s="22"/>
      <c r="O19" s="20"/>
      <c r="P19" s="20"/>
      <c r="Q19" s="22"/>
    </row>
    <row r="20" spans="2:17" x14ac:dyDescent="0.25">
      <c r="B20" s="4" t="s">
        <v>14</v>
      </c>
      <c r="C20" s="5">
        <v>150000</v>
      </c>
      <c r="D20" s="6">
        <v>0.08</v>
      </c>
      <c r="G20" s="19"/>
      <c r="H20" s="22"/>
      <c r="I20" s="20"/>
      <c r="J20" s="19"/>
      <c r="K20" s="22"/>
      <c r="L20" s="20"/>
      <c r="M20" s="20"/>
      <c r="N20" s="20"/>
      <c r="O20" s="20"/>
      <c r="P20" s="20"/>
      <c r="Q20" s="20"/>
    </row>
    <row r="21" spans="2:17" x14ac:dyDescent="0.25">
      <c r="B21" s="4" t="s">
        <v>15</v>
      </c>
      <c r="C21" s="5">
        <v>100</v>
      </c>
      <c r="D21" s="6">
        <v>0.05</v>
      </c>
      <c r="G21" s="20"/>
      <c r="H21" s="20"/>
      <c r="I21" s="20"/>
      <c r="J21" s="20"/>
      <c r="K21" s="20"/>
      <c r="L21" s="20"/>
      <c r="M21" s="20"/>
      <c r="N21" s="20"/>
      <c r="O21" s="20"/>
      <c r="P21" s="20"/>
      <c r="Q21" s="20"/>
    </row>
    <row r="22" spans="2:17" x14ac:dyDescent="0.25">
      <c r="B22" s="4" t="s">
        <v>16</v>
      </c>
      <c r="C22" s="5">
        <v>200</v>
      </c>
      <c r="D22" s="6">
        <v>0.05</v>
      </c>
      <c r="G22" s="20"/>
      <c r="H22" s="23"/>
      <c r="I22" s="20"/>
      <c r="J22" s="20"/>
      <c r="K22" s="23"/>
      <c r="L22" s="20"/>
      <c r="M22" s="20"/>
      <c r="N22" s="23"/>
      <c r="O22" s="20"/>
      <c r="P22" s="20"/>
      <c r="Q22" s="23"/>
    </row>
    <row r="23" spans="2:17" x14ac:dyDescent="0.25">
      <c r="B23" s="4" t="s">
        <v>17</v>
      </c>
      <c r="C23" s="5">
        <v>100000</v>
      </c>
      <c r="D23" s="4"/>
      <c r="G23" s="20"/>
      <c r="H23" s="23"/>
      <c r="I23" s="20"/>
      <c r="J23" s="20"/>
      <c r="K23" s="23"/>
      <c r="L23" s="20"/>
      <c r="M23" s="20"/>
      <c r="N23" s="23"/>
      <c r="O23" s="20"/>
      <c r="P23" s="20"/>
      <c r="Q23" s="23"/>
    </row>
    <row r="24" spans="2:17" x14ac:dyDescent="0.25">
      <c r="B24" s="4" t="s">
        <v>18</v>
      </c>
      <c r="C24" s="5">
        <v>200000</v>
      </c>
      <c r="D24" s="4"/>
      <c r="G24" s="20"/>
      <c r="H24" s="23"/>
      <c r="I24" s="20"/>
      <c r="J24" s="20"/>
      <c r="K24" s="23"/>
      <c r="L24" s="20"/>
      <c r="M24" s="20"/>
      <c r="N24" s="23"/>
      <c r="O24" s="20"/>
      <c r="P24" s="20"/>
      <c r="Q24" s="23"/>
    </row>
    <row r="25" spans="2:17" x14ac:dyDescent="0.25">
      <c r="G25" s="20"/>
      <c r="H25" s="23"/>
      <c r="I25" s="20"/>
      <c r="J25" s="20"/>
      <c r="K25" s="23"/>
      <c r="L25" s="20"/>
      <c r="M25" s="20"/>
      <c r="N25" s="23"/>
      <c r="O25" s="20"/>
      <c r="P25" s="20"/>
      <c r="Q25" s="23"/>
    </row>
    <row r="26" spans="2:17" x14ac:dyDescent="0.25">
      <c r="B26" s="41" t="s">
        <v>21</v>
      </c>
      <c r="C26" s="41"/>
      <c r="D26" s="41"/>
      <c r="E26" s="41"/>
      <c r="G26" s="20"/>
      <c r="H26" s="23"/>
      <c r="I26" s="20"/>
      <c r="J26" s="20"/>
      <c r="K26" s="23"/>
      <c r="L26" s="20"/>
      <c r="M26" s="20"/>
      <c r="N26" s="23"/>
      <c r="O26" s="20"/>
      <c r="P26" s="20"/>
      <c r="Q26" s="23"/>
    </row>
    <row r="27" spans="2:17" x14ac:dyDescent="0.25">
      <c r="B27" s="4" t="s">
        <v>22</v>
      </c>
      <c r="C27" s="4" t="s">
        <v>23</v>
      </c>
      <c r="D27" s="4" t="s">
        <v>24</v>
      </c>
      <c r="E27" s="4" t="s">
        <v>25</v>
      </c>
      <c r="G27" s="20"/>
      <c r="H27" s="23"/>
      <c r="I27" s="20"/>
      <c r="J27" s="20"/>
      <c r="K27" s="23"/>
      <c r="L27" s="20"/>
      <c r="M27" s="20"/>
      <c r="N27" s="23"/>
      <c r="O27" s="20"/>
      <c r="P27" s="20"/>
      <c r="Q27" s="23"/>
    </row>
    <row r="28" spans="2:17" x14ac:dyDescent="0.25">
      <c r="B28" s="4">
        <v>0</v>
      </c>
      <c r="C28" s="4">
        <v>999</v>
      </c>
      <c r="D28" s="5">
        <v>0</v>
      </c>
      <c r="E28" s="6">
        <v>0.05</v>
      </c>
      <c r="G28" s="20"/>
      <c r="H28" s="23"/>
      <c r="I28" s="20"/>
      <c r="J28" s="20"/>
      <c r="K28" s="23"/>
      <c r="L28" s="20"/>
      <c r="M28" s="20"/>
      <c r="N28" s="23"/>
      <c r="O28" s="20"/>
      <c r="P28" s="20"/>
      <c r="Q28" s="23"/>
    </row>
    <row r="29" spans="2:17" x14ac:dyDescent="0.25">
      <c r="B29" s="4">
        <v>1000</v>
      </c>
      <c r="C29" s="4">
        <v>9999</v>
      </c>
      <c r="D29" s="5">
        <v>50</v>
      </c>
      <c r="E29" s="6">
        <v>0.1</v>
      </c>
      <c r="G29" s="20"/>
      <c r="H29" s="23"/>
      <c r="I29" s="20"/>
      <c r="J29" s="20"/>
      <c r="K29" s="23"/>
      <c r="L29" s="20"/>
      <c r="M29" s="20"/>
      <c r="N29" s="23"/>
      <c r="O29" s="20"/>
      <c r="P29" s="20"/>
      <c r="Q29" s="23"/>
    </row>
    <row r="30" spans="2:17" x14ac:dyDescent="0.25">
      <c r="B30" s="4">
        <v>10000</v>
      </c>
      <c r="C30" s="4">
        <v>49999</v>
      </c>
      <c r="D30" s="5">
        <v>950</v>
      </c>
      <c r="E30" s="6">
        <v>0.15</v>
      </c>
      <c r="G30" s="20"/>
      <c r="H30" s="23"/>
      <c r="I30" s="20"/>
      <c r="J30" s="20"/>
      <c r="K30" s="23"/>
      <c r="L30" s="20"/>
      <c r="M30" s="20"/>
      <c r="N30" s="23"/>
      <c r="O30" s="20"/>
      <c r="P30" s="20"/>
      <c r="Q30" s="23"/>
    </row>
    <row r="31" spans="2:17" x14ac:dyDescent="0.25">
      <c r="B31" s="4">
        <v>50000</v>
      </c>
      <c r="C31" s="4">
        <v>99000</v>
      </c>
      <c r="D31" s="5">
        <v>6950</v>
      </c>
      <c r="E31" s="6">
        <v>0.2</v>
      </c>
    </row>
    <row r="32" spans="2:17" x14ac:dyDescent="0.25">
      <c r="B32" s="4">
        <v>100000</v>
      </c>
      <c r="C32" s="4">
        <v>499000</v>
      </c>
      <c r="D32" s="5">
        <v>16950</v>
      </c>
      <c r="E32" s="6">
        <v>0.25</v>
      </c>
    </row>
    <row r="33" spans="2:5" x14ac:dyDescent="0.25">
      <c r="B33" s="4">
        <v>500000</v>
      </c>
      <c r="C33" s="4">
        <v>999999</v>
      </c>
      <c r="D33" s="5">
        <v>116949</v>
      </c>
      <c r="E33" s="6">
        <v>0.3</v>
      </c>
    </row>
    <row r="34" spans="2:5" x14ac:dyDescent="0.25">
      <c r="B34" s="4">
        <v>1000000</v>
      </c>
      <c r="C34" s="4"/>
      <c r="D34" s="5">
        <v>266949</v>
      </c>
      <c r="E34" s="6">
        <v>0.35</v>
      </c>
    </row>
    <row r="35" spans="2:5" x14ac:dyDescent="0.25">
      <c r="D35" s="2"/>
    </row>
    <row r="36" spans="2:5" x14ac:dyDescent="0.25">
      <c r="B36" s="41"/>
      <c r="C36" s="41"/>
      <c r="D36" s="41"/>
      <c r="E36" s="41"/>
    </row>
  </sheetData>
  <mergeCells count="12">
    <mergeCell ref="B36:E36"/>
    <mergeCell ref="M1:N1"/>
    <mergeCell ref="M17:N17"/>
    <mergeCell ref="P1:Q1"/>
    <mergeCell ref="S1:T1"/>
    <mergeCell ref="P17:Q17"/>
    <mergeCell ref="B26:E26"/>
    <mergeCell ref="B1:D1"/>
    <mergeCell ref="G1:H1"/>
    <mergeCell ref="G17:H17"/>
    <mergeCell ref="J1:K1"/>
    <mergeCell ref="J17:K17"/>
  </mergeCells>
  <pageMargins left="0.7" right="0.7" top="0.75" bottom="0.75" header="0.3" footer="0.3"/>
  <ignoredErrors>
    <ignoredError sqref="L13"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O23"/>
  <sheetViews>
    <sheetView workbookViewId="0">
      <pane xSplit="1" topLeftCell="B1" activePane="topRight" state="frozen"/>
      <selection pane="topRight" activeCell="G19" sqref="G19"/>
    </sheetView>
  </sheetViews>
  <sheetFormatPr baseColWidth="10" defaultRowHeight="15" x14ac:dyDescent="0.25"/>
  <cols>
    <col min="1" max="1" width="26.42578125" bestFit="1" customWidth="1"/>
    <col min="2" max="2" width="16.28515625" customWidth="1"/>
    <col min="3" max="3" width="17.140625" customWidth="1"/>
    <col min="4" max="4" width="18.7109375" customWidth="1"/>
    <col min="5" max="5" width="17.7109375" customWidth="1"/>
    <col min="6" max="11" width="15.140625" bestFit="1" customWidth="1"/>
    <col min="14" max="14" width="23.7109375" bestFit="1" customWidth="1"/>
    <col min="15" max="15" width="14.7109375" bestFit="1" customWidth="1"/>
  </cols>
  <sheetData>
    <row r="2" spans="1:15" x14ac:dyDescent="0.25">
      <c r="A2" s="25"/>
      <c r="B2" s="31">
        <v>2017</v>
      </c>
      <c r="C2" s="31">
        <v>2018</v>
      </c>
      <c r="D2" s="31">
        <v>2019</v>
      </c>
      <c r="E2" s="27">
        <v>2020</v>
      </c>
      <c r="F2" s="4">
        <v>2021</v>
      </c>
      <c r="G2" s="31">
        <v>2022</v>
      </c>
      <c r="H2" s="27">
        <v>2023</v>
      </c>
      <c r="I2" s="27">
        <v>2024</v>
      </c>
      <c r="J2" s="31">
        <v>2025</v>
      </c>
      <c r="K2" s="27">
        <v>2026</v>
      </c>
      <c r="L2" s="20"/>
      <c r="N2" s="42"/>
      <c r="O2" s="42"/>
    </row>
    <row r="3" spans="1:15" x14ac:dyDescent="0.25">
      <c r="A3" s="7" t="s">
        <v>26</v>
      </c>
      <c r="B3" s="18">
        <f>Datos!G3*Datos!G4</f>
        <v>16000000</v>
      </c>
      <c r="C3" s="18">
        <f>Datos!H3*Datos!H4</f>
        <v>17640000</v>
      </c>
      <c r="D3" s="5">
        <f>Datos!I3*Datos!I4</f>
        <v>19448100</v>
      </c>
      <c r="E3" s="5">
        <f>Datos!J3*Datos!J4</f>
        <v>21441530.25</v>
      </c>
      <c r="F3" s="18">
        <f>Datos!K3*Datos!K4</f>
        <v>23639287.100625001</v>
      </c>
      <c r="G3" s="18">
        <f>Datos!L3*Datos!L4</f>
        <v>26062314.02843906</v>
      </c>
      <c r="H3" s="5">
        <f>Datos!M3*Datos!M4</f>
        <v>28733701.216354061</v>
      </c>
      <c r="I3" s="5">
        <f>Datos!N3*Datos!N4</f>
        <v>31678905.591030348</v>
      </c>
      <c r="J3" s="18">
        <f>Datos!O3*Datos!O4</f>
        <v>34925993.414110959</v>
      </c>
      <c r="K3" s="18">
        <f>Datos!P3*Datos!P4</f>
        <v>38505907.739057332</v>
      </c>
      <c r="L3" s="20"/>
      <c r="N3" s="20"/>
      <c r="O3" s="22"/>
    </row>
    <row r="4" spans="1:15" x14ac:dyDescent="0.25">
      <c r="A4" s="7" t="s">
        <v>21</v>
      </c>
      <c r="B4" s="5">
        <f>B3-Datos!G5*Datos!G3</f>
        <v>2206896.5517241377</v>
      </c>
      <c r="C4" s="18">
        <f>C3-Datos!H3*Datos!H5</f>
        <v>2433103.4482758623</v>
      </c>
      <c r="D4" s="5">
        <f>D3-Datos!I3*Datos!I5</f>
        <v>2682496.5517241359</v>
      </c>
      <c r="E4" s="5">
        <f t="shared" ref="E4:K4" si="0">E3-E3/1.16</f>
        <v>2957452.4482758604</v>
      </c>
      <c r="F4" s="5">
        <f t="shared" si="0"/>
        <v>3260591.3242241368</v>
      </c>
      <c r="G4" s="5">
        <f t="shared" si="0"/>
        <v>3594801.9349571094</v>
      </c>
      <c r="H4" s="5">
        <f t="shared" si="0"/>
        <v>3963269.1332902126</v>
      </c>
      <c r="I4" s="5">
        <f t="shared" si="0"/>
        <v>4369504.2194524594</v>
      </c>
      <c r="J4" s="5">
        <f t="shared" si="0"/>
        <v>4817378.401946336</v>
      </c>
      <c r="K4" s="5">
        <f t="shared" si="0"/>
        <v>5311159.688145835</v>
      </c>
      <c r="L4" s="20"/>
      <c r="N4" s="20"/>
      <c r="O4" s="23"/>
    </row>
    <row r="5" spans="1:15" x14ac:dyDescent="0.25">
      <c r="A5" s="7" t="s">
        <v>78</v>
      </c>
      <c r="B5" s="5">
        <f t="shared" ref="B5:K5" si="1">B3-B4</f>
        <v>13793103.448275862</v>
      </c>
      <c r="C5" s="18">
        <f t="shared" si="1"/>
        <v>15206896.551724138</v>
      </c>
      <c r="D5" s="5">
        <f t="shared" si="1"/>
        <v>16765603.448275864</v>
      </c>
      <c r="E5" s="5">
        <f t="shared" si="1"/>
        <v>18484077.80172414</v>
      </c>
      <c r="F5" s="5">
        <f t="shared" si="1"/>
        <v>20378695.776400864</v>
      </c>
      <c r="G5" s="5">
        <f t="shared" si="1"/>
        <v>22467512.09348195</v>
      </c>
      <c r="H5" s="5">
        <f t="shared" si="1"/>
        <v>24770432.083063848</v>
      </c>
      <c r="I5" s="5">
        <f t="shared" si="1"/>
        <v>27309401.371577889</v>
      </c>
      <c r="J5" s="5">
        <f t="shared" si="1"/>
        <v>30108615.012164623</v>
      </c>
      <c r="K5" s="5">
        <f t="shared" si="1"/>
        <v>33194748.050911497</v>
      </c>
      <c r="L5" s="20"/>
      <c r="N5" s="20"/>
      <c r="O5" s="23"/>
    </row>
    <row r="6" spans="1:15" x14ac:dyDescent="0.25">
      <c r="A6" s="7" t="s">
        <v>10</v>
      </c>
      <c r="B6" s="5">
        <f>Datos!G8*Datos!G3</f>
        <v>2400000</v>
      </c>
      <c r="C6" s="18">
        <f>Datos!H8*Datos!H3</f>
        <v>2721600</v>
      </c>
      <c r="D6" s="5">
        <f>Datos!I8*Datos!I3</f>
        <v>3086294.4</v>
      </c>
      <c r="E6" s="5">
        <f>Datos!J8*Datos!J3</f>
        <v>3499857.8495999998</v>
      </c>
      <c r="F6" s="5">
        <f>Datos!K8*Datos!K3</f>
        <v>3968838.8014464001</v>
      </c>
      <c r="G6" s="5">
        <f>Datos!L8*25000</f>
        <v>4407984.2303999998</v>
      </c>
      <c r="H6" s="5">
        <f>Datos!M8*25000</f>
        <v>4760622.9688320002</v>
      </c>
      <c r="I6" s="5">
        <f>Datos!N8*25000</f>
        <v>5141472.8063385598</v>
      </c>
      <c r="J6" s="5">
        <f>Datos!O8*25000</f>
        <v>5552790.6308456445</v>
      </c>
      <c r="K6" s="5">
        <f>Datos!P8*25000</f>
        <v>5997013.881313296</v>
      </c>
      <c r="L6" s="20"/>
      <c r="N6" s="20"/>
      <c r="O6" s="23"/>
    </row>
    <row r="7" spans="1:15" x14ac:dyDescent="0.25">
      <c r="A7" s="7" t="s">
        <v>11</v>
      </c>
      <c r="B7" s="5">
        <f>Datos!G9*Datos!G3</f>
        <v>1600000</v>
      </c>
      <c r="C7" s="18">
        <f>Datos!H9*Datos!H3</f>
        <v>1814400.0000000002</v>
      </c>
      <c r="D7" s="5">
        <f>Datos!I9*Datos!I3</f>
        <v>2057529.6000000003</v>
      </c>
      <c r="E7" s="5">
        <f>Datos!J9*Datos!J3</f>
        <v>2333238.5664000004</v>
      </c>
      <c r="F7" s="5">
        <f>Datos!K9*Datos!K3</f>
        <v>2645892.5342976004</v>
      </c>
      <c r="G7" s="5">
        <f>Datos!L9*25000</f>
        <v>2938656.1536000003</v>
      </c>
      <c r="H7" s="5">
        <f>Datos!M9*25000</f>
        <v>3173748.6458880003</v>
      </c>
      <c r="I7" s="5">
        <f>Datos!N9*25000</f>
        <v>3427648.5375590404</v>
      </c>
      <c r="J7" s="5">
        <f>Datos!O9*25000</f>
        <v>3701860.4205637635</v>
      </c>
      <c r="K7" s="5">
        <f>Datos!P9*25000</f>
        <v>3998009.2542088646</v>
      </c>
      <c r="L7" s="20"/>
      <c r="N7" s="20"/>
      <c r="O7" s="23"/>
    </row>
    <row r="8" spans="1:15" x14ac:dyDescent="0.25">
      <c r="A8" s="7" t="s">
        <v>12</v>
      </c>
      <c r="B8" s="5">
        <f>Datos!G10*Datos!G3</f>
        <v>1000000</v>
      </c>
      <c r="C8" s="18">
        <f>Datos!H10*Datos!H3</f>
        <v>1134000</v>
      </c>
      <c r="D8" s="5">
        <f>Datos!I10*Datos!I3</f>
        <v>1285956</v>
      </c>
      <c r="E8" s="5">
        <f>Datos!J10*Datos!J3</f>
        <v>1458274.1040000001</v>
      </c>
      <c r="F8" s="5">
        <f>Datos!K10*Datos!K3</f>
        <v>1653682.8339359998</v>
      </c>
      <c r="G8" s="5">
        <f>Datos!L10*25000</f>
        <v>1836660.0959999999</v>
      </c>
      <c r="H8" s="5">
        <f>Datos!M10*25000</f>
        <v>1983592.90368</v>
      </c>
      <c r="I8" s="5">
        <f>Datos!N10*25000</f>
        <v>2142280.3359743999</v>
      </c>
      <c r="J8" s="5">
        <f>Datos!O10*25000</f>
        <v>2313662.7628523516</v>
      </c>
      <c r="K8" s="5">
        <f>Datos!P10*25000</f>
        <v>2498755.7838805397</v>
      </c>
      <c r="L8" s="20"/>
      <c r="N8" s="20"/>
      <c r="O8" s="23"/>
    </row>
    <row r="9" spans="1:15" x14ac:dyDescent="0.25">
      <c r="A9" s="7" t="s">
        <v>13</v>
      </c>
      <c r="B9" s="5">
        <f>Datos!G11*Datos!G3</f>
        <v>1000000</v>
      </c>
      <c r="C9" s="18">
        <f>Datos!H11*Datos!H3</f>
        <v>1134000</v>
      </c>
      <c r="D9" s="5">
        <f>Datos!I11*Datos!I3</f>
        <v>1285956</v>
      </c>
      <c r="E9" s="5">
        <f>Datos!J11*Datos!J3</f>
        <v>1458274.1040000001</v>
      </c>
      <c r="F9" s="18">
        <f>Datos!K11*Datos!K3</f>
        <v>1653682.8339359998</v>
      </c>
      <c r="G9" s="5">
        <f>Datos!L11*25000</f>
        <v>1836660.0959999999</v>
      </c>
      <c r="H9" s="5">
        <f>Datos!M11*25000</f>
        <v>1983592.90368</v>
      </c>
      <c r="I9" s="5">
        <f>Datos!N11*25000</f>
        <v>2142280.3359743999</v>
      </c>
      <c r="J9" s="5">
        <f>Datos!O11*25000</f>
        <v>2313662.7628523516</v>
      </c>
      <c r="K9" s="5">
        <f>Datos!P11*25000</f>
        <v>2498755.7838805397</v>
      </c>
      <c r="L9" s="20"/>
      <c r="N9" s="20"/>
      <c r="O9" s="23"/>
    </row>
    <row r="10" spans="1:15" x14ac:dyDescent="0.25">
      <c r="A10" s="7" t="s">
        <v>14</v>
      </c>
      <c r="B10" s="5">
        <f>Datos!G12</f>
        <v>150000</v>
      </c>
      <c r="C10" s="18">
        <f>Datos!H12</f>
        <v>162000</v>
      </c>
      <c r="D10" s="5">
        <f>Datos!I12</f>
        <v>174960</v>
      </c>
      <c r="E10" s="5">
        <f>Datos!J12</f>
        <v>188956.79999999999</v>
      </c>
      <c r="F10" s="18">
        <f>Datos!K12</f>
        <v>204073.34399999998</v>
      </c>
      <c r="G10" s="5">
        <f>Datos!L12</f>
        <v>220399.21151999998</v>
      </c>
      <c r="H10" s="5">
        <f>Datos!M12</f>
        <v>238031.14844159997</v>
      </c>
      <c r="I10" s="5">
        <f>Datos!N12</f>
        <v>257073.64031692798</v>
      </c>
      <c r="J10" s="5">
        <f>Datos!O12</f>
        <v>277639.5315422822</v>
      </c>
      <c r="K10" s="5">
        <f>Datos!P12</f>
        <v>299850.69406566478</v>
      </c>
      <c r="L10" s="20"/>
      <c r="N10" s="20"/>
      <c r="O10" s="23"/>
    </row>
    <row r="11" spans="1:15" x14ac:dyDescent="0.25">
      <c r="A11" s="33" t="s">
        <v>83</v>
      </c>
      <c r="B11" s="18">
        <f>Datos!G7</f>
        <v>0</v>
      </c>
      <c r="C11" s="18">
        <f>Datos!H7</f>
        <v>0</v>
      </c>
      <c r="D11" s="18">
        <f>Datos!I7</f>
        <v>0</v>
      </c>
      <c r="E11" s="18">
        <f>Datos!J7</f>
        <v>0</v>
      </c>
      <c r="F11" s="18">
        <f>Datos!K7</f>
        <v>0</v>
      </c>
      <c r="G11" s="18">
        <f>Datos!L7</f>
        <v>210252.49999999942</v>
      </c>
      <c r="H11" s="18">
        <f>Datos!M7</f>
        <v>720765.12499999953</v>
      </c>
      <c r="I11" s="18">
        <f>Datos!N7</f>
        <v>1256803.3812499999</v>
      </c>
      <c r="J11" s="18">
        <f>Datos!O7</f>
        <v>1819643.5503125002</v>
      </c>
      <c r="K11" s="18">
        <f>Datos!P7</f>
        <v>2410625.727828125</v>
      </c>
      <c r="L11" s="20"/>
      <c r="N11" s="20"/>
      <c r="O11" s="23"/>
    </row>
    <row r="12" spans="1:15" x14ac:dyDescent="0.25">
      <c r="A12" s="29" t="s">
        <v>79</v>
      </c>
      <c r="B12" s="5">
        <f>B6+B7+B8+B9+B10+B11</f>
        <v>6150000</v>
      </c>
      <c r="C12" s="18">
        <f t="shared" ref="C12:K12" si="2">SUM(C6:C11)</f>
        <v>6966000</v>
      </c>
      <c r="D12" s="5">
        <f t="shared" si="2"/>
        <v>7890696</v>
      </c>
      <c r="E12" s="5">
        <f t="shared" si="2"/>
        <v>8938601.4240000006</v>
      </c>
      <c r="F12" s="5">
        <f t="shared" si="2"/>
        <v>10126170.347616002</v>
      </c>
      <c r="G12" s="5">
        <f t="shared" si="2"/>
        <v>11450612.287520001</v>
      </c>
      <c r="H12" s="5">
        <f t="shared" si="2"/>
        <v>12860353.695521601</v>
      </c>
      <c r="I12" s="5">
        <f t="shared" si="2"/>
        <v>14367559.037413325</v>
      </c>
      <c r="J12" s="5">
        <f t="shared" si="2"/>
        <v>15979259.658968896</v>
      </c>
      <c r="K12" s="5">
        <f t="shared" si="2"/>
        <v>17703011.12517703</v>
      </c>
      <c r="L12" s="20"/>
      <c r="N12" s="20"/>
      <c r="O12" s="20"/>
    </row>
    <row r="13" spans="1:15" x14ac:dyDescent="0.25">
      <c r="A13" s="29" t="s">
        <v>27</v>
      </c>
      <c r="B13" s="18">
        <f>Datos!D8+Datos!D10</f>
        <v>196666.66666666666</v>
      </c>
      <c r="C13" s="18">
        <f t="shared" ref="C13:K13" si="3">B13</f>
        <v>196666.66666666666</v>
      </c>
      <c r="D13" s="5">
        <f t="shared" si="3"/>
        <v>196666.66666666666</v>
      </c>
      <c r="E13" s="5">
        <f t="shared" si="3"/>
        <v>196666.66666666666</v>
      </c>
      <c r="F13" s="5">
        <f t="shared" si="3"/>
        <v>196666.66666666666</v>
      </c>
      <c r="G13" s="5">
        <f>F13</f>
        <v>196666.66666666666</v>
      </c>
      <c r="H13" s="5">
        <f>G13</f>
        <v>196666.66666666666</v>
      </c>
      <c r="I13" s="5">
        <f t="shared" si="3"/>
        <v>196666.66666666666</v>
      </c>
      <c r="J13" s="5">
        <f t="shared" si="3"/>
        <v>196666.66666666666</v>
      </c>
      <c r="K13" s="5">
        <f t="shared" si="3"/>
        <v>196666.66666666666</v>
      </c>
      <c r="L13" s="20"/>
      <c r="N13" s="20"/>
      <c r="O13" s="20"/>
    </row>
    <row r="14" spans="1:15" x14ac:dyDescent="0.25">
      <c r="A14" s="29" t="s">
        <v>28</v>
      </c>
      <c r="B14" s="18">
        <f t="shared" ref="B14:K14" si="4">B5-B12-B13</f>
        <v>7446436.7816091953</v>
      </c>
      <c r="C14" s="18">
        <f t="shared" si="4"/>
        <v>8044229.8850574708</v>
      </c>
      <c r="D14" s="5">
        <f t="shared" si="4"/>
        <v>8678240.7816091981</v>
      </c>
      <c r="E14" s="5">
        <f t="shared" si="4"/>
        <v>9348809.711057473</v>
      </c>
      <c r="F14" s="5">
        <f t="shared" si="4"/>
        <v>10055858.762118196</v>
      </c>
      <c r="G14" s="5">
        <f t="shared" si="4"/>
        <v>10820233.139295284</v>
      </c>
      <c r="H14" s="5">
        <f t="shared" si="4"/>
        <v>11713411.720875582</v>
      </c>
      <c r="I14" s="5">
        <f t="shared" si="4"/>
        <v>12745175.667497898</v>
      </c>
      <c r="J14" s="5">
        <f t="shared" si="4"/>
        <v>13932688.686529061</v>
      </c>
      <c r="K14" s="5">
        <f t="shared" si="4"/>
        <v>15295070.259067802</v>
      </c>
      <c r="L14" s="20"/>
      <c r="N14" s="42"/>
      <c r="O14" s="42"/>
    </row>
    <row r="15" spans="1:15" x14ac:dyDescent="0.25">
      <c r="A15" s="29" t="s">
        <v>29</v>
      </c>
      <c r="B15" s="18">
        <f>Datos!G13*Datos!G3</f>
        <v>2000000</v>
      </c>
      <c r="C15" s="18">
        <f>Datos!H13*Datos!H3</f>
        <v>2205000</v>
      </c>
      <c r="D15" s="32">
        <f>Datos!I13*Datos!I3</f>
        <v>2431012.5</v>
      </c>
      <c r="E15" s="18">
        <f>Datos!J13*Datos!J3</f>
        <v>2680191.28125</v>
      </c>
      <c r="F15" s="18">
        <f>Datos!K13*Datos!K3</f>
        <v>2954910.8875781251</v>
      </c>
      <c r="G15" s="32">
        <f>Datos!L13*Datos!M3</f>
        <v>3420678.7162326267</v>
      </c>
      <c r="H15" s="18">
        <f>Datos!M13*25000</f>
        <v>3350239.1015624995</v>
      </c>
      <c r="I15" s="18">
        <f>Datos!N13*Datos!M3</f>
        <v>3771298.2846464701</v>
      </c>
      <c r="J15" s="32">
        <f>Datos!O13*Datos!M3</f>
        <v>3959863.1988787935</v>
      </c>
      <c r="K15" s="18">
        <f>Datos!P13*Datos!M3</f>
        <v>4157856.3588227332</v>
      </c>
      <c r="L15" s="20"/>
      <c r="N15" s="20"/>
      <c r="O15" s="22"/>
    </row>
    <row r="16" spans="1:15" x14ac:dyDescent="0.25">
      <c r="A16" s="30" t="s">
        <v>16</v>
      </c>
      <c r="B16" s="28">
        <f>Datos!G14*Datos!G3</f>
        <v>4000000</v>
      </c>
      <c r="C16" s="18">
        <f>Datos!H14*Datos!H3</f>
        <v>4410000</v>
      </c>
      <c r="D16" s="5">
        <f>Datos!I14*Datos!I3</f>
        <v>4862025</v>
      </c>
      <c r="E16" s="28">
        <f>Datos!J14*Datos!J3</f>
        <v>5360382.5625</v>
      </c>
      <c r="F16" s="18">
        <f>Datos!K14*Datos!K3</f>
        <v>5909821.7751562502</v>
      </c>
      <c r="G16" s="5">
        <f>Datos!L14*Datos!M3</f>
        <v>6841357.4324652534</v>
      </c>
      <c r="H16" s="28">
        <f>Datos!M14*25000</f>
        <v>6700478.2031249991</v>
      </c>
      <c r="I16" s="18">
        <f>Datos!N14*Datos!M3</f>
        <v>7542596.5692929402</v>
      </c>
      <c r="J16" s="5">
        <f>Datos!O14*Datos!M3</f>
        <v>7919726.397757587</v>
      </c>
      <c r="K16" s="28">
        <f>Datos!P14*Datos!M3</f>
        <v>8315712.7176454663</v>
      </c>
      <c r="L16" s="20"/>
      <c r="N16" s="20"/>
      <c r="O16" s="23"/>
    </row>
    <row r="17" spans="1:15" x14ac:dyDescent="0.25">
      <c r="A17" s="30" t="s">
        <v>80</v>
      </c>
      <c r="B17" s="18">
        <f t="shared" ref="B17:K17" si="5">B14-B15-B16</f>
        <v>1446436.7816091953</v>
      </c>
      <c r="C17" s="18">
        <f t="shared" si="5"/>
        <v>1429229.8850574708</v>
      </c>
      <c r="D17" s="5">
        <f t="shared" si="5"/>
        <v>1385203.2816091981</v>
      </c>
      <c r="E17" s="5">
        <f t="shared" si="5"/>
        <v>1308235.867307473</v>
      </c>
      <c r="F17" s="5">
        <f t="shared" si="5"/>
        <v>1191126.0993838208</v>
      </c>
      <c r="G17" s="5">
        <f t="shared" si="5"/>
        <v>558196.99059740361</v>
      </c>
      <c r="H17" s="5">
        <f t="shared" si="5"/>
        <v>1662694.4161880827</v>
      </c>
      <c r="I17" s="5">
        <f t="shared" si="5"/>
        <v>1431280.8135584872</v>
      </c>
      <c r="J17" s="5">
        <f>J14-J15-J16</f>
        <v>2053099.0898926808</v>
      </c>
      <c r="K17" s="5">
        <f t="shared" si="5"/>
        <v>2821501.1825996023</v>
      </c>
      <c r="L17" s="20"/>
      <c r="N17" s="20"/>
      <c r="O17" s="23"/>
    </row>
    <row r="18" spans="1:15" x14ac:dyDescent="0.25">
      <c r="A18" s="30" t="s">
        <v>30</v>
      </c>
      <c r="B18" s="5">
        <f>B17*Datos!E34</f>
        <v>506252.87356321834</v>
      </c>
      <c r="C18" s="18">
        <f>C17*Datos!E34</f>
        <v>500230.45977011474</v>
      </c>
      <c r="D18" s="5">
        <f>D17*Datos!E34</f>
        <v>484821.14856321929</v>
      </c>
      <c r="E18" s="5">
        <f>E17*Datos!E34</f>
        <v>457882.55355761549</v>
      </c>
      <c r="F18" s="5">
        <f>F17*Datos!E34</f>
        <v>416894.13478433725</v>
      </c>
      <c r="G18" s="5">
        <f>G17*Datos!E33</f>
        <v>167459.09717922108</v>
      </c>
      <c r="H18" s="5">
        <f>H17*Datos!E33</f>
        <v>498808.32485642476</v>
      </c>
      <c r="I18" s="5">
        <f>I17*Datos!E34</f>
        <v>500948.2847454705</v>
      </c>
      <c r="J18" s="5">
        <f>J17*Datos!E34</f>
        <v>718584.6814624382</v>
      </c>
      <c r="K18" s="5">
        <f>K17*Datos!E34</f>
        <v>987525.41390986077</v>
      </c>
      <c r="L18" s="20"/>
      <c r="N18" s="20"/>
      <c r="O18" s="23"/>
    </row>
    <row r="19" spans="1:15" x14ac:dyDescent="0.25">
      <c r="A19" s="30" t="s">
        <v>31</v>
      </c>
      <c r="B19" s="5">
        <f t="shared" ref="B19:K19" si="6">B17-B18</f>
        <v>940183.90804597689</v>
      </c>
      <c r="C19" s="18">
        <f t="shared" si="6"/>
        <v>928999.42528735602</v>
      </c>
      <c r="D19" s="5">
        <f t="shared" si="6"/>
        <v>900382.13304597884</v>
      </c>
      <c r="E19" s="5">
        <f t="shared" si="6"/>
        <v>850353.31374985748</v>
      </c>
      <c r="F19" s="5">
        <f t="shared" si="6"/>
        <v>774231.96459948353</v>
      </c>
      <c r="G19" s="5">
        <f t="shared" si="6"/>
        <v>390737.8934181825</v>
      </c>
      <c r="H19" s="5">
        <f t="shared" si="6"/>
        <v>1163886.091331658</v>
      </c>
      <c r="I19" s="5">
        <f t="shared" si="6"/>
        <v>930332.52881301672</v>
      </c>
      <c r="J19" s="5">
        <f t="shared" si="6"/>
        <v>1334514.4084302424</v>
      </c>
      <c r="K19" s="5">
        <f t="shared" si="6"/>
        <v>1833975.7686897414</v>
      </c>
      <c r="L19" s="20"/>
      <c r="N19" s="20"/>
      <c r="O19" s="23"/>
    </row>
    <row r="20" spans="1:15" x14ac:dyDescent="0.25">
      <c r="A20" s="20"/>
      <c r="B20" s="23"/>
      <c r="C20" s="20"/>
      <c r="D20" s="20"/>
      <c r="E20" s="23"/>
      <c r="F20" s="20"/>
      <c r="G20" s="20"/>
      <c r="H20" s="23"/>
      <c r="I20" s="20"/>
      <c r="J20" s="20"/>
      <c r="K20" s="23"/>
      <c r="L20" s="20"/>
      <c r="N20" s="20"/>
      <c r="O20" s="23"/>
    </row>
    <row r="21" spans="1:15" x14ac:dyDescent="0.25">
      <c r="A21" s="20"/>
      <c r="B21" s="23"/>
      <c r="C21" s="20"/>
      <c r="D21" s="20"/>
      <c r="E21" s="23"/>
      <c r="F21" s="20"/>
      <c r="G21" s="20"/>
      <c r="H21" s="23"/>
      <c r="I21" s="20"/>
      <c r="J21" s="20"/>
      <c r="K21" s="23"/>
      <c r="L21" s="20"/>
      <c r="N21" s="20"/>
      <c r="O21" s="23"/>
    </row>
    <row r="22" spans="1:15" x14ac:dyDescent="0.25">
      <c r="A22" s="20"/>
      <c r="B22" s="23"/>
      <c r="C22" s="20"/>
      <c r="D22" s="20"/>
      <c r="E22" s="23"/>
      <c r="F22" s="20"/>
      <c r="G22" s="20"/>
      <c r="H22" s="23"/>
      <c r="I22" s="20"/>
      <c r="J22" s="20"/>
      <c r="K22" s="23"/>
      <c r="L22" s="20"/>
      <c r="N22" s="20"/>
      <c r="O22" s="23"/>
    </row>
    <row r="23" spans="1:15" x14ac:dyDescent="0.25">
      <c r="A23" s="20"/>
      <c r="B23" s="23"/>
      <c r="C23" s="20"/>
      <c r="D23" s="20"/>
      <c r="E23" s="23"/>
      <c r="F23" s="20"/>
      <c r="G23" s="20"/>
      <c r="H23" s="23"/>
      <c r="I23" s="20"/>
      <c r="J23" s="20"/>
      <c r="K23" s="23"/>
      <c r="L23" s="20"/>
      <c r="N23" s="20"/>
      <c r="O23" s="23"/>
    </row>
  </sheetData>
  <mergeCells count="2">
    <mergeCell ref="N2:O2"/>
    <mergeCell ref="N14:O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6"/>
  <sheetViews>
    <sheetView workbookViewId="0">
      <selection activeCell="B11" sqref="B11"/>
    </sheetView>
  </sheetViews>
  <sheetFormatPr baseColWidth="10" defaultRowHeight="15" x14ac:dyDescent="0.25"/>
  <cols>
    <col min="2" max="2" width="23.42578125" bestFit="1" customWidth="1"/>
    <col min="4" max="4" width="13.5703125" bestFit="1" customWidth="1"/>
    <col min="6" max="6" width="17.28515625" bestFit="1" customWidth="1"/>
    <col min="7" max="7" width="20.7109375" bestFit="1" customWidth="1"/>
    <col min="8" max="10" width="14.140625" bestFit="1" customWidth="1"/>
    <col min="11" max="16" width="14.7109375" bestFit="1" customWidth="1"/>
  </cols>
  <sheetData>
    <row r="2" spans="1:16" x14ac:dyDescent="0.25">
      <c r="B2" t="s">
        <v>34</v>
      </c>
      <c r="C2" s="1">
        <v>0.45</v>
      </c>
      <c r="D2" t="s">
        <v>51</v>
      </c>
      <c r="E2">
        <v>10</v>
      </c>
      <c r="F2" t="s">
        <v>5</v>
      </c>
    </row>
    <row r="3" spans="1:16" x14ac:dyDescent="0.25">
      <c r="A3" s="3" t="s">
        <v>35</v>
      </c>
      <c r="B3" s="3" t="s">
        <v>36</v>
      </c>
    </row>
    <row r="4" spans="1:16" x14ac:dyDescent="0.25">
      <c r="A4" s="17">
        <v>2016</v>
      </c>
      <c r="B4" s="2">
        <v>-1800000</v>
      </c>
      <c r="F4" s="41" t="s">
        <v>43</v>
      </c>
      <c r="G4" s="41"/>
      <c r="H4" s="41"/>
    </row>
    <row r="5" spans="1:16" x14ac:dyDescent="0.25">
      <c r="A5" s="3">
        <v>2017</v>
      </c>
      <c r="B5" s="13">
        <f>'Estado de Resultados'!B19+'Estado de Resultados'!B13</f>
        <v>1136850.5747126436</v>
      </c>
      <c r="F5" s="3" t="s">
        <v>35</v>
      </c>
      <c r="G5" s="3">
        <v>2017</v>
      </c>
      <c r="H5" s="3">
        <v>2018</v>
      </c>
      <c r="I5" s="3">
        <v>2019</v>
      </c>
      <c r="J5" s="3">
        <v>2020</v>
      </c>
      <c r="K5" s="3">
        <v>2021</v>
      </c>
      <c r="L5" s="3">
        <v>2022</v>
      </c>
      <c r="M5" s="3">
        <v>2023</v>
      </c>
      <c r="N5" s="3">
        <v>2024</v>
      </c>
      <c r="O5" s="3">
        <v>2025</v>
      </c>
      <c r="P5" s="3">
        <v>2026</v>
      </c>
    </row>
    <row r="6" spans="1:16" x14ac:dyDescent="0.25">
      <c r="A6" s="3">
        <v>2018</v>
      </c>
      <c r="B6" s="14">
        <f>'Estado de Resultados'!C19+'Estado de Resultados'!C13</f>
        <v>1125666.0919540226</v>
      </c>
      <c r="F6" s="3" t="s">
        <v>36</v>
      </c>
      <c r="G6" s="13">
        <f>B5</f>
        <v>1136850.5747126436</v>
      </c>
      <c r="H6" s="13">
        <f>B6</f>
        <v>1125666.0919540226</v>
      </c>
      <c r="I6" s="13">
        <f>B7</f>
        <v>1097048.7997126456</v>
      </c>
      <c r="J6" s="13">
        <f>B8</f>
        <v>1047019.9804165241</v>
      </c>
      <c r="K6" s="13">
        <f>B9</f>
        <v>970898.63126615016</v>
      </c>
      <c r="L6" s="13">
        <f>B10</f>
        <v>-312595.43991515087</v>
      </c>
      <c r="M6" s="13">
        <f>B11</f>
        <v>1360552.7579983247</v>
      </c>
      <c r="N6" s="13">
        <f>B12</f>
        <v>1126999.1954796833</v>
      </c>
      <c r="O6" s="13">
        <f>B13</f>
        <v>1531181.0750969092</v>
      </c>
      <c r="P6" s="13">
        <f>B14</f>
        <v>2030642.4353564081</v>
      </c>
    </row>
    <row r="7" spans="1:16" x14ac:dyDescent="0.25">
      <c r="A7" s="3">
        <v>2019</v>
      </c>
      <c r="B7" s="14">
        <f>'Estado de Resultados'!D19+'Estado de Resultados'!D13</f>
        <v>1097048.7997126456</v>
      </c>
      <c r="F7" s="3" t="s">
        <v>37</v>
      </c>
      <c r="G7" s="3">
        <v>0</v>
      </c>
      <c r="H7" s="13">
        <f t="shared" ref="H7:P7" si="0">G7+G6</f>
        <v>1136850.5747126436</v>
      </c>
      <c r="I7" s="13">
        <f t="shared" si="0"/>
        <v>2262516.666666666</v>
      </c>
      <c r="J7" s="13">
        <f t="shared" si="0"/>
        <v>3359565.4663793119</v>
      </c>
      <c r="K7" s="13">
        <f t="shared" si="0"/>
        <v>4406585.4467958361</v>
      </c>
      <c r="L7" s="13">
        <f t="shared" si="0"/>
        <v>5377484.0780619867</v>
      </c>
      <c r="M7" s="13">
        <f t="shared" si="0"/>
        <v>5064888.6381468363</v>
      </c>
      <c r="N7" s="13">
        <f t="shared" si="0"/>
        <v>6425441.3961451612</v>
      </c>
      <c r="O7" s="13">
        <f t="shared" si="0"/>
        <v>7552440.5916248448</v>
      </c>
      <c r="P7" s="13">
        <f t="shared" si="0"/>
        <v>9083621.6667217538</v>
      </c>
    </row>
    <row r="8" spans="1:16" x14ac:dyDescent="0.25">
      <c r="A8" s="3">
        <v>2020</v>
      </c>
      <c r="B8" s="14">
        <f>'Estado de Resultados'!E19+'Estado de Resultados'!E13</f>
        <v>1047019.9804165241</v>
      </c>
    </row>
    <row r="9" spans="1:16" x14ac:dyDescent="0.25">
      <c r="A9" s="3">
        <v>2021</v>
      </c>
      <c r="B9" s="14">
        <f>'Estado de Resultados'!F19+'Estado de Resultados'!F13</f>
        <v>970898.63126615016</v>
      </c>
      <c r="G9" t="s">
        <v>41</v>
      </c>
      <c r="H9" t="s">
        <v>42</v>
      </c>
      <c r="I9" t="s">
        <v>88</v>
      </c>
    </row>
    <row r="10" spans="1:16" x14ac:dyDescent="0.25">
      <c r="A10" s="3">
        <v>2022</v>
      </c>
      <c r="B10" s="14">
        <f>'Estado de Resultados'!G19+'Estado de Resultados'!G13-900000</f>
        <v>-312595.43991515087</v>
      </c>
      <c r="F10" s="3" t="s">
        <v>47</v>
      </c>
      <c r="G10" s="15">
        <f>(G7-B4)/H6</f>
        <v>1.599053229786298</v>
      </c>
      <c r="H10" s="15">
        <f>(G10-1)*12</f>
        <v>7.1886387574355766</v>
      </c>
      <c r="I10">
        <f>(H10-7)*30</f>
        <v>5.659162723067297</v>
      </c>
    </row>
    <row r="11" spans="1:16" x14ac:dyDescent="0.25">
      <c r="A11" s="3">
        <v>2023</v>
      </c>
      <c r="B11" s="14">
        <f>'Estado de Resultados'!H19+'Estado de Resultados'!H13</f>
        <v>1360552.7579983247</v>
      </c>
    </row>
    <row r="12" spans="1:16" x14ac:dyDescent="0.25">
      <c r="A12" s="3">
        <v>2024</v>
      </c>
      <c r="B12" s="14">
        <f>'Estado de Resultados'!I19+'Estado de Resultados'!I13</f>
        <v>1126999.1954796833</v>
      </c>
      <c r="F12" s="41" t="s">
        <v>44</v>
      </c>
      <c r="G12" s="41"/>
      <c r="H12" s="41"/>
      <c r="I12" s="41"/>
    </row>
    <row r="13" spans="1:16" x14ac:dyDescent="0.25">
      <c r="A13" s="3">
        <v>2025</v>
      </c>
      <c r="B13" s="14">
        <f>'Estado de Resultados'!J19+'Estado de Resultados'!J13</f>
        <v>1531181.0750969092</v>
      </c>
      <c r="F13" t="s">
        <v>35</v>
      </c>
      <c r="G13">
        <v>2017</v>
      </c>
      <c r="H13">
        <v>2018</v>
      </c>
      <c r="I13">
        <v>2019</v>
      </c>
      <c r="J13">
        <v>2020</v>
      </c>
      <c r="K13">
        <v>2021</v>
      </c>
      <c r="L13">
        <v>2022</v>
      </c>
      <c r="M13">
        <v>2023</v>
      </c>
      <c r="N13">
        <v>2024</v>
      </c>
      <c r="O13">
        <v>2025</v>
      </c>
      <c r="P13">
        <v>2026</v>
      </c>
    </row>
    <row r="14" spans="1:16" x14ac:dyDescent="0.25">
      <c r="A14" s="3">
        <v>2026</v>
      </c>
      <c r="B14" s="14">
        <f>'Estado de Resultados'!K19+'Estado de Resultados'!K13</f>
        <v>2030642.4353564081</v>
      </c>
      <c r="F14" t="s">
        <v>36</v>
      </c>
      <c r="G14" s="11">
        <f t="shared" ref="G14:P14" si="1">G6</f>
        <v>1136850.5747126436</v>
      </c>
      <c r="H14" s="11">
        <f t="shared" si="1"/>
        <v>1125666.0919540226</v>
      </c>
      <c r="I14" s="11">
        <f t="shared" si="1"/>
        <v>1097048.7997126456</v>
      </c>
      <c r="J14" s="11">
        <f t="shared" si="1"/>
        <v>1047019.9804165241</v>
      </c>
      <c r="K14" s="11">
        <f t="shared" si="1"/>
        <v>970898.63126615016</v>
      </c>
      <c r="L14" s="11">
        <f t="shared" si="1"/>
        <v>-312595.43991515087</v>
      </c>
      <c r="M14" s="11">
        <f t="shared" si="1"/>
        <v>1360552.7579983247</v>
      </c>
      <c r="N14" s="11">
        <f t="shared" si="1"/>
        <v>1126999.1954796833</v>
      </c>
      <c r="O14" s="11">
        <f t="shared" si="1"/>
        <v>1531181.0750969092</v>
      </c>
      <c r="P14" s="11">
        <f t="shared" si="1"/>
        <v>2030642.4353564081</v>
      </c>
    </row>
    <row r="15" spans="1:16" ht="24" customHeight="1" x14ac:dyDescent="0.25">
      <c r="F15" t="s">
        <v>45</v>
      </c>
      <c r="G15" s="2">
        <f>G14/(1+C2)</f>
        <v>784034.8791121681</v>
      </c>
      <c r="H15" s="2">
        <f>H14/(1+C2)^2</f>
        <v>535394.09843235323</v>
      </c>
      <c r="I15" s="2">
        <f>I14/(1+C2)^3</f>
        <v>359850.35867404012</v>
      </c>
      <c r="J15" s="2">
        <f>J14/(1+C2)^4</f>
        <v>236855.22001388963</v>
      </c>
      <c r="K15" s="2">
        <f>K14/(1+C2)^5</f>
        <v>151472.52940591876</v>
      </c>
      <c r="L15" s="2">
        <f>L14/(1+C2)^6</f>
        <v>-33633.69835758282</v>
      </c>
      <c r="M15" s="2">
        <f>M14/(1+C2)^7</f>
        <v>100957.68219098687</v>
      </c>
      <c r="N15" s="2">
        <f>N14/(1+C2)^8</f>
        <v>57673.935598073302</v>
      </c>
      <c r="O15" s="2">
        <f>O14/(1+C2)^9</f>
        <v>54039.899491854172</v>
      </c>
      <c r="P15" s="2">
        <f>O15/(1+C2)^10</f>
        <v>1315.3293478121009</v>
      </c>
    </row>
    <row r="16" spans="1:16" x14ac:dyDescent="0.25">
      <c r="F16" t="s">
        <v>46</v>
      </c>
      <c r="G16" s="11">
        <v>0</v>
      </c>
      <c r="H16" s="11">
        <f t="shared" ref="H16:P16" si="2">G16+G15</f>
        <v>784034.8791121681</v>
      </c>
      <c r="I16" s="11">
        <f t="shared" si="2"/>
        <v>1319428.9775445214</v>
      </c>
      <c r="J16" s="11">
        <f t="shared" si="2"/>
        <v>1679279.3362185615</v>
      </c>
      <c r="K16" s="11">
        <f t="shared" si="2"/>
        <v>1916134.5562324512</v>
      </c>
      <c r="L16" s="11">
        <f t="shared" si="2"/>
        <v>2067607.0856383699</v>
      </c>
      <c r="M16" s="11">
        <f t="shared" si="2"/>
        <v>2033973.3872807871</v>
      </c>
      <c r="N16" s="11">
        <f t="shared" si="2"/>
        <v>2134931.0694717742</v>
      </c>
      <c r="O16" s="11">
        <f t="shared" si="2"/>
        <v>2192605.0050698477</v>
      </c>
      <c r="P16" s="11">
        <f t="shared" si="2"/>
        <v>2246644.9045617017</v>
      </c>
    </row>
    <row r="18" spans="6:9" x14ac:dyDescent="0.25">
      <c r="G18" t="s">
        <v>5</v>
      </c>
      <c r="H18" t="s">
        <v>49</v>
      </c>
      <c r="I18" t="s">
        <v>48</v>
      </c>
    </row>
    <row r="19" spans="6:9" x14ac:dyDescent="0.25">
      <c r="F19" t="s">
        <v>47</v>
      </c>
      <c r="G19" s="15">
        <f>G16-B4/H14</f>
        <v>1.599053229786298</v>
      </c>
      <c r="H19">
        <f>(G19-1)*12</f>
        <v>7.1886387574355766</v>
      </c>
      <c r="I19">
        <f>(H19-7)*30</f>
        <v>5.659162723067297</v>
      </c>
    </row>
    <row r="21" spans="6:9" x14ac:dyDescent="0.25">
      <c r="F21" s="41" t="s">
        <v>50</v>
      </c>
      <c r="G21" s="41"/>
      <c r="H21" s="41"/>
      <c r="I21" s="41"/>
    </row>
    <row r="23" spans="6:9" x14ac:dyDescent="0.25">
      <c r="F23" s="43" t="s">
        <v>52</v>
      </c>
      <c r="G23" s="16">
        <f>P7/E2</f>
        <v>908362.1666721754</v>
      </c>
      <c r="H23" s="44" t="s">
        <v>53</v>
      </c>
      <c r="I23" s="45">
        <f>G23/G24</f>
        <v>0.5046456481512086</v>
      </c>
    </row>
    <row r="24" spans="6:9" x14ac:dyDescent="0.25">
      <c r="F24" s="43"/>
      <c r="G24" s="11">
        <f>-1*B4</f>
        <v>1800000</v>
      </c>
      <c r="H24" s="44"/>
      <c r="I24" s="45"/>
    </row>
    <row r="26" spans="6:9" x14ac:dyDescent="0.25">
      <c r="F26" s="41" t="s">
        <v>54</v>
      </c>
      <c r="G26" s="41"/>
      <c r="H26" s="41"/>
      <c r="I26" s="41"/>
    </row>
    <row r="28" spans="6:9" x14ac:dyDescent="0.25">
      <c r="F28" s="43" t="s">
        <v>55</v>
      </c>
      <c r="G28" s="16">
        <f>P7</f>
        <v>9083621.6667217538</v>
      </c>
      <c r="H28" s="44" t="s">
        <v>53</v>
      </c>
      <c r="I28" s="44">
        <f>G28/G29</f>
        <v>5.0464564815120854</v>
      </c>
    </row>
    <row r="29" spans="6:9" x14ac:dyDescent="0.25">
      <c r="F29" s="43"/>
      <c r="G29" s="11">
        <f>B4*-1</f>
        <v>1800000</v>
      </c>
      <c r="H29" s="44"/>
      <c r="I29" s="44"/>
    </row>
    <row r="31" spans="6:9" x14ac:dyDescent="0.25">
      <c r="F31" s="41" t="s">
        <v>56</v>
      </c>
      <c r="G31" s="41"/>
      <c r="H31" s="41"/>
      <c r="I31" s="41"/>
    </row>
    <row r="33" spans="6:9" x14ac:dyDescent="0.25">
      <c r="F33" t="s">
        <v>57</v>
      </c>
      <c r="G33" s="11">
        <f>(G15+H15+I15+J15+K15+L15+M15+N15+O15+P15)+B4</f>
        <v>447960.2339095138</v>
      </c>
    </row>
    <row r="36" spans="6:9" x14ac:dyDescent="0.25">
      <c r="F36" s="41">
        <v>6</v>
      </c>
      <c r="G36" s="41"/>
      <c r="H36" s="41"/>
      <c r="I36" s="41"/>
    </row>
  </sheetData>
  <mergeCells count="12">
    <mergeCell ref="F36:I36"/>
    <mergeCell ref="F4:H4"/>
    <mergeCell ref="F12:I12"/>
    <mergeCell ref="F21:I21"/>
    <mergeCell ref="F23:F24"/>
    <mergeCell ref="H23:H24"/>
    <mergeCell ref="I23:I24"/>
    <mergeCell ref="F26:I26"/>
    <mergeCell ref="F28:F29"/>
    <mergeCell ref="I28:I29"/>
    <mergeCell ref="H28:H29"/>
    <mergeCell ref="F31:I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D29"/>
  <sheetViews>
    <sheetView topLeftCell="E8" workbookViewId="0">
      <selection activeCell="J28" sqref="J28"/>
    </sheetView>
  </sheetViews>
  <sheetFormatPr baseColWidth="10" defaultRowHeight="15" x14ac:dyDescent="0.25"/>
  <cols>
    <col min="2" max="2" width="19.140625" bestFit="1" customWidth="1"/>
    <col min="3" max="3" width="14.140625" bestFit="1" customWidth="1"/>
    <col min="4" max="4" width="23.42578125" bestFit="1" customWidth="1"/>
    <col min="5" max="5" width="14.140625" bestFit="1" customWidth="1"/>
    <col min="7" max="7" width="19.140625" bestFit="1" customWidth="1"/>
    <col min="8" max="8" width="14.140625" bestFit="1" customWidth="1"/>
    <col min="9" max="9" width="23.42578125" bestFit="1" customWidth="1"/>
    <col min="10" max="10" width="14.140625" bestFit="1" customWidth="1"/>
    <col min="12" max="12" width="17.85546875" bestFit="1" customWidth="1"/>
    <col min="13" max="13" width="15.140625" bestFit="1" customWidth="1"/>
    <col min="14" max="14" width="21.7109375" bestFit="1" customWidth="1"/>
    <col min="15" max="15" width="19" bestFit="1" customWidth="1"/>
    <col min="17" max="17" width="19.140625" bestFit="1" customWidth="1"/>
    <col min="18" max="18" width="15.140625" bestFit="1" customWidth="1"/>
    <col min="19" max="19" width="23.42578125" bestFit="1" customWidth="1"/>
    <col min="20" max="20" width="15.140625" bestFit="1" customWidth="1"/>
    <col min="22" max="22" width="19.140625" bestFit="1" customWidth="1"/>
    <col min="23" max="23" width="15.140625" bestFit="1" customWidth="1"/>
    <col min="24" max="24" width="23.42578125" bestFit="1" customWidth="1"/>
    <col min="25" max="25" width="15.140625" bestFit="1" customWidth="1"/>
    <col min="27" max="27" width="19.140625" bestFit="1" customWidth="1"/>
    <col min="28" max="28" width="14.140625" bestFit="1" customWidth="1"/>
    <col min="29" max="29" width="23.42578125" bestFit="1" customWidth="1"/>
    <col min="30" max="30" width="14.140625" bestFit="1" customWidth="1"/>
  </cols>
  <sheetData>
    <row r="2" spans="2:30" x14ac:dyDescent="0.25">
      <c r="B2" s="46" t="s">
        <v>73</v>
      </c>
      <c r="C2" s="46"/>
      <c r="D2" s="46"/>
      <c r="E2" s="46"/>
      <c r="G2" s="46" t="s">
        <v>74</v>
      </c>
      <c r="H2" s="46"/>
      <c r="I2" s="46"/>
      <c r="J2" s="46"/>
      <c r="L2" s="46" t="s">
        <v>81</v>
      </c>
      <c r="M2" s="46"/>
      <c r="N2" s="46"/>
      <c r="O2" s="46"/>
      <c r="Q2" s="46" t="s">
        <v>82</v>
      </c>
      <c r="R2" s="46"/>
      <c r="S2" s="46"/>
      <c r="T2" s="46"/>
      <c r="V2" s="46" t="s">
        <v>84</v>
      </c>
      <c r="W2" s="46"/>
      <c r="X2" s="46"/>
      <c r="Y2" s="46"/>
      <c r="AA2" s="46" t="s">
        <v>85</v>
      </c>
      <c r="AB2" s="46"/>
      <c r="AC2" s="46"/>
      <c r="AD2" s="46"/>
    </row>
    <row r="3" spans="2:30" x14ac:dyDescent="0.25">
      <c r="B3" s="4" t="s">
        <v>59</v>
      </c>
      <c r="C3" s="4"/>
      <c r="D3" s="4" t="s">
        <v>69</v>
      </c>
      <c r="E3" s="4"/>
      <c r="G3" s="4" t="s">
        <v>59</v>
      </c>
      <c r="H3" s="4"/>
      <c r="I3" s="4" t="s">
        <v>69</v>
      </c>
      <c r="J3" s="4"/>
      <c r="L3" s="4" t="s">
        <v>59</v>
      </c>
      <c r="M3" s="4"/>
      <c r="N3" s="4" t="s">
        <v>69</v>
      </c>
      <c r="O3" s="4"/>
      <c r="Q3" s="4" t="s">
        <v>59</v>
      </c>
      <c r="R3" s="4"/>
      <c r="S3" s="4" t="s">
        <v>69</v>
      </c>
      <c r="T3" s="4"/>
      <c r="V3" s="4" t="s">
        <v>59</v>
      </c>
      <c r="W3" s="4"/>
      <c r="X3" s="4" t="s">
        <v>69</v>
      </c>
      <c r="Y3" s="4"/>
      <c r="AA3" s="4" t="s">
        <v>59</v>
      </c>
      <c r="AB3" s="4"/>
      <c r="AC3" s="4" t="s">
        <v>69</v>
      </c>
      <c r="AD3" s="4"/>
    </row>
    <row r="4" spans="2:30" x14ac:dyDescent="0.25">
      <c r="B4" s="4" t="s">
        <v>72</v>
      </c>
      <c r="C4" s="5">
        <v>200000</v>
      </c>
      <c r="D4" s="4"/>
      <c r="E4" s="4"/>
      <c r="G4" s="4" t="s">
        <v>72</v>
      </c>
      <c r="H4" s="5">
        <f>C4+'Métodos de Evaluación'!B5</f>
        <v>1336850.5747126436</v>
      </c>
      <c r="I4" s="4"/>
      <c r="J4" s="4"/>
      <c r="L4" s="4" t="s">
        <v>72</v>
      </c>
      <c r="M4" s="5">
        <f>H4+'Estado de Resultados'!C19+'Estado de Resultados'!C13</f>
        <v>2462516.666666666</v>
      </c>
      <c r="N4" s="4"/>
      <c r="O4" s="4"/>
      <c r="Q4" s="4" t="s">
        <v>72</v>
      </c>
      <c r="R4" s="5">
        <f>M4+'Estado de Resultados'!D19+'Estado de Resultados'!D13</f>
        <v>3559565.4663793114</v>
      </c>
      <c r="S4" s="4"/>
      <c r="T4" s="4"/>
      <c r="V4" s="4" t="s">
        <v>72</v>
      </c>
      <c r="W4" s="5">
        <f>R4+'Estado de Resultados'!E13+'Estado de Resultados'!E19</f>
        <v>4606585.4467958352</v>
      </c>
      <c r="X4" s="4"/>
      <c r="Y4" s="4"/>
      <c r="AA4" s="4" t="s">
        <v>72</v>
      </c>
      <c r="AB4" s="5">
        <f>W4+'Estado de Resultados'!F19+'Estado de Resultados'!F13</f>
        <v>5577484.0780619858</v>
      </c>
      <c r="AC4" s="4"/>
      <c r="AD4" s="4"/>
    </row>
    <row r="5" spans="2:30" x14ac:dyDescent="0.25">
      <c r="B5" s="4" t="s">
        <v>61</v>
      </c>
      <c r="C5" s="5">
        <f>C4</f>
        <v>200000</v>
      </c>
      <c r="D5" s="4" t="s">
        <v>68</v>
      </c>
      <c r="E5" s="5">
        <v>0</v>
      </c>
      <c r="G5" s="4" t="s">
        <v>61</v>
      </c>
      <c r="H5" s="5">
        <f>H4</f>
        <v>1336850.5747126436</v>
      </c>
      <c r="I5" s="4" t="s">
        <v>68</v>
      </c>
      <c r="J5" s="5">
        <v>0</v>
      </c>
      <c r="L5" s="4" t="s">
        <v>61</v>
      </c>
      <c r="M5" s="5">
        <f>M4</f>
        <v>2462516.666666666</v>
      </c>
      <c r="N5" s="4" t="s">
        <v>68</v>
      </c>
      <c r="O5" s="5">
        <v>0</v>
      </c>
      <c r="Q5" s="4" t="s">
        <v>61</v>
      </c>
      <c r="R5" s="5">
        <f>R4</f>
        <v>3559565.4663793114</v>
      </c>
      <c r="S5" s="4" t="s">
        <v>68</v>
      </c>
      <c r="T5" s="5">
        <v>0</v>
      </c>
      <c r="V5" s="4" t="s">
        <v>61</v>
      </c>
      <c r="W5" s="5">
        <f>W4</f>
        <v>4606585.4467958352</v>
      </c>
      <c r="X5" s="4" t="s">
        <v>68</v>
      </c>
      <c r="Y5" s="5">
        <v>0</v>
      </c>
      <c r="AA5" s="4" t="s">
        <v>61</v>
      </c>
      <c r="AB5" s="5">
        <f>AB4</f>
        <v>5577484.0780619858</v>
      </c>
      <c r="AC5" s="4" t="s">
        <v>68</v>
      </c>
      <c r="AD5" s="5">
        <v>0</v>
      </c>
    </row>
    <row r="6" spans="2:30" x14ac:dyDescent="0.25">
      <c r="B6" s="4" t="s">
        <v>62</v>
      </c>
      <c r="C6" s="5"/>
      <c r="D6" s="4"/>
      <c r="E6" s="5"/>
      <c r="G6" s="4" t="s">
        <v>62</v>
      </c>
      <c r="H6" s="5"/>
      <c r="I6" s="4"/>
      <c r="J6" s="5"/>
      <c r="L6" s="4" t="s">
        <v>62</v>
      </c>
      <c r="M6" s="5"/>
      <c r="N6" s="4"/>
      <c r="O6" s="5"/>
      <c r="Q6" s="4" t="s">
        <v>62</v>
      </c>
      <c r="R6" s="5"/>
      <c r="S6" s="4"/>
      <c r="T6" s="5"/>
      <c r="V6" s="4" t="s">
        <v>62</v>
      </c>
      <c r="W6" s="5"/>
      <c r="X6" s="4"/>
      <c r="Y6" s="5"/>
      <c r="AA6" s="4" t="s">
        <v>62</v>
      </c>
      <c r="AB6" s="5"/>
      <c r="AC6" s="4"/>
      <c r="AD6" s="5"/>
    </row>
    <row r="7" spans="2:30" x14ac:dyDescent="0.25">
      <c r="B7" s="4" t="s">
        <v>65</v>
      </c>
      <c r="C7" s="5">
        <v>500000</v>
      </c>
      <c r="D7" s="4" t="s">
        <v>70</v>
      </c>
      <c r="E7" s="5"/>
      <c r="G7" s="4" t="s">
        <v>2</v>
      </c>
      <c r="H7" s="5">
        <v>100000</v>
      </c>
      <c r="I7" s="4" t="s">
        <v>70</v>
      </c>
      <c r="J7" s="5"/>
      <c r="L7" s="4" t="s">
        <v>2</v>
      </c>
      <c r="M7" s="5">
        <v>100000</v>
      </c>
      <c r="N7" s="4" t="s">
        <v>70</v>
      </c>
      <c r="O7" s="5"/>
      <c r="Q7" s="4" t="s">
        <v>2</v>
      </c>
      <c r="R7" s="5">
        <v>100000</v>
      </c>
      <c r="S7" s="4" t="s">
        <v>70</v>
      </c>
      <c r="T7" s="5"/>
      <c r="V7" s="4" t="s">
        <v>2</v>
      </c>
      <c r="W7" s="5">
        <v>100000</v>
      </c>
      <c r="X7" s="4" t="s">
        <v>70</v>
      </c>
      <c r="Y7" s="5"/>
      <c r="AA7" s="4" t="s">
        <v>2</v>
      </c>
      <c r="AB7" s="5">
        <v>100000</v>
      </c>
      <c r="AC7" s="4" t="s">
        <v>70</v>
      </c>
      <c r="AD7" s="5"/>
    </row>
    <row r="8" spans="2:30" x14ac:dyDescent="0.25">
      <c r="B8" s="4" t="s">
        <v>66</v>
      </c>
      <c r="C8" s="5">
        <v>100000</v>
      </c>
      <c r="D8" s="4" t="s">
        <v>60</v>
      </c>
      <c r="E8" s="5">
        <v>1800000</v>
      </c>
      <c r="G8" s="4" t="s">
        <v>75</v>
      </c>
      <c r="H8" s="5">
        <v>500000</v>
      </c>
      <c r="I8" s="4" t="s">
        <v>60</v>
      </c>
      <c r="J8" s="5">
        <v>1800000</v>
      </c>
      <c r="L8" s="4" t="s">
        <v>75</v>
      </c>
      <c r="M8" s="5">
        <v>500000</v>
      </c>
      <c r="N8" s="4" t="s">
        <v>60</v>
      </c>
      <c r="O8" s="5">
        <f>J13</f>
        <v>2740183.9080459769</v>
      </c>
      <c r="Q8" s="4" t="s">
        <v>75</v>
      </c>
      <c r="R8" s="5">
        <v>500000</v>
      </c>
      <c r="S8" s="4" t="s">
        <v>60</v>
      </c>
      <c r="T8" s="5">
        <f>O13</f>
        <v>3669183.333333333</v>
      </c>
      <c r="V8" s="4" t="s">
        <v>75</v>
      </c>
      <c r="W8" s="5">
        <v>500000</v>
      </c>
      <c r="X8" s="4" t="s">
        <v>60</v>
      </c>
      <c r="Y8" s="5">
        <f>T13</f>
        <v>4569565.4663793119</v>
      </c>
      <c r="AA8" s="4" t="s">
        <v>75</v>
      </c>
      <c r="AB8" s="5">
        <v>500000</v>
      </c>
      <c r="AC8" s="4" t="s">
        <v>60</v>
      </c>
      <c r="AD8" s="5">
        <f>Y13</f>
        <v>5419918.7801291691</v>
      </c>
    </row>
    <row r="9" spans="2:30" x14ac:dyDescent="0.25">
      <c r="B9" s="4" t="s">
        <v>63</v>
      </c>
      <c r="C9" s="5">
        <v>1000000</v>
      </c>
      <c r="D9" s="4"/>
      <c r="E9" s="5"/>
      <c r="G9" s="4" t="s">
        <v>76</v>
      </c>
      <c r="H9" s="18">
        <f>Datos!D8</f>
        <v>16666.666666666668</v>
      </c>
      <c r="I9" s="4" t="s">
        <v>31</v>
      </c>
      <c r="J9" s="18">
        <f>'Estado de Resultados'!B19</f>
        <v>940183.90804597689</v>
      </c>
      <c r="L9" s="4" t="s">
        <v>76</v>
      </c>
      <c r="M9" s="18">
        <f>H9*2</f>
        <v>33333.333333333336</v>
      </c>
      <c r="N9" s="4" t="s">
        <v>31</v>
      </c>
      <c r="O9" s="18">
        <f>'Estado de Resultados'!C19</f>
        <v>928999.42528735602</v>
      </c>
      <c r="Q9" s="4" t="s">
        <v>76</v>
      </c>
      <c r="R9" s="18">
        <f>H9*3</f>
        <v>50000</v>
      </c>
      <c r="S9" s="4" t="s">
        <v>31</v>
      </c>
      <c r="T9" s="18">
        <f>'Estado de Resultados'!D19</f>
        <v>900382.13304597884</v>
      </c>
      <c r="V9" s="4" t="s">
        <v>76</v>
      </c>
      <c r="W9" s="18">
        <f>H9*4</f>
        <v>66666.666666666672</v>
      </c>
      <c r="X9" s="4" t="s">
        <v>31</v>
      </c>
      <c r="Y9" s="18">
        <f>'Estado de Resultados'!E19</f>
        <v>850353.31374985748</v>
      </c>
      <c r="AA9" s="4" t="s">
        <v>76</v>
      </c>
      <c r="AB9" s="18">
        <f>W9/4*5</f>
        <v>83333.333333333343</v>
      </c>
      <c r="AC9" s="4" t="s">
        <v>31</v>
      </c>
      <c r="AD9" s="18">
        <f>'Estado de Resultados'!F19</f>
        <v>774231.96459948353</v>
      </c>
    </row>
    <row r="10" spans="2:30" x14ac:dyDescent="0.25">
      <c r="B10" s="4"/>
      <c r="C10" s="5"/>
      <c r="D10" s="4"/>
      <c r="E10" s="5"/>
      <c r="G10" s="4" t="s">
        <v>63</v>
      </c>
      <c r="H10" s="5">
        <v>1000000</v>
      </c>
      <c r="I10" s="4"/>
      <c r="J10" s="5"/>
      <c r="L10" s="4" t="s">
        <v>63</v>
      </c>
      <c r="M10" s="5">
        <v>1000000</v>
      </c>
      <c r="N10" s="4"/>
      <c r="O10" s="5"/>
      <c r="Q10" s="4" t="s">
        <v>63</v>
      </c>
      <c r="R10" s="5">
        <v>1000000</v>
      </c>
      <c r="S10" s="4"/>
      <c r="T10" s="5"/>
      <c r="V10" s="4" t="s">
        <v>63</v>
      </c>
      <c r="W10" s="5">
        <v>1000000</v>
      </c>
      <c r="X10" s="4"/>
      <c r="Y10" s="5"/>
      <c r="AA10" s="4" t="s">
        <v>63</v>
      </c>
      <c r="AB10" s="5">
        <v>1000000</v>
      </c>
      <c r="AC10" s="4"/>
      <c r="AD10" s="5"/>
    </row>
    <row r="11" spans="2:30" x14ac:dyDescent="0.25">
      <c r="B11" s="4" t="s">
        <v>64</v>
      </c>
      <c r="C11" s="5">
        <f>C9+C7+C8</f>
        <v>1600000</v>
      </c>
      <c r="D11" s="4"/>
      <c r="E11" s="5"/>
      <c r="G11" s="4" t="s">
        <v>76</v>
      </c>
      <c r="H11" s="5">
        <f>Datos!D10</f>
        <v>180000</v>
      </c>
      <c r="I11" s="4"/>
      <c r="J11" s="5"/>
      <c r="L11" s="4" t="s">
        <v>76</v>
      </c>
      <c r="M11" s="5">
        <f>H11*2</f>
        <v>360000</v>
      </c>
      <c r="N11" s="4"/>
      <c r="O11" s="5"/>
      <c r="Q11" s="4" t="s">
        <v>76</v>
      </c>
      <c r="R11" s="5">
        <f>H11*3</f>
        <v>540000</v>
      </c>
      <c r="S11" s="4"/>
      <c r="T11" s="5"/>
      <c r="V11" s="4" t="s">
        <v>76</v>
      </c>
      <c r="W11" s="5">
        <f>H11*4</f>
        <v>720000</v>
      </c>
      <c r="X11" s="4"/>
      <c r="Y11" s="5"/>
      <c r="AA11" s="4" t="s">
        <v>76</v>
      </c>
      <c r="AB11" s="5">
        <f>W11/4*5</f>
        <v>900000</v>
      </c>
      <c r="AC11" s="4"/>
      <c r="AD11" s="5"/>
    </row>
    <row r="12" spans="2:30" x14ac:dyDescent="0.25">
      <c r="B12" s="4" t="s">
        <v>71</v>
      </c>
      <c r="C12" s="5">
        <f>C11+C5</f>
        <v>1800000</v>
      </c>
      <c r="D12" s="4" t="s">
        <v>67</v>
      </c>
      <c r="E12" s="5">
        <f>E8+E5</f>
        <v>1800000</v>
      </c>
      <c r="G12" s="4" t="s">
        <v>64</v>
      </c>
      <c r="H12" s="5">
        <f>H7+H8+H10-H9-H11</f>
        <v>1403333.3333333333</v>
      </c>
      <c r="I12" s="4"/>
      <c r="J12" s="5"/>
      <c r="L12" s="4" t="s">
        <v>64</v>
      </c>
      <c r="M12" s="5">
        <f>M7+M8+M10-M9-M11</f>
        <v>1206666.6666666667</v>
      </c>
      <c r="N12" s="4"/>
      <c r="O12" s="5"/>
      <c r="Q12" s="4" t="s">
        <v>64</v>
      </c>
      <c r="R12" s="5">
        <f>R7+R8+R10-R9-R11</f>
        <v>1010000</v>
      </c>
      <c r="S12" s="4"/>
      <c r="T12" s="5"/>
      <c r="V12" s="4" t="s">
        <v>64</v>
      </c>
      <c r="W12" s="5">
        <f>W7+W8+W10-W9-W11</f>
        <v>813333.33333333326</v>
      </c>
      <c r="X12" s="4"/>
      <c r="Y12" s="5"/>
      <c r="AA12" s="4" t="s">
        <v>64</v>
      </c>
      <c r="AB12" s="5">
        <f>AB7+AB8+AB10-AB9-AB11</f>
        <v>616666.66666666674</v>
      </c>
      <c r="AC12" s="4"/>
      <c r="AD12" s="5"/>
    </row>
    <row r="13" spans="2:30" x14ac:dyDescent="0.25">
      <c r="G13" s="4" t="s">
        <v>71</v>
      </c>
      <c r="H13" s="5">
        <f>H12+H5</f>
        <v>2740183.9080459769</v>
      </c>
      <c r="I13" s="4" t="s">
        <v>67</v>
      </c>
      <c r="J13" s="5">
        <f>J8+J9</f>
        <v>2740183.9080459769</v>
      </c>
      <c r="L13" s="4" t="s">
        <v>71</v>
      </c>
      <c r="M13" s="5">
        <f>M12+M5</f>
        <v>3669183.333333333</v>
      </c>
      <c r="N13" s="4" t="s">
        <v>67</v>
      </c>
      <c r="O13" s="5">
        <f>O8+O9</f>
        <v>3669183.333333333</v>
      </c>
      <c r="Q13" s="4" t="s">
        <v>71</v>
      </c>
      <c r="R13" s="5">
        <f>R12+R5</f>
        <v>4569565.4663793109</v>
      </c>
      <c r="S13" s="4" t="s">
        <v>67</v>
      </c>
      <c r="T13" s="5">
        <f>T8+T9</f>
        <v>4569565.4663793119</v>
      </c>
      <c r="V13" s="4" t="s">
        <v>71</v>
      </c>
      <c r="W13" s="5">
        <f>W12+W5</f>
        <v>5419918.7801291682</v>
      </c>
      <c r="X13" s="4" t="s">
        <v>67</v>
      </c>
      <c r="Y13" s="5">
        <f>Y8+Y9</f>
        <v>5419918.7801291691</v>
      </c>
      <c r="AA13" s="4" t="s">
        <v>71</v>
      </c>
      <c r="AB13" s="5">
        <f>AB12+AB5</f>
        <v>6194150.7447286528</v>
      </c>
      <c r="AC13" s="4" t="s">
        <v>67</v>
      </c>
      <c r="AD13" s="5">
        <f>AD8+AD9</f>
        <v>6194150.7447286528</v>
      </c>
    </row>
    <row r="15" spans="2:30" x14ac:dyDescent="0.25">
      <c r="B15" s="46" t="s">
        <v>87</v>
      </c>
      <c r="C15" s="46"/>
      <c r="D15" s="46"/>
      <c r="E15" s="46"/>
      <c r="G15" s="46" t="s">
        <v>89</v>
      </c>
      <c r="H15" s="46"/>
      <c r="I15" s="46"/>
      <c r="J15" s="46"/>
      <c r="L15" s="46" t="s">
        <v>90</v>
      </c>
      <c r="M15" s="46"/>
      <c r="N15" s="46"/>
      <c r="O15" s="46"/>
      <c r="Q15" s="46" t="s">
        <v>91</v>
      </c>
      <c r="R15" s="46"/>
      <c r="S15" s="46"/>
      <c r="T15" s="46"/>
      <c r="V15" s="46" t="s">
        <v>92</v>
      </c>
      <c r="W15" s="46"/>
      <c r="X15" s="46"/>
      <c r="Y15" s="46"/>
      <c r="AA15" s="42"/>
      <c r="AB15" s="42"/>
      <c r="AC15" s="42"/>
      <c r="AD15" s="42"/>
    </row>
    <row r="16" spans="2:30" x14ac:dyDescent="0.25">
      <c r="B16" s="4" t="s">
        <v>59</v>
      </c>
      <c r="C16" s="4"/>
      <c r="D16" s="4" t="s">
        <v>69</v>
      </c>
      <c r="E16" s="4"/>
      <c r="G16" s="4" t="s">
        <v>59</v>
      </c>
      <c r="H16" s="4"/>
      <c r="I16" s="4" t="s">
        <v>69</v>
      </c>
      <c r="J16" s="4"/>
      <c r="L16" s="4" t="s">
        <v>59</v>
      </c>
      <c r="M16" s="4"/>
      <c r="N16" s="4" t="s">
        <v>69</v>
      </c>
      <c r="O16" s="4"/>
      <c r="Q16" s="4" t="s">
        <v>59</v>
      </c>
      <c r="R16" s="4"/>
      <c r="S16" s="4" t="s">
        <v>69</v>
      </c>
      <c r="T16" s="4"/>
      <c r="V16" s="4" t="s">
        <v>59</v>
      </c>
      <c r="W16" s="4"/>
      <c r="X16" s="4" t="s">
        <v>69</v>
      </c>
      <c r="Y16" s="4"/>
      <c r="AA16" s="20"/>
      <c r="AB16" s="20"/>
      <c r="AC16" s="20"/>
      <c r="AD16" s="20"/>
    </row>
    <row r="17" spans="2:30" x14ac:dyDescent="0.25">
      <c r="B17" s="4" t="s">
        <v>72</v>
      </c>
      <c r="C17" s="5">
        <f>AB4+'Métodos de Evaluación'!B10</f>
        <v>5264888.6381468344</v>
      </c>
      <c r="D17" s="4"/>
      <c r="E17" s="5"/>
      <c r="G17" s="4" t="s">
        <v>72</v>
      </c>
      <c r="H17" s="5">
        <f>C18+'Estado de Resultados'!H19+'Estado de Resultados'!H13</f>
        <v>6625441.3961451594</v>
      </c>
      <c r="I17" s="4" t="s">
        <v>86</v>
      </c>
      <c r="J17" s="5"/>
      <c r="L17" s="4" t="s">
        <v>72</v>
      </c>
      <c r="M17" s="5">
        <f>H17+'Estado de Resultados'!I19+'Estado de Resultados'!I13</f>
        <v>7752440.591624843</v>
      </c>
      <c r="N17" s="4" t="s">
        <v>86</v>
      </c>
      <c r="O17" s="5"/>
      <c r="Q17" s="4" t="s">
        <v>72</v>
      </c>
      <c r="R17" s="5">
        <f>M17+'Estado de Resultados'!J19+'Estado de Resultados'!J13</f>
        <v>9283621.6667217519</v>
      </c>
      <c r="S17" s="4" t="s">
        <v>86</v>
      </c>
      <c r="T17" s="5"/>
      <c r="V17" s="4" t="s">
        <v>72</v>
      </c>
      <c r="W17" s="5">
        <f>R17+'Estado de Resultados'!K19+'Estado de Resultados'!K13</f>
        <v>11314264.10207816</v>
      </c>
      <c r="X17" s="4" t="s">
        <v>86</v>
      </c>
      <c r="Y17" s="5"/>
      <c r="AA17" s="20"/>
      <c r="AB17" s="23"/>
      <c r="AC17" s="20"/>
      <c r="AD17" s="23"/>
    </row>
    <row r="18" spans="2:30" x14ac:dyDescent="0.25">
      <c r="B18" s="4" t="s">
        <v>61</v>
      </c>
      <c r="C18" s="5">
        <f>C17</f>
        <v>5264888.6381468344</v>
      </c>
      <c r="D18" s="4" t="s">
        <v>68</v>
      </c>
      <c r="E18" s="5">
        <f>E17</f>
        <v>0</v>
      </c>
      <c r="G18" s="4" t="s">
        <v>61</v>
      </c>
      <c r="H18" s="5">
        <f>H17</f>
        <v>6625441.3961451594</v>
      </c>
      <c r="I18" s="4" t="s">
        <v>68</v>
      </c>
      <c r="J18" s="5">
        <f>J17</f>
        <v>0</v>
      </c>
      <c r="L18" s="4" t="s">
        <v>61</v>
      </c>
      <c r="M18" s="5">
        <f>M17</f>
        <v>7752440.591624843</v>
      </c>
      <c r="N18" s="4" t="s">
        <v>68</v>
      </c>
      <c r="O18" s="5">
        <f>O17</f>
        <v>0</v>
      </c>
      <c r="Q18" s="4" t="s">
        <v>61</v>
      </c>
      <c r="R18" s="5">
        <f>R17</f>
        <v>9283621.6667217519</v>
      </c>
      <c r="S18" s="4" t="s">
        <v>68</v>
      </c>
      <c r="T18" s="5">
        <f>T17</f>
        <v>0</v>
      </c>
      <c r="V18" s="4" t="s">
        <v>61</v>
      </c>
      <c r="W18" s="5">
        <f>W17</f>
        <v>11314264.10207816</v>
      </c>
      <c r="X18" s="4" t="s">
        <v>68</v>
      </c>
      <c r="Y18" s="5">
        <f>Y17</f>
        <v>0</v>
      </c>
      <c r="AA18" s="20"/>
      <c r="AB18" s="23"/>
      <c r="AC18" s="20"/>
      <c r="AD18" s="23"/>
    </row>
    <row r="19" spans="2:30" x14ac:dyDescent="0.25">
      <c r="B19" s="4" t="s">
        <v>62</v>
      </c>
      <c r="C19" s="5"/>
      <c r="D19" s="4"/>
      <c r="E19" s="5"/>
      <c r="G19" s="4" t="s">
        <v>62</v>
      </c>
      <c r="H19" s="5"/>
      <c r="I19" s="4"/>
      <c r="J19" s="5"/>
      <c r="L19" s="4" t="s">
        <v>62</v>
      </c>
      <c r="M19" s="5"/>
      <c r="N19" s="4"/>
      <c r="O19" s="5"/>
      <c r="Q19" s="4" t="s">
        <v>62</v>
      </c>
      <c r="R19" s="5"/>
      <c r="S19" s="4"/>
      <c r="T19" s="5"/>
      <c r="V19" s="4" t="s">
        <v>62</v>
      </c>
      <c r="W19" s="5"/>
      <c r="X19" s="4"/>
      <c r="Y19" s="5"/>
      <c r="AA19" s="20"/>
      <c r="AB19" s="23"/>
      <c r="AC19" s="20"/>
      <c r="AD19" s="23"/>
    </row>
    <row r="20" spans="2:30" x14ac:dyDescent="0.25">
      <c r="B20" s="4" t="s">
        <v>2</v>
      </c>
      <c r="C20" s="5">
        <v>100000</v>
      </c>
      <c r="D20" s="4" t="s">
        <v>70</v>
      </c>
      <c r="E20" s="5"/>
      <c r="G20" s="4" t="s">
        <v>2</v>
      </c>
      <c r="H20" s="5">
        <v>100000</v>
      </c>
      <c r="I20" s="4" t="s">
        <v>70</v>
      </c>
      <c r="J20" s="5"/>
      <c r="L20" s="4" t="s">
        <v>2</v>
      </c>
      <c r="M20" s="5">
        <v>100000</v>
      </c>
      <c r="N20" s="4" t="s">
        <v>70</v>
      </c>
      <c r="O20" s="5"/>
      <c r="Q20" s="4" t="s">
        <v>2</v>
      </c>
      <c r="R20" s="5">
        <v>100000</v>
      </c>
      <c r="S20" s="4" t="s">
        <v>70</v>
      </c>
      <c r="T20" s="5"/>
      <c r="V20" s="4" t="s">
        <v>2</v>
      </c>
      <c r="W20" s="5">
        <v>100000</v>
      </c>
      <c r="X20" s="4" t="s">
        <v>70</v>
      </c>
      <c r="Y20" s="5"/>
      <c r="AA20" s="20"/>
      <c r="AB20" s="23"/>
      <c r="AC20" s="20"/>
      <c r="AD20" s="23"/>
    </row>
    <row r="21" spans="2:30" x14ac:dyDescent="0.25">
      <c r="B21" s="4" t="s">
        <v>75</v>
      </c>
      <c r="C21" s="5">
        <v>500000</v>
      </c>
      <c r="D21" s="4" t="s">
        <v>60</v>
      </c>
      <c r="E21" s="5">
        <f>AD13</f>
        <v>6194150.7447286528</v>
      </c>
      <c r="G21" s="4" t="s">
        <v>75</v>
      </c>
      <c r="H21" s="5">
        <v>500000</v>
      </c>
      <c r="I21" s="4" t="s">
        <v>60</v>
      </c>
      <c r="J21" s="5">
        <f>E26</f>
        <v>6584888.6381468354</v>
      </c>
      <c r="L21" s="4" t="s">
        <v>75</v>
      </c>
      <c r="M21" s="5">
        <v>500000</v>
      </c>
      <c r="N21" s="4" t="s">
        <v>60</v>
      </c>
      <c r="O21" s="5">
        <f>J26</f>
        <v>7748774.7294784933</v>
      </c>
      <c r="Q21" s="4" t="s">
        <v>75</v>
      </c>
      <c r="R21" s="5">
        <v>500000</v>
      </c>
      <c r="S21" s="4" t="s">
        <v>60</v>
      </c>
      <c r="T21" s="5">
        <f>O26</f>
        <v>8679107.2582915109</v>
      </c>
      <c r="V21" s="4" t="s">
        <v>75</v>
      </c>
      <c r="W21" s="5">
        <v>500000</v>
      </c>
      <c r="X21" s="4" t="s">
        <v>60</v>
      </c>
      <c r="Y21" s="5">
        <f>T26</f>
        <v>10013621.666721754</v>
      </c>
      <c r="AA21" s="20"/>
      <c r="AB21" s="23"/>
      <c r="AC21" s="20"/>
      <c r="AD21" s="23"/>
    </row>
    <row r="22" spans="2:30" x14ac:dyDescent="0.25">
      <c r="B22" s="4" t="s">
        <v>76</v>
      </c>
      <c r="C22" s="18">
        <f>H9*6</f>
        <v>100000</v>
      </c>
      <c r="D22" s="4" t="s">
        <v>31</v>
      </c>
      <c r="E22" s="5">
        <f>'Estado de Resultados'!G19</f>
        <v>390737.8934181825</v>
      </c>
      <c r="G22" s="4" t="s">
        <v>76</v>
      </c>
      <c r="H22" s="18">
        <f>$H$9*7</f>
        <v>116666.66666666667</v>
      </c>
      <c r="I22" s="4" t="s">
        <v>31</v>
      </c>
      <c r="J22" s="5">
        <f>'Estado de Resultados'!H19</f>
        <v>1163886.091331658</v>
      </c>
      <c r="L22" s="4" t="s">
        <v>76</v>
      </c>
      <c r="M22" s="18">
        <f>$H$9*8</f>
        <v>133333.33333333334</v>
      </c>
      <c r="N22" s="4" t="s">
        <v>31</v>
      </c>
      <c r="O22" s="5">
        <f>'Estado de Resultados'!I19</f>
        <v>930332.52881301672</v>
      </c>
      <c r="Q22" s="4" t="s">
        <v>76</v>
      </c>
      <c r="R22" s="18">
        <f>$H$9*9</f>
        <v>150000</v>
      </c>
      <c r="S22" s="4" t="s">
        <v>31</v>
      </c>
      <c r="T22" s="5">
        <f>'Estado de Resultados'!J19</f>
        <v>1334514.4084302424</v>
      </c>
      <c r="V22" s="4" t="s">
        <v>76</v>
      </c>
      <c r="W22" s="18">
        <f>$H$9*10</f>
        <v>166666.66666666669</v>
      </c>
      <c r="X22" s="4" t="s">
        <v>31</v>
      </c>
      <c r="Y22" s="5">
        <f>'Estado de Resultados'!K19</f>
        <v>1833975.7686897414</v>
      </c>
      <c r="AA22" s="20"/>
      <c r="AB22" s="22"/>
      <c r="AC22" s="20"/>
      <c r="AD22" s="23"/>
    </row>
    <row r="23" spans="2:30" x14ac:dyDescent="0.25">
      <c r="B23" s="4" t="s">
        <v>63</v>
      </c>
      <c r="C23" s="5">
        <v>1000000</v>
      </c>
      <c r="D23" s="4"/>
      <c r="E23" s="5"/>
      <c r="G23" s="4" t="s">
        <v>63</v>
      </c>
      <c r="H23" s="5">
        <v>1000000</v>
      </c>
      <c r="I23" s="4"/>
      <c r="J23" s="5"/>
      <c r="L23" s="4" t="s">
        <v>63</v>
      </c>
      <c r="M23" s="5">
        <v>1000000</v>
      </c>
      <c r="N23" s="4"/>
      <c r="O23" s="5"/>
      <c r="Q23" s="4" t="s">
        <v>63</v>
      </c>
      <c r="R23" s="5">
        <v>1000000</v>
      </c>
      <c r="S23" s="4"/>
      <c r="T23" s="5"/>
      <c r="V23" s="4" t="s">
        <v>63</v>
      </c>
      <c r="W23" s="5">
        <v>1000000</v>
      </c>
      <c r="X23" s="4"/>
      <c r="Y23" s="5"/>
      <c r="AA23" s="20"/>
      <c r="AB23" s="23"/>
      <c r="AC23" s="20"/>
      <c r="AD23" s="23"/>
    </row>
    <row r="24" spans="2:30" x14ac:dyDescent="0.25">
      <c r="B24" s="4" t="s">
        <v>76</v>
      </c>
      <c r="C24" s="5">
        <v>180000</v>
      </c>
      <c r="D24" s="4"/>
      <c r="E24" s="5"/>
      <c r="G24" s="4" t="s">
        <v>76</v>
      </c>
      <c r="H24" s="5">
        <v>360000</v>
      </c>
      <c r="I24" s="4"/>
      <c r="J24" s="5"/>
      <c r="L24" s="4" t="s">
        <v>76</v>
      </c>
      <c r="M24" s="5">
        <f>C24*3</f>
        <v>540000</v>
      </c>
      <c r="N24" s="4"/>
      <c r="O24" s="5"/>
      <c r="Q24" s="4" t="s">
        <v>76</v>
      </c>
      <c r="R24" s="5">
        <f>C24*4</f>
        <v>720000</v>
      </c>
      <c r="S24" s="4"/>
      <c r="T24" s="5"/>
      <c r="V24" s="4" t="s">
        <v>76</v>
      </c>
      <c r="W24" s="5">
        <f>C24*5</f>
        <v>900000</v>
      </c>
      <c r="X24" s="4"/>
      <c r="Y24" s="5"/>
      <c r="AA24" s="20"/>
      <c r="AB24" s="23"/>
      <c r="AC24" s="20"/>
      <c r="AD24" s="23"/>
    </row>
    <row r="25" spans="2:30" x14ac:dyDescent="0.25">
      <c r="B25" s="4" t="s">
        <v>64</v>
      </c>
      <c r="C25" s="5">
        <f>C20+C21+C23-C22-C24</f>
        <v>1320000</v>
      </c>
      <c r="D25" s="4"/>
      <c r="E25" s="5"/>
      <c r="G25" s="4" t="s">
        <v>64</v>
      </c>
      <c r="H25" s="5">
        <f>H20+H21+H23-H22-H24</f>
        <v>1123333.3333333333</v>
      </c>
      <c r="I25" s="4"/>
      <c r="J25" s="5"/>
      <c r="K25" s="64"/>
      <c r="L25" s="4" t="s">
        <v>64</v>
      </c>
      <c r="M25" s="5">
        <f>M20+M21+M23-M22-M24</f>
        <v>926666.66666666674</v>
      </c>
      <c r="N25" s="4"/>
      <c r="O25" s="5"/>
      <c r="Q25" s="4" t="s">
        <v>64</v>
      </c>
      <c r="R25" s="5">
        <f>R20+R21+R23-R22-R24</f>
        <v>730000</v>
      </c>
      <c r="S25" s="4"/>
      <c r="T25" s="5"/>
      <c r="V25" s="4" t="s">
        <v>64</v>
      </c>
      <c r="W25" s="5">
        <f>W20+W21+W23-W22-W24</f>
        <v>533333.33333333326</v>
      </c>
      <c r="X25" s="4"/>
      <c r="Y25" s="5"/>
      <c r="AA25" s="20"/>
      <c r="AB25" s="23"/>
      <c r="AC25" s="20"/>
      <c r="AD25" s="23"/>
    </row>
    <row r="26" spans="2:30" x14ac:dyDescent="0.25">
      <c r="B26" s="4" t="s">
        <v>71</v>
      </c>
      <c r="C26" s="5">
        <f>C25+C18</f>
        <v>6584888.6381468344</v>
      </c>
      <c r="D26" s="4" t="s">
        <v>67</v>
      </c>
      <c r="E26" s="5">
        <f>E18+E21+E22</f>
        <v>6584888.6381468354</v>
      </c>
      <c r="G26" s="4" t="s">
        <v>71</v>
      </c>
      <c r="H26" s="5">
        <f>H25+H18</f>
        <v>7748774.7294784924</v>
      </c>
      <c r="I26" s="4" t="s">
        <v>67</v>
      </c>
      <c r="J26" s="5">
        <f>J18+J21+J22</f>
        <v>7748774.7294784933</v>
      </c>
      <c r="L26" s="4" t="s">
        <v>71</v>
      </c>
      <c r="M26" s="5">
        <f>M25+M18</f>
        <v>8679107.258291509</v>
      </c>
      <c r="N26" s="4" t="s">
        <v>67</v>
      </c>
      <c r="O26" s="5">
        <f>O18+O21+O22</f>
        <v>8679107.2582915109</v>
      </c>
      <c r="Q26" s="4" t="s">
        <v>71</v>
      </c>
      <c r="R26" s="5">
        <f>R25+R18</f>
        <v>10013621.666721752</v>
      </c>
      <c r="S26" s="4" t="s">
        <v>67</v>
      </c>
      <c r="T26" s="5">
        <f>T18+T21+T22</f>
        <v>10013621.666721754</v>
      </c>
      <c r="V26" s="4" t="s">
        <v>71</v>
      </c>
      <c r="W26" s="5">
        <f>W25+W18</f>
        <v>11847597.435411494</v>
      </c>
      <c r="X26" s="4" t="s">
        <v>67</v>
      </c>
      <c r="Y26" s="5">
        <f>Y18+Y21+Y22</f>
        <v>11847597.435411494</v>
      </c>
      <c r="AA26" s="20"/>
      <c r="AB26" s="23"/>
      <c r="AC26" s="20"/>
      <c r="AD26" s="23"/>
    </row>
    <row r="28" spans="2:30" x14ac:dyDescent="0.25">
      <c r="C28" s="11"/>
      <c r="I28" s="11"/>
    </row>
    <row r="29" spans="2:30" x14ac:dyDescent="0.25">
      <c r="X29" s="63"/>
    </row>
  </sheetData>
  <mergeCells count="12">
    <mergeCell ref="AA2:AD2"/>
    <mergeCell ref="B15:E15"/>
    <mergeCell ref="G15:J15"/>
    <mergeCell ref="B2:E2"/>
    <mergeCell ref="G2:J2"/>
    <mergeCell ref="L2:O2"/>
    <mergeCell ref="Q2:T2"/>
    <mergeCell ref="V2:Y2"/>
    <mergeCell ref="L15:O15"/>
    <mergeCell ref="Q15:T15"/>
    <mergeCell ref="V15:Y15"/>
    <mergeCell ref="AA15:A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Portada</vt:lpstr>
      <vt:lpstr>MarcoTeorico</vt:lpstr>
      <vt:lpstr>Objetivo</vt:lpstr>
      <vt:lpstr>Datos</vt:lpstr>
      <vt:lpstr>Estado de Resultados</vt:lpstr>
      <vt:lpstr>Métodos de Evaluación</vt:lpstr>
      <vt:lpstr>Balance 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Mendez</dc:creator>
  <cp:lastModifiedBy>Eduardo Gómez</cp:lastModifiedBy>
  <dcterms:created xsi:type="dcterms:W3CDTF">2018-11-26T15:53:36Z</dcterms:created>
  <dcterms:modified xsi:type="dcterms:W3CDTF">2018-11-29T15:52:52Z</dcterms:modified>
</cp:coreProperties>
</file>