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11.Examen\"/>
    </mc:Choice>
  </mc:AlternateContent>
  <xr:revisionPtr revIDLastSave="0" documentId="13_ncr:1_{E111C64E-A2C1-4694-B2CC-88A5D386E390}" xr6:coauthVersionLast="47" xr6:coauthVersionMax="47" xr10:uidLastSave="{00000000-0000-0000-0000-000000000000}"/>
  <bookViews>
    <workbookView xWindow="-120" yWindow="-120" windowWidth="29040" windowHeight="16440" activeTab="7" xr2:uid="{85CBBBEB-E946-452E-8652-B954FDDB6641}"/>
  </bookViews>
  <sheets>
    <sheet name="Portada" sheetId="1" r:id="rId1"/>
    <sheet name="Ej1" sheetId="2" r:id="rId2"/>
    <sheet name="Informe de sensibilidad 1" sheetId="3" r:id="rId3"/>
    <sheet name="EJ2" sheetId="4" r:id="rId4"/>
    <sheet name="Informe de sensibilidad 2" sheetId="5" r:id="rId5"/>
    <sheet name="SIMULADO2" sheetId="6" r:id="rId6"/>
    <sheet name="Informe de sensibilidad 3" sheetId="8" r:id="rId7"/>
    <sheet name="Ej3" sheetId="7" r:id="rId8"/>
  </sheets>
  <definedNames>
    <definedName name="solver_adj" localSheetId="1" hidden="1">'Ej1'!$C$31:$E$31</definedName>
    <definedName name="solver_adj" localSheetId="3" hidden="1">'EJ2'!$F$20:$G$20</definedName>
    <definedName name="solver_adj" localSheetId="7" hidden="1">'Ej3'!$D$37:$E$37</definedName>
    <definedName name="solver_cvg" localSheetId="1" hidden="1">0.0001</definedName>
    <definedName name="solver_cvg" localSheetId="3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7" hidden="1">1</definedName>
    <definedName name="solver_eng" localSheetId="1" hidden="1">2</definedName>
    <definedName name="solver_eng" localSheetId="3" hidden="1">1</definedName>
    <definedName name="solver_eng" localSheetId="7" hidden="1">1</definedName>
    <definedName name="solver_eng" localSheetId="5" hidden="1">1</definedName>
    <definedName name="solver_est" localSheetId="1" hidden="1">1</definedName>
    <definedName name="solver_est" localSheetId="3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7" hidden="1">2147483647</definedName>
    <definedName name="solver_lhs1" localSheetId="1" hidden="1">'Ej1'!$C$32</definedName>
    <definedName name="solver_lhs1" localSheetId="3" hidden="1">'EJ2'!$E$21</definedName>
    <definedName name="solver_lhs1" localSheetId="7" hidden="1">'Ej3'!$D$38</definedName>
    <definedName name="solver_lhs2" localSheetId="1" hidden="1">'Ej1'!$C$33</definedName>
    <definedName name="solver_lhs2" localSheetId="3" hidden="1">'EJ2'!$E$22</definedName>
    <definedName name="solver_lhs2" localSheetId="7" hidden="1">'Ej3'!$D$39</definedName>
    <definedName name="solver_lhs3" localSheetId="7" hidden="1">'Ej3'!$D$40</definedName>
    <definedName name="solver_mip" localSheetId="1" hidden="1">2147483647</definedName>
    <definedName name="solver_mip" localSheetId="3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7" hidden="1">3</definedName>
    <definedName name="solver_num" localSheetId="5" hidden="1">0</definedName>
    <definedName name="solver_nwt" localSheetId="1" hidden="1">1</definedName>
    <definedName name="solver_nwt" localSheetId="3" hidden="1">1</definedName>
    <definedName name="solver_nwt" localSheetId="7" hidden="1">1</definedName>
    <definedName name="solver_opt" localSheetId="1" hidden="1">'Ej1'!$B$31</definedName>
    <definedName name="solver_opt" localSheetId="3" hidden="1">'EJ2'!$E$20</definedName>
    <definedName name="solver_opt" localSheetId="7" hidden="1">'Ej3'!$C$37</definedName>
    <definedName name="solver_opt" localSheetId="5" hidden="1">SIMULADO2!$K$5</definedName>
    <definedName name="solver_pre" localSheetId="1" hidden="1">0.000001</definedName>
    <definedName name="solver_pre" localSheetId="3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7" hidden="1">1</definedName>
    <definedName name="solver_rel2" localSheetId="1" hidden="1">1</definedName>
    <definedName name="solver_rel2" localSheetId="3" hidden="1">1</definedName>
    <definedName name="solver_rel2" localSheetId="7" hidden="1">1</definedName>
    <definedName name="solver_rel3" localSheetId="7" hidden="1">1</definedName>
    <definedName name="solver_rhs1" localSheetId="1" hidden="1">'Ej1'!$D$32</definedName>
    <definedName name="solver_rhs1" localSheetId="3" hidden="1">'EJ2'!$F$21</definedName>
    <definedName name="solver_rhs1" localSheetId="7" hidden="1">'Ej3'!$E$38</definedName>
    <definedName name="solver_rhs2" localSheetId="1" hidden="1">'Ej1'!$D$33</definedName>
    <definedName name="solver_rhs2" localSheetId="3" hidden="1">'EJ2'!$F$22</definedName>
    <definedName name="solver_rhs2" localSheetId="7" hidden="1">'Ej3'!$E$39</definedName>
    <definedName name="solver_rhs3" localSheetId="7" hidden="1">'Ej3'!$E$40</definedName>
    <definedName name="solver_rlx" localSheetId="1" hidden="1">2</definedName>
    <definedName name="solver_rlx" localSheetId="3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7" hidden="1">0</definedName>
    <definedName name="solver_scl" localSheetId="1" hidden="1">1</definedName>
    <definedName name="solver_scl" localSheetId="3" hidden="1">1</definedName>
    <definedName name="solver_scl" localSheetId="7" hidden="1">1</definedName>
    <definedName name="solver_sho" localSheetId="1" hidden="1">2</definedName>
    <definedName name="solver_sho" localSheetId="3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7" hidden="1">0.01</definedName>
    <definedName name="solver_typ" localSheetId="1" hidden="1">1</definedName>
    <definedName name="solver_typ" localSheetId="3" hidden="1">1</definedName>
    <definedName name="solver_typ" localSheetId="7" hidden="1">1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7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7" l="1"/>
  <c r="D39" i="7"/>
  <c r="D38" i="7"/>
  <c r="C37" i="7"/>
  <c r="F5" i="6" l="1"/>
  <c r="F4" i="6"/>
  <c r="F2" i="6"/>
  <c r="D21" i="3"/>
  <c r="D20" i="3"/>
  <c r="D19" i="3"/>
  <c r="E19" i="5"/>
  <c r="E18" i="5"/>
  <c r="C33" i="2"/>
  <c r="C32" i="2"/>
  <c r="F1" i="6"/>
  <c r="C4" i="6"/>
  <c r="C3" i="6"/>
  <c r="B4" i="6"/>
  <c r="B3" i="6"/>
  <c r="I33" i="6" l="1"/>
  <c r="I32" i="6"/>
  <c r="I31" i="6"/>
  <c r="D30" i="6"/>
  <c r="D31" i="6" s="1"/>
  <c r="C30" i="6"/>
  <c r="E30" i="6" s="1"/>
  <c r="E29" i="6"/>
  <c r="I28" i="6"/>
  <c r="H28" i="6"/>
  <c r="I27" i="6"/>
  <c r="H27" i="6"/>
  <c r="I26" i="6"/>
  <c r="H26" i="6"/>
  <c r="I25" i="6"/>
  <c r="K25" i="6" s="1"/>
  <c r="O25" i="6" s="1"/>
  <c r="D25" i="6"/>
  <c r="D26" i="6" s="1"/>
  <c r="C25" i="6"/>
  <c r="E25" i="6" s="1"/>
  <c r="I24" i="6"/>
  <c r="K24" i="6" s="1"/>
  <c r="O24" i="6" s="1"/>
  <c r="E24" i="6"/>
  <c r="H23" i="6"/>
  <c r="H22" i="6"/>
  <c r="H21" i="6"/>
  <c r="J21" i="6" s="1"/>
  <c r="C21" i="6"/>
  <c r="C22" i="6" s="1"/>
  <c r="I20" i="6"/>
  <c r="K20" i="6" s="1"/>
  <c r="O20" i="6" s="1"/>
  <c r="H20" i="6"/>
  <c r="J20" i="6" s="1"/>
  <c r="D20" i="6"/>
  <c r="D21" i="6" s="1"/>
  <c r="C20" i="6"/>
  <c r="E20" i="6" s="1"/>
  <c r="I19" i="6"/>
  <c r="K19" i="6" s="1"/>
  <c r="O19" i="6" s="1"/>
  <c r="H19" i="6"/>
  <c r="J19" i="6" s="1"/>
  <c r="E19" i="6"/>
  <c r="I18" i="6"/>
  <c r="I17" i="6"/>
  <c r="I16" i="6"/>
  <c r="D16" i="6"/>
  <c r="K16" i="6" s="1"/>
  <c r="O16" i="6" s="1"/>
  <c r="H15" i="6"/>
  <c r="J15" i="6" s="1"/>
  <c r="E15" i="6"/>
  <c r="D15" i="6"/>
  <c r="C15" i="6"/>
  <c r="C16" i="6" s="1"/>
  <c r="H14" i="6"/>
  <c r="J14" i="6" s="1"/>
  <c r="E14" i="6"/>
  <c r="H13" i="6"/>
  <c r="H12" i="6"/>
  <c r="C12" i="6"/>
  <c r="H11" i="6"/>
  <c r="C11" i="6"/>
  <c r="I10" i="6"/>
  <c r="D10" i="6"/>
  <c r="K10" i="6" s="1"/>
  <c r="O10" i="6" s="1"/>
  <c r="C10" i="6"/>
  <c r="I9" i="6"/>
  <c r="K9" i="6" s="1"/>
  <c r="O9" i="6" s="1"/>
  <c r="E9" i="6"/>
  <c r="A9" i="6"/>
  <c r="I8" i="6"/>
  <c r="H8" i="6"/>
  <c r="C8" i="6"/>
  <c r="I23" i="6"/>
  <c r="H18" i="6"/>
  <c r="D8" i="6"/>
  <c r="K8" i="6" l="1"/>
  <c r="O8" i="6" s="1"/>
  <c r="N20" i="6"/>
  <c r="M20" i="6"/>
  <c r="L20" i="6"/>
  <c r="K26" i="6"/>
  <c r="O26" i="6" s="1"/>
  <c r="D27" i="6"/>
  <c r="N15" i="6"/>
  <c r="N14" i="6"/>
  <c r="C23" i="6"/>
  <c r="J22" i="6"/>
  <c r="E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17" i="6"/>
  <c r="E16" i="6"/>
  <c r="N21" i="6"/>
  <c r="K31" i="6"/>
  <c r="O31" i="6" s="1"/>
  <c r="D32" i="6"/>
  <c r="D22" i="6"/>
  <c r="E21" i="6"/>
  <c r="N19" i="6"/>
  <c r="M19" i="6"/>
  <c r="L19" i="6"/>
  <c r="D17" i="6"/>
  <c r="D11" i="6"/>
  <c r="E11" i="6" s="1"/>
  <c r="I11" i="6"/>
  <c r="I12" i="6"/>
  <c r="I13" i="6"/>
  <c r="C31" i="6"/>
  <c r="E10" i="6"/>
  <c r="J8" i="6"/>
  <c r="J11" i="6"/>
  <c r="J12" i="6"/>
  <c r="C26" i="6"/>
  <c r="H29" i="6"/>
  <c r="J29" i="6" s="1"/>
  <c r="H30" i="6"/>
  <c r="J30" i="6" s="1"/>
  <c r="C13" i="6"/>
  <c r="H24" i="6"/>
  <c r="J24" i="6" s="1"/>
  <c r="H25" i="6"/>
  <c r="J25" i="6" s="1"/>
  <c r="I29" i="6"/>
  <c r="K29" i="6" s="1"/>
  <c r="O29" i="6" s="1"/>
  <c r="I30" i="6"/>
  <c r="K30" i="6" s="1"/>
  <c r="O30" i="6" s="1"/>
  <c r="H31" i="6"/>
  <c r="H32" i="6"/>
  <c r="H33" i="6"/>
  <c r="H9" i="6"/>
  <c r="J9" i="6" s="1"/>
  <c r="H10" i="6"/>
  <c r="J10" i="6" s="1"/>
  <c r="I14" i="6"/>
  <c r="K14" i="6" s="1"/>
  <c r="O14" i="6" s="1"/>
  <c r="I15" i="6"/>
  <c r="K15" i="6" s="1"/>
  <c r="O15" i="6" s="1"/>
  <c r="H16" i="6"/>
  <c r="J16" i="6" s="1"/>
  <c r="H17" i="6"/>
  <c r="I21" i="6"/>
  <c r="K21" i="6" s="1"/>
  <c r="I22" i="6"/>
  <c r="L15" i="6" l="1"/>
  <c r="P19" i="6"/>
  <c r="Q19" i="6" s="1"/>
  <c r="R19" i="6" s="1"/>
  <c r="M16" i="6"/>
  <c r="N16" i="6"/>
  <c r="L16" i="6"/>
  <c r="O21" i="6"/>
  <c r="M21" i="6"/>
  <c r="L21" i="6"/>
  <c r="N22" i="6"/>
  <c r="N12" i="6"/>
  <c r="D23" i="6"/>
  <c r="K23" i="6" s="1"/>
  <c r="O23" i="6" s="1"/>
  <c r="K22" i="6"/>
  <c r="O22" i="6" s="1"/>
  <c r="D18" i="6"/>
  <c r="K18" i="6" s="1"/>
  <c r="O18" i="6" s="1"/>
  <c r="K17" i="6"/>
  <c r="O17" i="6" s="1"/>
  <c r="N25" i="6"/>
  <c r="L25" i="6"/>
  <c r="M25" i="6"/>
  <c r="N24" i="6"/>
  <c r="M24" i="6"/>
  <c r="L24" i="6"/>
  <c r="E22" i="6"/>
  <c r="E17" i="6"/>
  <c r="C18" i="6"/>
  <c r="J17" i="6"/>
  <c r="M9" i="6"/>
  <c r="N9" i="6"/>
  <c r="L9" i="6"/>
  <c r="J13" i="6"/>
  <c r="J31" i="6"/>
  <c r="E31" i="6"/>
  <c r="C32" i="6"/>
  <c r="E23" i="6"/>
  <c r="J23" i="6"/>
  <c r="D28" i="6"/>
  <c r="K28" i="6" s="1"/>
  <c r="O28" i="6" s="1"/>
  <c r="K27" i="6"/>
  <c r="O27" i="6" s="1"/>
  <c r="P15" i="6"/>
  <c r="Q15" i="6" s="1"/>
  <c r="R15" i="6" s="1"/>
  <c r="N11" i="6"/>
  <c r="K32" i="6"/>
  <c r="O32" i="6" s="1"/>
  <c r="D33" i="6"/>
  <c r="K33" i="6" s="1"/>
  <c r="O33" i="6" s="1"/>
  <c r="M15" i="6"/>
  <c r="L8" i="6"/>
  <c r="N8" i="6"/>
  <c r="M8" i="6"/>
  <c r="M10" i="6"/>
  <c r="N10" i="6"/>
  <c r="L10" i="6"/>
  <c r="L30" i="6"/>
  <c r="P30" i="6" s="1"/>
  <c r="Q30" i="6" s="1"/>
  <c r="R30" i="6" s="1"/>
  <c r="M30" i="6"/>
  <c r="N30" i="6"/>
  <c r="L14" i="6"/>
  <c r="P14" i="6" s="1"/>
  <c r="Q14" i="6" s="1"/>
  <c r="R14" i="6" s="1"/>
  <c r="K11" i="6"/>
  <c r="O11" i="6" s="1"/>
  <c r="D12" i="6"/>
  <c r="L29" i="6"/>
  <c r="M29" i="6"/>
  <c r="N29" i="6"/>
  <c r="M14" i="6"/>
  <c r="P20" i="6"/>
  <c r="Q20" i="6" s="1"/>
  <c r="R20" i="6" s="1"/>
  <c r="J26" i="6"/>
  <c r="E26" i="6"/>
  <c r="C27" i="6"/>
  <c r="M22" i="6" l="1"/>
  <c r="P25" i="6"/>
  <c r="Q25" i="6" s="1"/>
  <c r="R25" i="6" s="1"/>
  <c r="L31" i="6"/>
  <c r="N31" i="6"/>
  <c r="M31" i="6"/>
  <c r="P8" i="6"/>
  <c r="Q8" i="6" s="1"/>
  <c r="R8" i="6" s="1"/>
  <c r="P24" i="6"/>
  <c r="Q24" i="6" s="1"/>
  <c r="R24" i="6" s="1"/>
  <c r="S25" i="6"/>
  <c r="T25" i="6" s="1"/>
  <c r="N26" i="6"/>
  <c r="M26" i="6"/>
  <c r="L26" i="6"/>
  <c r="P9" i="6"/>
  <c r="Q9" i="6" s="1"/>
  <c r="R9" i="6" s="1"/>
  <c r="P21" i="6"/>
  <c r="Q21" i="6" s="1"/>
  <c r="R21" i="6" s="1"/>
  <c r="N13" i="6"/>
  <c r="N23" i="6"/>
  <c r="M23" i="6"/>
  <c r="L23" i="6"/>
  <c r="P10" i="6"/>
  <c r="Q10" i="6" s="1"/>
  <c r="R10" i="6" s="1"/>
  <c r="N17" i="6"/>
  <c r="M17" i="6"/>
  <c r="L17" i="6"/>
  <c r="P16" i="6"/>
  <c r="Q16" i="6" s="1"/>
  <c r="R16" i="6" s="1"/>
  <c r="S20" i="6"/>
  <c r="T20" i="6" s="1"/>
  <c r="P29" i="6"/>
  <c r="Q29" i="6" s="1"/>
  <c r="R29" i="6" s="1"/>
  <c r="M11" i="6"/>
  <c r="J32" i="6"/>
  <c r="E32" i="6"/>
  <c r="C33" i="6"/>
  <c r="J27" i="6"/>
  <c r="E27" i="6"/>
  <c r="C28" i="6"/>
  <c r="D13" i="6"/>
  <c r="K12" i="6"/>
  <c r="E12" i="6"/>
  <c r="L11" i="6"/>
  <c r="E18" i="6"/>
  <c r="J18" i="6"/>
  <c r="L22" i="6"/>
  <c r="P22" i="6" s="1"/>
  <c r="Q22" i="6" s="1"/>
  <c r="R22" i="6" s="1"/>
  <c r="P23" i="6" l="1"/>
  <c r="Q23" i="6" s="1"/>
  <c r="R23" i="6" s="1"/>
  <c r="P17" i="6"/>
  <c r="Q17" i="6" s="1"/>
  <c r="R17" i="6" s="1"/>
  <c r="P11" i="6"/>
  <c r="Q11" i="6" s="1"/>
  <c r="R11" i="6" s="1"/>
  <c r="P26" i="6"/>
  <c r="Q26" i="6" s="1"/>
  <c r="R26" i="6" s="1"/>
  <c r="T26" i="6" s="1"/>
  <c r="P31" i="6"/>
  <c r="Q31" i="6" s="1"/>
  <c r="R31" i="6" s="1"/>
  <c r="T23" i="6"/>
  <c r="T19" i="6"/>
  <c r="T22" i="6"/>
  <c r="T21" i="6"/>
  <c r="N32" i="6"/>
  <c r="L32" i="6"/>
  <c r="M32" i="6"/>
  <c r="O12" i="6"/>
  <c r="L12" i="6"/>
  <c r="M12" i="6"/>
  <c r="T24" i="6"/>
  <c r="S30" i="6"/>
  <c r="T30" i="6" s="1"/>
  <c r="K13" i="6"/>
  <c r="E13" i="6"/>
  <c r="T8" i="6"/>
  <c r="S10" i="6"/>
  <c r="T11" i="6" s="1"/>
  <c r="J28" i="6"/>
  <c r="E28" i="6"/>
  <c r="M18" i="6"/>
  <c r="L18" i="6"/>
  <c r="N18" i="6"/>
  <c r="N27" i="6"/>
  <c r="M27" i="6"/>
  <c r="L27" i="6"/>
  <c r="S15" i="6"/>
  <c r="T17" i="6" s="1"/>
  <c r="J33" i="6"/>
  <c r="E33" i="6"/>
  <c r="P18" i="6" l="1"/>
  <c r="Q18" i="6" s="1"/>
  <c r="R18" i="6" s="1"/>
  <c r="T18" i="6" s="1"/>
  <c r="T16" i="6"/>
  <c r="T29" i="6"/>
  <c r="N28" i="6"/>
  <c r="M28" i="6"/>
  <c r="L28" i="6"/>
  <c r="P28" i="6" s="1"/>
  <c r="Q28" i="6" s="1"/>
  <c r="R28" i="6" s="1"/>
  <c r="T28" i="6" s="1"/>
  <c r="P12" i="6"/>
  <c r="Q12" i="6" s="1"/>
  <c r="R12" i="6" s="1"/>
  <c r="T12" i="6" s="1"/>
  <c r="T10" i="6"/>
  <c r="O13" i="6"/>
  <c r="M13" i="6"/>
  <c r="L13" i="6"/>
  <c r="P13" i="6" s="1"/>
  <c r="Q13" i="6" s="1"/>
  <c r="R13" i="6" s="1"/>
  <c r="T13" i="6" s="1"/>
  <c r="P32" i="6"/>
  <c r="Q32" i="6" s="1"/>
  <c r="R32" i="6" s="1"/>
  <c r="T32" i="6" s="1"/>
  <c r="T9" i="6"/>
  <c r="T31" i="6"/>
  <c r="L33" i="6"/>
  <c r="N33" i="6"/>
  <c r="M33" i="6"/>
  <c r="T15" i="6"/>
  <c r="T14" i="6"/>
  <c r="P27" i="6"/>
  <c r="Q27" i="6" s="1"/>
  <c r="R27" i="6" s="1"/>
  <c r="T27" i="6" s="1"/>
  <c r="P33" i="6" l="1"/>
  <c r="Q33" i="6" s="1"/>
  <c r="R33" i="6" s="1"/>
  <c r="T33" i="6" s="1"/>
  <c r="E22" i="4" l="1"/>
  <c r="E21" i="4"/>
  <c r="E20" i="4"/>
  <c r="B31" i="2"/>
</calcChain>
</file>

<file path=xl/sharedStrings.xml><?xml version="1.0" encoding="utf-8"?>
<sst xmlns="http://schemas.openxmlformats.org/spreadsheetml/2006/main" count="230" uniqueCount="158">
  <si>
    <t>B0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</si>
  <si>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</si>
  <si>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</si>
  <si>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</si>
  <si>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</si>
  <si>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</si>
  <si>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</si>
  <si>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</si>
  <si>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</si>
  <si>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</si>
  <si>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Boleta</t>
  </si>
  <si>
    <t>Nombre:</t>
  </si>
  <si>
    <t>Rojas Alvarado Luis Enrique</t>
  </si>
  <si>
    <t>Matricial</t>
  </si>
  <si>
    <t>Laser</t>
  </si>
  <si>
    <t>Fabricación</t>
  </si>
  <si>
    <t>Calidad</t>
  </si>
  <si>
    <t>120 euros</t>
  </si>
  <si>
    <t>180 euros</t>
  </si>
  <si>
    <t>Primal</t>
  </si>
  <si>
    <t>Min</t>
  </si>
  <si>
    <t>Z=x+y</t>
  </si>
  <si>
    <t>s.a</t>
  </si>
  <si>
    <t>r1</t>
  </si>
  <si>
    <t>x+1.5y&lt;=200</t>
  </si>
  <si>
    <t>-x-1.5y&gt;=-200</t>
  </si>
  <si>
    <t>r2</t>
  </si>
  <si>
    <t>2x+y&lt;=175</t>
  </si>
  <si>
    <t>-2x-y&gt;=-175</t>
  </si>
  <si>
    <t>r3</t>
  </si>
  <si>
    <t>120x+180y&gt;=2995</t>
  </si>
  <si>
    <t>Dual</t>
  </si>
  <si>
    <t>Max</t>
  </si>
  <si>
    <t>-a-2b+120c&lt;=1</t>
  </si>
  <si>
    <t>-1.5a-b+180c&lt;=1</t>
  </si>
  <si>
    <t>Z=-200a-175b+2995*C</t>
  </si>
  <si>
    <t>x=matriciales</t>
  </si>
  <si>
    <t>y=Laser</t>
  </si>
  <si>
    <t>r3,r4,r5</t>
  </si>
  <si>
    <t>a,b,c&gt;=0</t>
  </si>
  <si>
    <t>r4,r5</t>
  </si>
  <si>
    <t>x,y&gt;=0</t>
  </si>
  <si>
    <t>Solver</t>
  </si>
  <si>
    <t>Z</t>
  </si>
  <si>
    <t>A</t>
  </si>
  <si>
    <t>B</t>
  </si>
  <si>
    <t>C</t>
  </si>
  <si>
    <t>R1</t>
  </si>
  <si>
    <t>R2</t>
  </si>
  <si>
    <t>Microsoft Excel 16.0 Informe de sensibilidad</t>
  </si>
  <si>
    <t>Hoja de cálculo: [Examen2.xlsx]Ej1</t>
  </si>
  <si>
    <t>Informe creado: 06/05/2021 12:58:38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</si>
  <si>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</si>
  <si>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</si>
  <si>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</si>
  <si>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</si>
  <si>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</si>
  <si>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</si>
  <si>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</si>
  <si>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</si>
  <si>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</si>
  <si>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</si>
  <si>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</si>
  <si>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</si>
  <si>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</si>
  <si>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</si>
  <si>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</si>
  <si>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</si>
  <si>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</si>
  <si>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$C$31</t>
  </si>
  <si>
    <t>$D$31</t>
  </si>
  <si>
    <t>$E$31</t>
  </si>
  <si>
    <t>$C$32</t>
  </si>
  <si>
    <t>R1 A</t>
  </si>
  <si>
    <t>$C$33</t>
  </si>
  <si>
    <t>R2 A</t>
  </si>
  <si>
    <t>2x + y &lt;= 1000</t>
  </si>
  <si>
    <t>x + 3y &lt;= 1800</t>
  </si>
  <si>
    <t>x &gt;= 0</t>
  </si>
  <si>
    <t>y &gt;= 0</t>
  </si>
  <si>
    <t>z= 5x + 80y</t>
  </si>
  <si>
    <t>X</t>
  </si>
  <si>
    <t>Y</t>
  </si>
  <si>
    <t>Hoja de cálculo: [Examen2.xlsx]EJ2</t>
  </si>
  <si>
    <t>Informe creado: 06/05/2021 01:03:20 p. m.</t>
  </si>
  <si>
    <t>Degradado</t>
  </si>
  <si>
    <t>Lagrange</t>
  </si>
  <si>
    <t>Multiplicador</t>
  </si>
  <si>
    <t>$F$20</t>
  </si>
  <si>
    <t>2x + y &lt;= 1000 X</t>
  </si>
  <si>
    <t>$G$20</t>
  </si>
  <si>
    <t>2x + y &lt;= 1000 Y</t>
  </si>
  <si>
    <t>$E$21</t>
  </si>
  <si>
    <t>R1 Z</t>
  </si>
  <si>
    <t>$E$22</t>
  </si>
  <si>
    <t>R2 Z</t>
  </si>
  <si>
    <t>Lím x</t>
  </si>
  <si>
    <t>media_x</t>
  </si>
  <si>
    <t>s.a.</t>
  </si>
  <si>
    <t>Lim y</t>
  </si>
  <si>
    <t>media_y</t>
  </si>
  <si>
    <t>x</t>
  </si>
  <si>
    <t>y</t>
  </si>
  <si>
    <t>sigma x</t>
  </si>
  <si>
    <t>--</t>
  </si>
  <si>
    <t>sigma y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</si>
  <si>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</si>
  <si>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</si>
  <si>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</si>
  <si>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</si>
  <si>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</si>
  <si>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</si>
  <si>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</si>
  <si>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</si>
  <si>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</si>
  <si>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r4</t>
  </si>
  <si>
    <t>Zn=f(xj)</t>
  </si>
  <si>
    <t>(Zn-Zc)/T</t>
  </si>
  <si>
    <t>Prob. Acept</t>
  </si>
  <si>
    <t>Que sea mayor a P para elegirlo</t>
  </si>
  <si>
    <t>Decisión</t>
  </si>
  <si>
    <t>Prob &gt;</t>
  </si>
  <si>
    <t>Prob</t>
  </si>
  <si>
    <t>0&lt;=x&lt;=1800</t>
  </si>
  <si>
    <t>0&lt;=y&lt;=1000</t>
  </si>
  <si>
    <t>0&lt;=c&lt;=18010</t>
  </si>
  <si>
    <t>1&lt;=r1&lt;=infinito</t>
  </si>
  <si>
    <t>0=r2&lt;=-0.5</t>
  </si>
  <si>
    <t>x=</t>
  </si>
  <si>
    <t>y=</t>
  </si>
  <si>
    <t>z=</t>
  </si>
  <si>
    <t>VARIABLES</t>
  </si>
  <si>
    <t>X= clara</t>
  </si>
  <si>
    <t>Y  =  oscura</t>
  </si>
  <si>
    <t>Clara</t>
  </si>
  <si>
    <t>Oscura</t>
  </si>
  <si>
    <t>Cebada</t>
  </si>
  <si>
    <t>Embotellado</t>
  </si>
  <si>
    <t>Mercado</t>
  </si>
  <si>
    <t>Maximizar</t>
  </si>
  <si>
    <t>***</t>
  </si>
  <si>
    <t>limites</t>
  </si>
  <si>
    <t>0&lt;=x&lt;=4000</t>
  </si>
  <si>
    <t>0&lt;=y&lt;=6000</t>
  </si>
  <si>
    <t>x+y&lt;=6000</t>
  </si>
  <si>
    <t>x&lt;=4000</t>
  </si>
  <si>
    <t>0.1x+0.6y&lt;=2000</t>
  </si>
  <si>
    <t>Z=0.295x+0.5y</t>
  </si>
  <si>
    <t>Hoja de cálculo: [Examen2.xlsx]Ej3</t>
  </si>
  <si>
    <t>Informe creado: 06/05/2021 01:30:49 p. m.</t>
  </si>
  <si>
    <t>$D$37</t>
  </si>
  <si>
    <t>$E$37</t>
  </si>
  <si>
    <t>$D$38</t>
  </si>
  <si>
    <t>r1 X</t>
  </si>
  <si>
    <t>$D$39</t>
  </si>
  <si>
    <t>r2 X</t>
  </si>
  <si>
    <t>$D$40</t>
  </si>
  <si>
    <t>r3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</si>
</sst>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143659</xdr:colOff>
      <xdr:row>12</xdr:row>
      <xdr:rowOff>76530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D2E23-6349-4B76-9A0C-03883853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20534" cy="2362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152400</xdr:rowOff>
    </xdr:from>
    <xdr:to>
      <xdr:col>9</xdr:col>
      <xdr:colOff>180975</xdr:colOff>
      <xdr:row>16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3C8EBD-C23F-415D-97E3-644385270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2400"/>
          <a:ext cx="6791325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361950</xdr:colOff>
      <xdr:row>20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6A4BFB-CD6B-401F-98A4-EC2BB162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4847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0E96-B256-4AA6-9DAA-0B79174444ED}">
  <dimension ref="A1:K5"/>
  <sheetViews>
    <sheetView workbookViewId="0">
      <selection activeCell="G4" sqref="G4"/>
    </sheetView>
  </sheetViews>
  <sheetFormatPr baseColWidth="10" defaultRowHeight="15" x14ac:dyDescent="0.25"/>
  <sheetData>
    <row r="1" spans="1:11" x14ac:dyDescent="0.25">
      <c r="A1" t="s">
        <v>10</v>
      </c>
    </row>
    <row r="2" spans="1:11" x14ac:dyDescent="0.25">
      <c r="B2" s="6">
        <v>2</v>
      </c>
      <c r="C2" s="6">
        <v>0</v>
      </c>
      <c r="D2" s="6">
        <v>1</v>
      </c>
      <c r="E2" s="6">
        <v>4</v>
      </c>
      <c r="F2" s="6">
        <v>0</v>
      </c>
      <c r="G2" s="6">
        <v>1</v>
      </c>
      <c r="H2" s="6">
        <v>0</v>
      </c>
      <c r="I2" s="6">
        <v>9</v>
      </c>
      <c r="J2" s="6">
        <v>9</v>
      </c>
      <c r="K2" s="6">
        <v>5</v>
      </c>
    </row>
    <row r="3" spans="1:11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0</v>
      </c>
    </row>
    <row r="5" spans="1:11" x14ac:dyDescent="0.25">
      <c r="A5" t="s">
        <v>11</v>
      </c>
      <c r="B5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9268-6CF6-48DE-9EE2-7EA4448FD507}">
  <dimension ref="A15:I33"/>
  <sheetViews>
    <sheetView workbookViewId="0">
      <selection activeCell="B31" sqref="B31"/>
    </sheetView>
  </sheetViews>
  <sheetFormatPr baseColWidth="10" defaultRowHeight="15" x14ac:dyDescent="0.25"/>
  <cols>
    <col min="1" max="3" width="11.42578125" style="3"/>
    <col min="4" max="4" width="18.42578125" style="3" customWidth="1"/>
    <col min="5" max="5" width="18" style="3" customWidth="1"/>
    <col min="6" max="16384" width="11.42578125" style="3"/>
  </cols>
  <sheetData>
    <row r="15" spans="1:6" x14ac:dyDescent="0.25">
      <c r="A15" s="2"/>
      <c r="B15" s="2" t="s">
        <v>13</v>
      </c>
      <c r="C15" s="2" t="s">
        <v>14</v>
      </c>
      <c r="D15" s="2"/>
    </row>
    <row r="16" spans="1:6" x14ac:dyDescent="0.25">
      <c r="A16" s="4" t="s">
        <v>15</v>
      </c>
      <c r="B16" s="4">
        <v>1</v>
      </c>
      <c r="C16" s="4">
        <v>1.5</v>
      </c>
      <c r="D16" s="8">
        <v>200</v>
      </c>
      <c r="F16" s="1" t="s">
        <v>36</v>
      </c>
    </row>
    <row r="17" spans="1:9" x14ac:dyDescent="0.25">
      <c r="A17" s="4" t="s">
        <v>16</v>
      </c>
      <c r="B17" s="4">
        <v>2</v>
      </c>
      <c r="C17" s="4">
        <v>1</v>
      </c>
      <c r="D17" s="8">
        <v>175</v>
      </c>
      <c r="F17" s="1" t="s">
        <v>37</v>
      </c>
    </row>
    <row r="18" spans="1:9" x14ac:dyDescent="0.25">
      <c r="A18" s="2"/>
      <c r="B18" s="2" t="s">
        <v>17</v>
      </c>
      <c r="C18" s="2" t="s">
        <v>18</v>
      </c>
      <c r="D18" s="2"/>
    </row>
    <row r="20" spans="1:9" x14ac:dyDescent="0.25">
      <c r="A20" s="3" t="s">
        <v>19</v>
      </c>
    </row>
    <row r="21" spans="1:9" x14ac:dyDescent="0.25">
      <c r="A21" s="1" t="s">
        <v>20</v>
      </c>
      <c r="B21" s="1"/>
      <c r="C21" s="1"/>
      <c r="D21" s="1"/>
      <c r="F21" s="1" t="s">
        <v>31</v>
      </c>
      <c r="G21" s="1"/>
      <c r="H21" s="1"/>
      <c r="I21" s="1"/>
    </row>
    <row r="22" spans="1:9" x14ac:dyDescent="0.25">
      <c r="A22" s="1" t="s">
        <v>21</v>
      </c>
      <c r="B22" s="1"/>
      <c r="D22" s="1"/>
      <c r="F22" s="1"/>
      <c r="G22" s="1" t="s">
        <v>32</v>
      </c>
      <c r="H22" s="1"/>
      <c r="I22" s="1"/>
    </row>
    <row r="23" spans="1:9" x14ac:dyDescent="0.25">
      <c r="A23" s="1" t="s">
        <v>22</v>
      </c>
      <c r="B23" s="1"/>
      <c r="D23" s="1"/>
      <c r="F23" s="1"/>
      <c r="G23" s="1" t="s">
        <v>35</v>
      </c>
      <c r="H23" s="1"/>
      <c r="I23" s="1"/>
    </row>
    <row r="24" spans="1:9" x14ac:dyDescent="0.25">
      <c r="A24" s="1" t="s">
        <v>23</v>
      </c>
      <c r="B24" s="1" t="s">
        <v>24</v>
      </c>
      <c r="C24" s="1"/>
      <c r="D24" s="5" t="s">
        <v>25</v>
      </c>
      <c r="F24" s="1"/>
      <c r="G24" s="1" t="s">
        <v>22</v>
      </c>
      <c r="H24" s="1"/>
      <c r="I24" s="1"/>
    </row>
    <row r="25" spans="1:9" x14ac:dyDescent="0.25">
      <c r="A25" s="1" t="s">
        <v>26</v>
      </c>
      <c r="B25" s="1" t="s">
        <v>27</v>
      </c>
      <c r="C25" s="1"/>
      <c r="D25" s="5" t="s">
        <v>28</v>
      </c>
      <c r="F25" s="1"/>
      <c r="G25" s="1" t="s">
        <v>23</v>
      </c>
      <c r="H25" s="1" t="s">
        <v>33</v>
      </c>
      <c r="I25" s="1"/>
    </row>
    <row r="26" spans="1:9" ht="16.5" customHeight="1" x14ac:dyDescent="0.25">
      <c r="A26" s="1" t="s">
        <v>29</v>
      </c>
      <c r="B26" s="1" t="s">
        <v>30</v>
      </c>
      <c r="C26" s="1"/>
      <c r="D26" s="5" t="s">
        <v>30</v>
      </c>
      <c r="F26" s="1"/>
      <c r="G26" s="1" t="s">
        <v>26</v>
      </c>
      <c r="H26" s="1" t="s">
        <v>34</v>
      </c>
      <c r="I26" s="1"/>
    </row>
    <row r="27" spans="1:9" x14ac:dyDescent="0.25">
      <c r="A27" s="3" t="s">
        <v>40</v>
      </c>
      <c r="B27" s="3" t="s">
        <v>41</v>
      </c>
      <c r="G27" s="3" t="s">
        <v>38</v>
      </c>
      <c r="H27" s="3" t="s">
        <v>39</v>
      </c>
    </row>
    <row r="29" spans="1:9" x14ac:dyDescent="0.25">
      <c r="A29" s="3" t="s">
        <v>42</v>
      </c>
    </row>
    <row r="30" spans="1:9" x14ac:dyDescent="0.25">
      <c r="B30" s="3" t="s">
        <v>43</v>
      </c>
      <c r="C30" s="3" t="s">
        <v>44</v>
      </c>
      <c r="D30" s="3" t="s">
        <v>45</v>
      </c>
      <c r="E30" s="3" t="s">
        <v>46</v>
      </c>
    </row>
    <row r="31" spans="1:9" x14ac:dyDescent="0.25">
      <c r="B31" s="3">
        <f>-200*C31-175*D31+2995*E31</f>
        <v>16.638888888888889</v>
      </c>
      <c r="C31" s="3">
        <v>0</v>
      </c>
      <c r="D31" s="3">
        <v>0</v>
      </c>
      <c r="E31" s="3">
        <v>5.5555555555555558E-3</v>
      </c>
    </row>
    <row r="32" spans="1:9" x14ac:dyDescent="0.25">
      <c r="B32" s="3" t="s">
        <v>47</v>
      </c>
      <c r="C32" s="3">
        <f>-C31-2*D31+120*E31</f>
        <v>0.66666666666666674</v>
      </c>
      <c r="D32" s="3">
        <v>1</v>
      </c>
    </row>
    <row r="33" spans="2:4" x14ac:dyDescent="0.25">
      <c r="B33" s="3" t="s">
        <v>48</v>
      </c>
      <c r="C33" s="3">
        <f>-1.5*C31-D31+180*E31</f>
        <v>1</v>
      </c>
      <c r="D33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6F08-347F-4982-8D3D-43B07DD40E89}">
  <dimension ref="A1:J21"/>
  <sheetViews>
    <sheetView showGridLines="0" workbookViewId="0">
      <selection activeCell="H26" sqref="H26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2" bestFit="1" customWidth="1"/>
    <col min="5" max="5" width="12.7109375" bestFit="1" customWidth="1"/>
    <col min="6" max="6" width="12.85546875" bestFit="1" customWidth="1"/>
    <col min="7" max="7" width="12" bestFit="1" customWidth="1"/>
    <col min="8" max="8" width="10.5703125" bestFit="1" customWidth="1"/>
  </cols>
  <sheetData>
    <row r="1" spans="1:10" x14ac:dyDescent="0.25">
      <c r="A1" s="9" t="s">
        <v>49</v>
      </c>
    </row>
    <row r="2" spans="1:10" x14ac:dyDescent="0.25">
      <c r="A2" s="9" t="s">
        <v>50</v>
      </c>
    </row>
    <row r="3" spans="1:10" x14ac:dyDescent="0.25">
      <c r="A3" s="9" t="s">
        <v>51</v>
      </c>
    </row>
    <row r="6" spans="1:10" ht="15.75" thickBot="1" x14ac:dyDescent="0.3">
      <c r="A6" t="s">
        <v>52</v>
      </c>
    </row>
    <row r="7" spans="1:10" x14ac:dyDescent="0.25">
      <c r="B7" s="12"/>
      <c r="C7" s="12"/>
      <c r="D7" s="12" t="s">
        <v>55</v>
      </c>
      <c r="E7" s="12" t="s">
        <v>57</v>
      </c>
      <c r="F7" s="12" t="s">
        <v>59</v>
      </c>
      <c r="G7" s="12" t="s">
        <v>61</v>
      </c>
      <c r="H7" s="12" t="s">
        <v>61</v>
      </c>
    </row>
    <row r="8" spans="1:10" ht="15.75" thickBot="1" x14ac:dyDescent="0.3">
      <c r="B8" s="13" t="s">
        <v>53</v>
      </c>
      <c r="C8" s="13" t="s">
        <v>54</v>
      </c>
      <c r="D8" s="13" t="s">
        <v>56</v>
      </c>
      <c r="E8" s="13" t="s">
        <v>58</v>
      </c>
      <c r="F8" s="13" t="s">
        <v>60</v>
      </c>
      <c r="G8" s="13" t="s">
        <v>62</v>
      </c>
      <c r="H8" s="13" t="s">
        <v>63</v>
      </c>
    </row>
    <row r="9" spans="1:10" x14ac:dyDescent="0.25">
      <c r="B9" s="10" t="s">
        <v>69</v>
      </c>
      <c r="C9" s="10" t="s">
        <v>44</v>
      </c>
      <c r="D9" s="10">
        <v>0</v>
      </c>
      <c r="E9" s="10">
        <v>-175.04166666666666</v>
      </c>
      <c r="F9" s="10">
        <v>-200</v>
      </c>
      <c r="G9" s="10">
        <v>175.04166666666666</v>
      </c>
      <c r="H9" s="10">
        <v>1E+30</v>
      </c>
    </row>
    <row r="10" spans="1:10" x14ac:dyDescent="0.25">
      <c r="B10" s="10" t="s">
        <v>70</v>
      </c>
      <c r="C10" s="10" t="s">
        <v>45</v>
      </c>
      <c r="D10" s="10">
        <v>0</v>
      </c>
      <c r="E10" s="10">
        <v>-158.36111111111111</v>
      </c>
      <c r="F10" s="10">
        <v>-175</v>
      </c>
      <c r="G10" s="10">
        <v>158.36111111111111</v>
      </c>
      <c r="H10" s="10">
        <v>1E+30</v>
      </c>
    </row>
    <row r="11" spans="1:10" ht="15.75" thickBot="1" x14ac:dyDescent="0.3">
      <c r="B11" s="11" t="s">
        <v>71</v>
      </c>
      <c r="C11" s="11" t="s">
        <v>46</v>
      </c>
      <c r="D11" s="11">
        <v>5.5555555555555558E-3</v>
      </c>
      <c r="E11" s="11">
        <v>0</v>
      </c>
      <c r="F11" s="11">
        <v>2995</v>
      </c>
      <c r="G11" s="11">
        <v>21005</v>
      </c>
      <c r="H11" s="11">
        <v>2995</v>
      </c>
      <c r="J11" t="s">
        <v>125</v>
      </c>
    </row>
    <row r="13" spans="1:10" ht="15.75" thickBot="1" x14ac:dyDescent="0.3">
      <c r="A13" t="s">
        <v>64</v>
      </c>
    </row>
    <row r="14" spans="1:10" x14ac:dyDescent="0.25">
      <c r="B14" s="12"/>
      <c r="C14" s="12"/>
      <c r="D14" s="12" t="s">
        <v>55</v>
      </c>
      <c r="E14" s="12" t="s">
        <v>65</v>
      </c>
      <c r="F14" s="12" t="s">
        <v>67</v>
      </c>
      <c r="G14" s="12" t="s">
        <v>61</v>
      </c>
      <c r="H14" s="12" t="s">
        <v>61</v>
      </c>
    </row>
    <row r="15" spans="1:10" ht="15.75" thickBot="1" x14ac:dyDescent="0.3">
      <c r="B15" s="13" t="s">
        <v>53</v>
      </c>
      <c r="C15" s="13" t="s">
        <v>54</v>
      </c>
      <c r="D15" s="13" t="s">
        <v>56</v>
      </c>
      <c r="E15" s="13" t="s">
        <v>66</v>
      </c>
      <c r="F15" s="13" t="s">
        <v>68</v>
      </c>
      <c r="G15" s="13" t="s">
        <v>62</v>
      </c>
      <c r="H15" s="13" t="s">
        <v>63</v>
      </c>
    </row>
    <row r="16" spans="1:10" x14ac:dyDescent="0.25">
      <c r="B16" s="10" t="s">
        <v>72</v>
      </c>
      <c r="C16" s="10" t="s">
        <v>73</v>
      </c>
      <c r="D16" s="10">
        <v>1</v>
      </c>
      <c r="E16" s="10">
        <v>0</v>
      </c>
      <c r="F16" s="10">
        <v>1</v>
      </c>
      <c r="G16" s="10">
        <v>1E+30</v>
      </c>
      <c r="H16" s="10">
        <v>0</v>
      </c>
    </row>
    <row r="17" spans="2:8" ht="15.75" thickBot="1" x14ac:dyDescent="0.3">
      <c r="B17" s="11" t="s">
        <v>74</v>
      </c>
      <c r="C17" s="11" t="s">
        <v>75</v>
      </c>
      <c r="D17" s="11">
        <v>1</v>
      </c>
      <c r="E17" s="11">
        <v>16.638888888888889</v>
      </c>
      <c r="F17" s="11">
        <v>1</v>
      </c>
      <c r="G17" s="11">
        <v>0</v>
      </c>
      <c r="H17" s="11">
        <v>1</v>
      </c>
    </row>
    <row r="19" spans="2:8" x14ac:dyDescent="0.25">
      <c r="C19" t="s">
        <v>128</v>
      </c>
      <c r="D19" s="3">
        <f>E16</f>
        <v>0</v>
      </c>
      <c r="E19" t="s">
        <v>126</v>
      </c>
    </row>
    <row r="20" spans="2:8" x14ac:dyDescent="0.25">
      <c r="C20" t="s">
        <v>129</v>
      </c>
      <c r="D20" s="3">
        <f>E17</f>
        <v>16.638888888888889</v>
      </c>
      <c r="E20" t="s">
        <v>127</v>
      </c>
    </row>
    <row r="21" spans="2:8" x14ac:dyDescent="0.25">
      <c r="C21" t="s">
        <v>130</v>
      </c>
      <c r="D21" s="3">
        <f>'Ej1'!B31</f>
        <v>16.638888888888889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1B2D-3436-4485-AB5B-F4E38BE83FAC}">
  <dimension ref="A19:G23"/>
  <sheetViews>
    <sheetView workbookViewId="0">
      <selection activeCell="A19" sqref="A19"/>
    </sheetView>
  </sheetViews>
  <sheetFormatPr baseColWidth="10" defaultRowHeight="15" x14ac:dyDescent="0.25"/>
  <sheetData>
    <row r="19" spans="1:7" x14ac:dyDescent="0.25">
      <c r="A19" s="1" t="s">
        <v>80</v>
      </c>
      <c r="D19" t="s">
        <v>42</v>
      </c>
      <c r="E19" t="s">
        <v>43</v>
      </c>
      <c r="F19" t="s">
        <v>81</v>
      </c>
      <c r="G19" t="s">
        <v>82</v>
      </c>
    </row>
    <row r="20" spans="1:7" x14ac:dyDescent="0.25">
      <c r="B20" s="1" t="s">
        <v>76</v>
      </c>
      <c r="E20">
        <f>5*F20+80*G20</f>
        <v>47999.999999999993</v>
      </c>
      <c r="F20">
        <v>0</v>
      </c>
      <c r="G20">
        <v>599.99999999999989</v>
      </c>
    </row>
    <row r="21" spans="1:7" x14ac:dyDescent="0.25">
      <c r="B21" s="1" t="s">
        <v>77</v>
      </c>
      <c r="D21" t="s">
        <v>47</v>
      </c>
      <c r="E21">
        <f>2*F20+G20</f>
        <v>599.99999999999989</v>
      </c>
      <c r="F21">
        <v>1000</v>
      </c>
    </row>
    <row r="22" spans="1:7" x14ac:dyDescent="0.25">
      <c r="B22" s="1" t="s">
        <v>78</v>
      </c>
      <c r="D22" t="s">
        <v>48</v>
      </c>
      <c r="E22">
        <f>F20+3*G20</f>
        <v>1799.9999999999995</v>
      </c>
      <c r="F22">
        <v>1800</v>
      </c>
    </row>
    <row r="23" spans="1:7" x14ac:dyDescent="0.25">
      <c r="B23" s="1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F042-8AFB-4CE1-8F44-E9B1347E15F6}">
  <dimension ref="A1:E19"/>
  <sheetViews>
    <sheetView showGridLines="0" workbookViewId="0">
      <selection activeCell="E20" sqref="E20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14.28515625" bestFit="1" customWidth="1"/>
    <col min="4" max="4" width="5.7109375" bestFit="1" customWidth="1"/>
    <col min="5" max="5" width="13" bestFit="1" customWidth="1"/>
  </cols>
  <sheetData>
    <row r="1" spans="1:5" x14ac:dyDescent="0.25">
      <c r="A1" s="9" t="s">
        <v>49</v>
      </c>
    </row>
    <row r="2" spans="1:5" x14ac:dyDescent="0.25">
      <c r="A2" s="9" t="s">
        <v>83</v>
      </c>
    </row>
    <row r="3" spans="1:5" x14ac:dyDescent="0.25">
      <c r="A3" s="9" t="s">
        <v>84</v>
      </c>
    </row>
    <row r="6" spans="1:5" ht="15.75" thickBot="1" x14ac:dyDescent="0.3">
      <c r="A6" t="s">
        <v>52</v>
      </c>
    </row>
    <row r="7" spans="1:5" x14ac:dyDescent="0.25">
      <c r="B7" s="12"/>
      <c r="C7" s="12"/>
      <c r="D7" s="12" t="s">
        <v>55</v>
      </c>
      <c r="E7" s="12" t="s">
        <v>57</v>
      </c>
    </row>
    <row r="8" spans="1:5" ht="15.75" thickBot="1" x14ac:dyDescent="0.3">
      <c r="B8" s="13" t="s">
        <v>53</v>
      </c>
      <c r="C8" s="13" t="s">
        <v>54</v>
      </c>
      <c r="D8" s="13" t="s">
        <v>56</v>
      </c>
      <c r="E8" s="13" t="s">
        <v>85</v>
      </c>
    </row>
    <row r="9" spans="1:5" x14ac:dyDescent="0.25">
      <c r="B9" s="10" t="s">
        <v>88</v>
      </c>
      <c r="C9" s="10" t="s">
        <v>89</v>
      </c>
      <c r="D9" s="10">
        <v>0</v>
      </c>
      <c r="E9" s="10">
        <v>-21.666667938232418</v>
      </c>
    </row>
    <row r="10" spans="1:5" ht="15.75" thickBot="1" x14ac:dyDescent="0.3">
      <c r="B10" s="11" t="s">
        <v>90</v>
      </c>
      <c r="C10" s="11" t="s">
        <v>91</v>
      </c>
      <c r="D10" s="11">
        <v>599.99999999999989</v>
      </c>
      <c r="E10" s="11">
        <v>0</v>
      </c>
    </row>
    <row r="12" spans="1:5" ht="15.75" thickBot="1" x14ac:dyDescent="0.3">
      <c r="A12" t="s">
        <v>64</v>
      </c>
    </row>
    <row r="13" spans="1:5" x14ac:dyDescent="0.25">
      <c r="B13" s="12"/>
      <c r="C13" s="12"/>
      <c r="D13" s="12" t="s">
        <v>55</v>
      </c>
      <c r="E13" s="12" t="s">
        <v>86</v>
      </c>
    </row>
    <row r="14" spans="1:5" ht="15.75" thickBot="1" x14ac:dyDescent="0.3">
      <c r="B14" s="13" t="s">
        <v>53</v>
      </c>
      <c r="C14" s="13" t="s">
        <v>54</v>
      </c>
      <c r="D14" s="13" t="s">
        <v>56</v>
      </c>
      <c r="E14" s="13" t="s">
        <v>87</v>
      </c>
    </row>
    <row r="15" spans="1:5" x14ac:dyDescent="0.25">
      <c r="B15" s="10" t="s">
        <v>92</v>
      </c>
      <c r="C15" s="10" t="s">
        <v>93</v>
      </c>
      <c r="D15" s="10">
        <v>599.99999999999989</v>
      </c>
      <c r="E15" s="10">
        <v>0</v>
      </c>
    </row>
    <row r="16" spans="1:5" ht="15.75" thickBot="1" x14ac:dyDescent="0.3">
      <c r="B16" s="11" t="s">
        <v>94</v>
      </c>
      <c r="C16" s="11" t="s">
        <v>95</v>
      </c>
      <c r="D16" s="11">
        <v>1799.9999999999995</v>
      </c>
      <c r="E16" s="11">
        <v>26.666666666666664</v>
      </c>
    </row>
    <row r="18" spans="4:5" x14ac:dyDescent="0.25">
      <c r="D18" t="s">
        <v>128</v>
      </c>
      <c r="E18">
        <f>D15</f>
        <v>599.99999999999989</v>
      </c>
    </row>
    <row r="19" spans="4:5" x14ac:dyDescent="0.25">
      <c r="D19" t="s">
        <v>129</v>
      </c>
      <c r="E19">
        <f>D16</f>
        <v>1799.9999999999995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9867-D6F2-41F1-AF5E-6FBD7761CF15}">
  <dimension ref="A1:T48"/>
  <sheetViews>
    <sheetView workbookViewId="0">
      <selection activeCell="F8" sqref="F8"/>
    </sheetView>
  </sheetViews>
  <sheetFormatPr baseColWidth="10" defaultRowHeight="15" x14ac:dyDescent="0.25"/>
  <cols>
    <col min="1" max="1" width="12.42578125" customWidth="1"/>
    <col min="6" max="7" width="11.85546875" bestFit="1" customWidth="1"/>
    <col min="20" max="20" width="11.42578125" style="3"/>
  </cols>
  <sheetData>
    <row r="1" spans="1:20" x14ac:dyDescent="0.25">
      <c r="A1" s="1" t="s">
        <v>80</v>
      </c>
      <c r="C1" t="s">
        <v>96</v>
      </c>
      <c r="D1" t="s">
        <v>123</v>
      </c>
      <c r="E1" t="s">
        <v>97</v>
      </c>
      <c r="F1">
        <f>(1800/1-0)/2</f>
        <v>900</v>
      </c>
      <c r="H1" s="21"/>
      <c r="I1" s="22"/>
      <c r="J1" s="22"/>
      <c r="K1" s="21"/>
    </row>
    <row r="2" spans="1:20" x14ac:dyDescent="0.25">
      <c r="A2" s="14" t="s">
        <v>98</v>
      </c>
      <c r="C2" t="s">
        <v>99</v>
      </c>
      <c r="D2" t="s">
        <v>124</v>
      </c>
      <c r="E2" t="s">
        <v>100</v>
      </c>
      <c r="F2">
        <f>(1000-0)/2</f>
        <v>500</v>
      </c>
      <c r="H2" s="21"/>
      <c r="I2" s="22"/>
      <c r="J2" s="22"/>
      <c r="K2" s="21"/>
    </row>
    <row r="3" spans="1:20" x14ac:dyDescent="0.25">
      <c r="A3" s="1" t="s">
        <v>76</v>
      </c>
      <c r="B3" s="3">
        <f>1000/2</f>
        <v>500</v>
      </c>
      <c r="C3" s="3">
        <f>1000/1</f>
        <v>1000</v>
      </c>
      <c r="H3" s="21"/>
      <c r="I3" s="22"/>
      <c r="J3" s="22"/>
      <c r="K3" s="21"/>
    </row>
    <row r="4" spans="1:20" x14ac:dyDescent="0.25">
      <c r="A4" s="1" t="s">
        <v>77</v>
      </c>
      <c r="B4" s="3">
        <f>1800/1</f>
        <v>1800</v>
      </c>
      <c r="C4" s="3">
        <f>1800/3</f>
        <v>600</v>
      </c>
      <c r="E4" t="s">
        <v>103</v>
      </c>
      <c r="F4">
        <f>(1800)/6</f>
        <v>300</v>
      </c>
      <c r="H4" s="21"/>
      <c r="I4" s="22"/>
      <c r="J4" s="22"/>
      <c r="K4" s="21"/>
    </row>
    <row r="5" spans="1:20" x14ac:dyDescent="0.25">
      <c r="A5" s="1" t="s">
        <v>78</v>
      </c>
      <c r="B5" s="3">
        <v>0</v>
      </c>
      <c r="C5" s="15" t="s">
        <v>104</v>
      </c>
      <c r="E5" t="s">
        <v>105</v>
      </c>
      <c r="F5">
        <f>1000/6</f>
        <v>166.66666666666666</v>
      </c>
      <c r="H5" s="21"/>
      <c r="I5" s="21"/>
      <c r="J5" s="21"/>
      <c r="K5" s="21"/>
    </row>
    <row r="6" spans="1:20" x14ac:dyDescent="0.25">
      <c r="A6" s="1" t="s">
        <v>79</v>
      </c>
      <c r="B6" s="15" t="s">
        <v>104</v>
      </c>
      <c r="C6" s="3">
        <v>0</v>
      </c>
    </row>
    <row r="7" spans="1:20" ht="60" x14ac:dyDescent="0.25">
      <c r="A7" s="16" t="s">
        <v>106</v>
      </c>
      <c r="B7" s="16" t="s">
        <v>107</v>
      </c>
      <c r="C7" s="16" t="s">
        <v>108</v>
      </c>
      <c r="D7" s="16" t="s">
        <v>109</v>
      </c>
      <c r="E7" s="16" t="s">
        <v>110</v>
      </c>
      <c r="F7" s="16" t="s">
        <v>111</v>
      </c>
      <c r="G7" s="16" t="s">
        <v>112</v>
      </c>
      <c r="H7" s="16" t="s">
        <v>113</v>
      </c>
      <c r="I7" s="16" t="s">
        <v>114</v>
      </c>
      <c r="J7" s="16" t="s">
        <v>101</v>
      </c>
      <c r="K7" s="16" t="s">
        <v>102</v>
      </c>
      <c r="L7" s="16" t="s">
        <v>23</v>
      </c>
      <c r="M7" s="16" t="s">
        <v>26</v>
      </c>
      <c r="N7" s="16" t="s">
        <v>29</v>
      </c>
      <c r="O7" s="16" t="s">
        <v>115</v>
      </c>
      <c r="P7" s="16" t="s">
        <v>116</v>
      </c>
      <c r="Q7" s="16" t="s">
        <v>117</v>
      </c>
      <c r="R7" s="16" t="s">
        <v>118</v>
      </c>
      <c r="S7" s="16" t="s">
        <v>119</v>
      </c>
      <c r="T7" s="16" t="s">
        <v>120</v>
      </c>
    </row>
    <row r="8" spans="1:20" x14ac:dyDescent="0.25">
      <c r="A8" s="17">
        <v>0</v>
      </c>
      <c r="B8" s="18"/>
      <c r="C8" s="18">
        <f>F1</f>
        <v>900</v>
      </c>
      <c r="D8" s="18">
        <f>F2</f>
        <v>500</v>
      </c>
      <c r="E8" s="19">
        <f>2*C8+D8</f>
        <v>2300</v>
      </c>
      <c r="F8" s="19"/>
      <c r="G8" s="19"/>
      <c r="H8" s="19" t="e">
        <f>_xlfn.NORM.INV(F8,0,F$4)</f>
        <v>#NUM!</v>
      </c>
      <c r="I8" s="19" t="e">
        <f>_xlfn.NORM.INV(G8,0,F$5)</f>
        <v>#NUM!</v>
      </c>
      <c r="J8" s="18" t="e">
        <f>C8+H8</f>
        <v>#NUM!</v>
      </c>
      <c r="K8" s="19" t="e">
        <f>D8+I8</f>
        <v>#NUM!</v>
      </c>
      <c r="L8" s="19" t="e">
        <f>IF((3*J8+5*K8)&lt;=100,1,0)</f>
        <v>#NUM!</v>
      </c>
      <c r="M8" s="19" t="e">
        <f>IF((2*J8+3*K8)&lt;=75,1,0)</f>
        <v>#NUM!</v>
      </c>
      <c r="N8" s="19" t="e">
        <f>IF(J8&gt;0,1,0)</f>
        <v>#NUM!</v>
      </c>
      <c r="O8" s="19" t="e">
        <f>IF(K8&gt;0,1,0)</f>
        <v>#NUM!</v>
      </c>
      <c r="P8" s="19" t="e">
        <f t="shared" ref="P8:P33" si="0">IF((L8*M8*N8*O8)=1,2*J8+K8,"X")</f>
        <v>#NUM!</v>
      </c>
      <c r="Q8" s="18" t="e">
        <f t="shared" ref="Q8" si="1">(P8-E8)/(0.2*E8)</f>
        <v>#NUM!</v>
      </c>
      <c r="R8" s="19" t="e">
        <f>EXP(Q8)</f>
        <v>#NUM!</v>
      </c>
      <c r="T8" s="3" t="e">
        <f>IF(R8&gt;0,"ACEPTAR","X")</f>
        <v>#NUM!</v>
      </c>
    </row>
    <row r="9" spans="1:20" x14ac:dyDescent="0.25">
      <c r="A9" s="20">
        <f>A8+1</f>
        <v>1</v>
      </c>
      <c r="B9" s="20">
        <f>0.2*E8</f>
        <v>460</v>
      </c>
      <c r="C9" s="20"/>
      <c r="D9" s="20"/>
      <c r="E9" s="19">
        <f t="shared" ref="E9:E33" si="2">2*C9+D9</f>
        <v>0</v>
      </c>
      <c r="F9" s="19"/>
      <c r="G9" s="19"/>
      <c r="H9" s="19" t="e">
        <f t="shared" ref="H9:H33" si="3">_xlfn.NORM.INV(F9,0,F$4)</f>
        <v>#NUM!</v>
      </c>
      <c r="I9" s="19" t="e">
        <f t="shared" ref="I9:I33" si="4">_xlfn.NORM.INV(G9,0,F$5)</f>
        <v>#NUM!</v>
      </c>
      <c r="J9" s="20" t="e">
        <f t="shared" ref="J9:K24" si="5">C9+H9</f>
        <v>#NUM!</v>
      </c>
      <c r="K9" s="20" t="e">
        <f t="shared" si="5"/>
        <v>#NUM!</v>
      </c>
      <c r="L9" s="19" t="e">
        <f t="shared" ref="L9:L33" si="6">IF((3*J9+5*K9)&lt;=100,1,0)</f>
        <v>#NUM!</v>
      </c>
      <c r="M9" s="19" t="e">
        <f t="shared" ref="M9:M33" si="7">IF((2*J9+3*K9)&lt;=75,1,0)</f>
        <v>#NUM!</v>
      </c>
      <c r="N9" s="19" t="e">
        <f t="shared" ref="N9:O33" si="8">IF(J9&gt;0,1,0)</f>
        <v>#NUM!</v>
      </c>
      <c r="O9" s="19" t="e">
        <f t="shared" si="8"/>
        <v>#NUM!</v>
      </c>
      <c r="P9" s="19" t="e">
        <f t="shared" si="0"/>
        <v>#NUM!</v>
      </c>
      <c r="Q9" s="19" t="e">
        <f>(P9-E9)/B9</f>
        <v>#NUM!</v>
      </c>
      <c r="R9" s="20" t="e">
        <f t="shared" ref="R9:R33" si="9">EXP(Q9)</f>
        <v>#NUM!</v>
      </c>
      <c r="S9" t="s">
        <v>121</v>
      </c>
      <c r="T9" s="3" t="e">
        <f>IF(R9&gt;S$10,"ACEPTAR","X")</f>
        <v>#NUM!</v>
      </c>
    </row>
    <row r="10" spans="1:20" x14ac:dyDescent="0.25">
      <c r="A10" s="20">
        <v>2</v>
      </c>
      <c r="B10" s="20">
        <f>B9</f>
        <v>460</v>
      </c>
      <c r="C10" s="20">
        <f t="shared" ref="C10:D13" si="10">C9</f>
        <v>0</v>
      </c>
      <c r="D10" s="20">
        <f t="shared" si="10"/>
        <v>0</v>
      </c>
      <c r="E10" s="19">
        <f t="shared" si="2"/>
        <v>0</v>
      </c>
      <c r="F10" s="19"/>
      <c r="G10" s="19"/>
      <c r="H10" s="19" t="e">
        <f t="shared" si="3"/>
        <v>#NUM!</v>
      </c>
      <c r="I10" s="19" t="e">
        <f t="shared" si="4"/>
        <v>#NUM!</v>
      </c>
      <c r="J10" s="20" t="e">
        <f t="shared" si="5"/>
        <v>#NUM!</v>
      </c>
      <c r="K10" s="20" t="e">
        <f t="shared" si="5"/>
        <v>#NUM!</v>
      </c>
      <c r="L10" s="19" t="e">
        <f t="shared" si="6"/>
        <v>#NUM!</v>
      </c>
      <c r="M10" s="19" t="e">
        <f t="shared" si="7"/>
        <v>#NUM!</v>
      </c>
      <c r="N10" s="19" t="e">
        <f t="shared" si="8"/>
        <v>#NUM!</v>
      </c>
      <c r="O10" s="19" t="e">
        <f t="shared" si="8"/>
        <v>#NUM!</v>
      </c>
      <c r="P10" s="19" t="e">
        <f t="shared" si="0"/>
        <v>#NUM!</v>
      </c>
      <c r="Q10" s="19" t="e">
        <f t="shared" ref="Q10:Q33" si="11">(P10-E10)/B10</f>
        <v>#NUM!</v>
      </c>
      <c r="R10" s="20" t="e">
        <f t="shared" si="9"/>
        <v>#NUM!</v>
      </c>
      <c r="S10" t="e">
        <f>MAX(R8)</f>
        <v>#NUM!</v>
      </c>
      <c r="T10" s="3" t="e">
        <f t="shared" ref="T10:T13" si="12">IF(R10&gt;S$10,"ACEPTAR","X")</f>
        <v>#NUM!</v>
      </c>
    </row>
    <row r="11" spans="1:20" x14ac:dyDescent="0.25">
      <c r="A11" s="20">
        <v>3</v>
      </c>
      <c r="B11" s="20">
        <f t="shared" ref="B11:B13" si="13">B10</f>
        <v>460</v>
      </c>
      <c r="C11" s="20">
        <f t="shared" si="10"/>
        <v>0</v>
      </c>
      <c r="D11" s="20">
        <f t="shared" si="10"/>
        <v>0</v>
      </c>
      <c r="E11" s="19">
        <f t="shared" si="2"/>
        <v>0</v>
      </c>
      <c r="F11" s="19"/>
      <c r="G11" s="19"/>
      <c r="H11" s="19" t="e">
        <f t="shared" si="3"/>
        <v>#NUM!</v>
      </c>
      <c r="I11" s="19" t="e">
        <f t="shared" si="4"/>
        <v>#NUM!</v>
      </c>
      <c r="J11" s="20" t="e">
        <f t="shared" si="5"/>
        <v>#NUM!</v>
      </c>
      <c r="K11" s="20" t="e">
        <f t="shared" si="5"/>
        <v>#NUM!</v>
      </c>
      <c r="L11" s="19" t="e">
        <f t="shared" si="6"/>
        <v>#NUM!</v>
      </c>
      <c r="M11" s="19" t="e">
        <f t="shared" si="7"/>
        <v>#NUM!</v>
      </c>
      <c r="N11" s="19" t="e">
        <f t="shared" si="8"/>
        <v>#NUM!</v>
      </c>
      <c r="O11" s="19" t="e">
        <f t="shared" si="8"/>
        <v>#NUM!</v>
      </c>
      <c r="P11" s="19" t="e">
        <f t="shared" si="0"/>
        <v>#NUM!</v>
      </c>
      <c r="Q11" s="19" t="e">
        <f t="shared" si="11"/>
        <v>#NUM!</v>
      </c>
      <c r="R11" s="20" t="e">
        <f t="shared" si="9"/>
        <v>#NUM!</v>
      </c>
      <c r="T11" s="3" t="e">
        <f t="shared" si="12"/>
        <v>#NUM!</v>
      </c>
    </row>
    <row r="12" spans="1:20" x14ac:dyDescent="0.25">
      <c r="A12" s="20">
        <v>4</v>
      </c>
      <c r="B12" s="20">
        <f t="shared" si="13"/>
        <v>460</v>
      </c>
      <c r="C12" s="20">
        <f t="shared" si="10"/>
        <v>0</v>
      </c>
      <c r="D12" s="20">
        <f t="shared" si="10"/>
        <v>0</v>
      </c>
      <c r="E12" s="19">
        <f t="shared" si="2"/>
        <v>0</v>
      </c>
      <c r="F12" s="19"/>
      <c r="G12" s="19"/>
      <c r="H12" s="19" t="e">
        <f t="shared" si="3"/>
        <v>#NUM!</v>
      </c>
      <c r="I12" s="19" t="e">
        <f t="shared" si="4"/>
        <v>#NUM!</v>
      </c>
      <c r="J12" s="20" t="e">
        <f t="shared" si="5"/>
        <v>#NUM!</v>
      </c>
      <c r="K12" s="20" t="e">
        <f t="shared" si="5"/>
        <v>#NUM!</v>
      </c>
      <c r="L12" s="19" t="e">
        <f t="shared" si="6"/>
        <v>#NUM!</v>
      </c>
      <c r="M12" s="19" t="e">
        <f t="shared" si="7"/>
        <v>#NUM!</v>
      </c>
      <c r="N12" s="19" t="e">
        <f t="shared" si="8"/>
        <v>#NUM!</v>
      </c>
      <c r="O12" s="19" t="e">
        <f t="shared" si="8"/>
        <v>#NUM!</v>
      </c>
      <c r="P12" s="19" t="e">
        <f t="shared" si="0"/>
        <v>#NUM!</v>
      </c>
      <c r="Q12" s="19" t="e">
        <f t="shared" si="11"/>
        <v>#NUM!</v>
      </c>
      <c r="R12" s="20" t="e">
        <f t="shared" si="9"/>
        <v>#NUM!</v>
      </c>
      <c r="T12" s="3" t="e">
        <f t="shared" si="12"/>
        <v>#NUM!</v>
      </c>
    </row>
    <row r="13" spans="1:20" x14ac:dyDescent="0.25">
      <c r="A13" s="20">
        <v>5</v>
      </c>
      <c r="B13" s="20">
        <f t="shared" si="13"/>
        <v>460</v>
      </c>
      <c r="C13" s="20">
        <f t="shared" si="10"/>
        <v>0</v>
      </c>
      <c r="D13" s="20">
        <f t="shared" si="10"/>
        <v>0</v>
      </c>
      <c r="E13" s="19">
        <f t="shared" si="2"/>
        <v>0</v>
      </c>
      <c r="F13" s="19"/>
      <c r="G13" s="19"/>
      <c r="H13" s="19" t="e">
        <f t="shared" si="3"/>
        <v>#NUM!</v>
      </c>
      <c r="I13" s="19" t="e">
        <f t="shared" si="4"/>
        <v>#NUM!</v>
      </c>
      <c r="J13" s="20" t="e">
        <f t="shared" si="5"/>
        <v>#NUM!</v>
      </c>
      <c r="K13" s="20" t="e">
        <f t="shared" si="5"/>
        <v>#NUM!</v>
      </c>
      <c r="L13" s="19" t="e">
        <f t="shared" si="6"/>
        <v>#NUM!</v>
      </c>
      <c r="M13" s="19" t="e">
        <f t="shared" si="7"/>
        <v>#NUM!</v>
      </c>
      <c r="N13" s="19" t="e">
        <f t="shared" si="8"/>
        <v>#NUM!</v>
      </c>
      <c r="O13" s="19" t="e">
        <f t="shared" si="8"/>
        <v>#NUM!</v>
      </c>
      <c r="P13" s="19" t="e">
        <f t="shared" si="0"/>
        <v>#NUM!</v>
      </c>
      <c r="Q13" s="19" t="e">
        <f t="shared" si="11"/>
        <v>#NUM!</v>
      </c>
      <c r="R13" s="20" t="e">
        <f t="shared" si="9"/>
        <v>#NUM!</v>
      </c>
      <c r="T13" s="3" t="e">
        <f t="shared" si="12"/>
        <v>#NUM!</v>
      </c>
    </row>
    <row r="14" spans="1:20" x14ac:dyDescent="0.25">
      <c r="A14" s="19">
        <v>6</v>
      </c>
      <c r="B14" s="19">
        <f>0.5*B13</f>
        <v>230</v>
      </c>
      <c r="C14" s="19"/>
      <c r="D14" s="19"/>
      <c r="E14" s="19">
        <f t="shared" si="2"/>
        <v>0</v>
      </c>
      <c r="F14" s="19"/>
      <c r="G14" s="19"/>
      <c r="H14" s="19" t="e">
        <f t="shared" si="3"/>
        <v>#NUM!</v>
      </c>
      <c r="I14" s="19" t="e">
        <f t="shared" si="4"/>
        <v>#NUM!</v>
      </c>
      <c r="J14" s="19" t="e">
        <f t="shared" si="5"/>
        <v>#NUM!</v>
      </c>
      <c r="K14" s="19" t="e">
        <f t="shared" si="5"/>
        <v>#NUM!</v>
      </c>
      <c r="L14" s="19" t="e">
        <f t="shared" si="6"/>
        <v>#NUM!</v>
      </c>
      <c r="M14" s="19" t="e">
        <f t="shared" si="7"/>
        <v>#NUM!</v>
      </c>
      <c r="N14" s="19" t="e">
        <f t="shared" si="8"/>
        <v>#NUM!</v>
      </c>
      <c r="O14" s="19" t="e">
        <f t="shared" si="8"/>
        <v>#NUM!</v>
      </c>
      <c r="P14" s="19" t="e">
        <f t="shared" si="0"/>
        <v>#NUM!</v>
      </c>
      <c r="Q14" s="19" t="e">
        <f t="shared" si="11"/>
        <v>#NUM!</v>
      </c>
      <c r="R14" s="19" t="e">
        <f t="shared" si="9"/>
        <v>#NUM!</v>
      </c>
      <c r="S14" t="s">
        <v>121</v>
      </c>
      <c r="T14" s="3" t="e">
        <f>IF(R14&gt;S$15,"ACEPTAR","X")</f>
        <v>#NUM!</v>
      </c>
    </row>
    <row r="15" spans="1:20" x14ac:dyDescent="0.25">
      <c r="A15" s="19">
        <v>7</v>
      </c>
      <c r="B15" s="19">
        <f>B14</f>
        <v>230</v>
      </c>
      <c r="C15" s="19">
        <f>C14</f>
        <v>0</v>
      </c>
      <c r="D15" s="19">
        <f>D14</f>
        <v>0</v>
      </c>
      <c r="E15" s="19">
        <f t="shared" si="2"/>
        <v>0</v>
      </c>
      <c r="F15" s="19"/>
      <c r="G15" s="19"/>
      <c r="H15" s="19" t="e">
        <f t="shared" si="3"/>
        <v>#NUM!</v>
      </c>
      <c r="I15" s="19" t="e">
        <f t="shared" si="4"/>
        <v>#NUM!</v>
      </c>
      <c r="J15" s="19" t="e">
        <f t="shared" si="5"/>
        <v>#NUM!</v>
      </c>
      <c r="K15" s="19" t="e">
        <f t="shared" si="5"/>
        <v>#NUM!</v>
      </c>
      <c r="L15" s="19" t="e">
        <f t="shared" si="6"/>
        <v>#NUM!</v>
      </c>
      <c r="M15" s="19" t="e">
        <f t="shared" si="7"/>
        <v>#NUM!</v>
      </c>
      <c r="N15" s="19" t="e">
        <f t="shared" si="8"/>
        <v>#NUM!</v>
      </c>
      <c r="O15" s="19" t="e">
        <f t="shared" si="8"/>
        <v>#NUM!</v>
      </c>
      <c r="P15" s="19" t="e">
        <f t="shared" si="0"/>
        <v>#NUM!</v>
      </c>
      <c r="Q15" s="19" t="e">
        <f t="shared" si="11"/>
        <v>#NUM!</v>
      </c>
      <c r="R15" s="19" t="e">
        <f t="shared" si="9"/>
        <v>#NUM!</v>
      </c>
      <c r="S15" t="e">
        <f>MAX(R9:R13)</f>
        <v>#NUM!</v>
      </c>
      <c r="T15" s="3" t="e">
        <f t="shared" ref="T15:T18" si="14">IF(R15&gt;S$15,"ACEPTAR","X")</f>
        <v>#NUM!</v>
      </c>
    </row>
    <row r="16" spans="1:20" x14ac:dyDescent="0.25">
      <c r="A16" s="19">
        <v>8</v>
      </c>
      <c r="B16" s="19">
        <f t="shared" ref="B16:D18" si="15">B15</f>
        <v>230</v>
      </c>
      <c r="C16" s="19">
        <f t="shared" si="15"/>
        <v>0</v>
      </c>
      <c r="D16" s="19">
        <f t="shared" si="15"/>
        <v>0</v>
      </c>
      <c r="E16" s="19">
        <f t="shared" si="2"/>
        <v>0</v>
      </c>
      <c r="F16" s="19"/>
      <c r="G16" s="19"/>
      <c r="H16" s="19" t="e">
        <f t="shared" si="3"/>
        <v>#NUM!</v>
      </c>
      <c r="I16" s="19" t="e">
        <f t="shared" si="4"/>
        <v>#NUM!</v>
      </c>
      <c r="J16" s="19" t="e">
        <f t="shared" si="5"/>
        <v>#NUM!</v>
      </c>
      <c r="K16" s="19" t="e">
        <f t="shared" si="5"/>
        <v>#NUM!</v>
      </c>
      <c r="L16" s="19" t="e">
        <f t="shared" si="6"/>
        <v>#NUM!</v>
      </c>
      <c r="M16" s="19" t="e">
        <f t="shared" si="7"/>
        <v>#NUM!</v>
      </c>
      <c r="N16" s="19" t="e">
        <f t="shared" si="8"/>
        <v>#NUM!</v>
      </c>
      <c r="O16" s="19" t="e">
        <f t="shared" si="8"/>
        <v>#NUM!</v>
      </c>
      <c r="P16" s="19" t="e">
        <f t="shared" si="0"/>
        <v>#NUM!</v>
      </c>
      <c r="Q16" s="19" t="e">
        <f t="shared" si="11"/>
        <v>#NUM!</v>
      </c>
      <c r="R16" s="19" t="e">
        <f t="shared" si="9"/>
        <v>#NUM!</v>
      </c>
      <c r="T16" s="3" t="e">
        <f t="shared" si="14"/>
        <v>#NUM!</v>
      </c>
    </row>
    <row r="17" spans="1:20" x14ac:dyDescent="0.25">
      <c r="A17" s="19">
        <v>9</v>
      </c>
      <c r="B17" s="19">
        <f t="shared" si="15"/>
        <v>230</v>
      </c>
      <c r="C17" s="19">
        <f t="shared" si="15"/>
        <v>0</v>
      </c>
      <c r="D17" s="19">
        <f t="shared" si="15"/>
        <v>0</v>
      </c>
      <c r="E17" s="19">
        <f t="shared" si="2"/>
        <v>0</v>
      </c>
      <c r="F17" s="19"/>
      <c r="G17" s="19"/>
      <c r="H17" s="19" t="e">
        <f t="shared" si="3"/>
        <v>#NUM!</v>
      </c>
      <c r="I17" s="19" t="e">
        <f t="shared" si="4"/>
        <v>#NUM!</v>
      </c>
      <c r="J17" s="19" t="e">
        <f t="shared" si="5"/>
        <v>#NUM!</v>
      </c>
      <c r="K17" s="19" t="e">
        <f t="shared" si="5"/>
        <v>#NUM!</v>
      </c>
      <c r="L17" s="19" t="e">
        <f t="shared" si="6"/>
        <v>#NUM!</v>
      </c>
      <c r="M17" s="19" t="e">
        <f t="shared" si="7"/>
        <v>#NUM!</v>
      </c>
      <c r="N17" s="19" t="e">
        <f t="shared" si="8"/>
        <v>#NUM!</v>
      </c>
      <c r="O17" s="19" t="e">
        <f t="shared" si="8"/>
        <v>#NUM!</v>
      </c>
      <c r="P17" s="19" t="e">
        <f t="shared" si="0"/>
        <v>#NUM!</v>
      </c>
      <c r="Q17" s="19" t="e">
        <f t="shared" si="11"/>
        <v>#NUM!</v>
      </c>
      <c r="R17" s="19" t="e">
        <f t="shared" si="9"/>
        <v>#NUM!</v>
      </c>
      <c r="T17" s="3" t="e">
        <f t="shared" si="14"/>
        <v>#NUM!</v>
      </c>
    </row>
    <row r="18" spans="1:20" x14ac:dyDescent="0.25">
      <c r="A18" s="19">
        <v>10</v>
      </c>
      <c r="B18" s="19">
        <f t="shared" si="15"/>
        <v>230</v>
      </c>
      <c r="C18" s="19">
        <f t="shared" si="15"/>
        <v>0</v>
      </c>
      <c r="D18" s="19">
        <f t="shared" si="15"/>
        <v>0</v>
      </c>
      <c r="E18" s="19">
        <f t="shared" si="2"/>
        <v>0</v>
      </c>
      <c r="F18" s="19"/>
      <c r="G18" s="19"/>
      <c r="H18" s="19" t="e">
        <f t="shared" si="3"/>
        <v>#NUM!</v>
      </c>
      <c r="I18" s="19" t="e">
        <f t="shared" si="4"/>
        <v>#NUM!</v>
      </c>
      <c r="J18" s="19" t="e">
        <f t="shared" si="5"/>
        <v>#NUM!</v>
      </c>
      <c r="K18" s="19" t="e">
        <f t="shared" si="5"/>
        <v>#NUM!</v>
      </c>
      <c r="L18" s="19" t="e">
        <f t="shared" si="6"/>
        <v>#NUM!</v>
      </c>
      <c r="M18" s="19" t="e">
        <f t="shared" si="7"/>
        <v>#NUM!</v>
      </c>
      <c r="N18" s="19" t="e">
        <f t="shared" si="8"/>
        <v>#NUM!</v>
      </c>
      <c r="O18" s="19" t="e">
        <f t="shared" si="8"/>
        <v>#NUM!</v>
      </c>
      <c r="P18" s="19" t="e">
        <f t="shared" si="0"/>
        <v>#NUM!</v>
      </c>
      <c r="Q18" s="19" t="e">
        <f t="shared" si="11"/>
        <v>#NUM!</v>
      </c>
      <c r="R18" s="19" t="e">
        <f t="shared" si="9"/>
        <v>#NUM!</v>
      </c>
      <c r="T18" s="3" t="e">
        <f t="shared" si="14"/>
        <v>#NUM!</v>
      </c>
    </row>
    <row r="19" spans="1:20" x14ac:dyDescent="0.25">
      <c r="A19" s="20">
        <v>11</v>
      </c>
      <c r="B19" s="20">
        <f>B18*0.5</f>
        <v>115</v>
      </c>
      <c r="C19" s="20"/>
      <c r="D19" s="20"/>
      <c r="E19" s="19">
        <f t="shared" si="2"/>
        <v>0</v>
      </c>
      <c r="F19" s="19"/>
      <c r="G19" s="19"/>
      <c r="H19" s="19" t="e">
        <f t="shared" si="3"/>
        <v>#NUM!</v>
      </c>
      <c r="I19" s="19" t="e">
        <f t="shared" si="4"/>
        <v>#NUM!</v>
      </c>
      <c r="J19" s="20" t="e">
        <f t="shared" si="5"/>
        <v>#NUM!</v>
      </c>
      <c r="K19" s="20" t="e">
        <f t="shared" si="5"/>
        <v>#NUM!</v>
      </c>
      <c r="L19" s="19" t="e">
        <f t="shared" si="6"/>
        <v>#NUM!</v>
      </c>
      <c r="M19" s="19" t="e">
        <f t="shared" si="7"/>
        <v>#NUM!</v>
      </c>
      <c r="N19" s="19" t="e">
        <f t="shared" si="8"/>
        <v>#NUM!</v>
      </c>
      <c r="O19" s="19" t="e">
        <f t="shared" si="8"/>
        <v>#NUM!</v>
      </c>
      <c r="P19" s="19" t="e">
        <f t="shared" si="0"/>
        <v>#NUM!</v>
      </c>
      <c r="Q19" s="19" t="e">
        <f t="shared" si="11"/>
        <v>#NUM!</v>
      </c>
      <c r="R19" s="20" t="e">
        <f t="shared" si="9"/>
        <v>#NUM!</v>
      </c>
      <c r="S19" t="s">
        <v>121</v>
      </c>
      <c r="T19" s="3" t="e">
        <f>IF(R19&gt;S$20,"ACEPTAR","X")</f>
        <v>#NUM!</v>
      </c>
    </row>
    <row r="20" spans="1:20" x14ac:dyDescent="0.25">
      <c r="A20" s="20">
        <v>12</v>
      </c>
      <c r="B20" s="20">
        <f>B19</f>
        <v>115</v>
      </c>
      <c r="C20" s="20">
        <f t="shared" ref="C20:D23" si="16">C19</f>
        <v>0</v>
      </c>
      <c r="D20" s="20">
        <f t="shared" si="16"/>
        <v>0</v>
      </c>
      <c r="E20" s="19">
        <f t="shared" si="2"/>
        <v>0</v>
      </c>
      <c r="F20" s="19"/>
      <c r="G20" s="19"/>
      <c r="H20" s="19" t="e">
        <f t="shared" si="3"/>
        <v>#NUM!</v>
      </c>
      <c r="I20" s="19" t="e">
        <f t="shared" si="4"/>
        <v>#NUM!</v>
      </c>
      <c r="J20" s="20" t="e">
        <f t="shared" si="5"/>
        <v>#NUM!</v>
      </c>
      <c r="K20" s="20" t="e">
        <f t="shared" si="5"/>
        <v>#NUM!</v>
      </c>
      <c r="L20" s="19" t="e">
        <f t="shared" si="6"/>
        <v>#NUM!</v>
      </c>
      <c r="M20" s="19" t="e">
        <f t="shared" si="7"/>
        <v>#NUM!</v>
      </c>
      <c r="N20" s="19" t="e">
        <f t="shared" si="8"/>
        <v>#NUM!</v>
      </c>
      <c r="O20" s="19" t="e">
        <f t="shared" si="8"/>
        <v>#NUM!</v>
      </c>
      <c r="P20" s="19" t="e">
        <f t="shared" si="0"/>
        <v>#NUM!</v>
      </c>
      <c r="Q20" s="19" t="e">
        <f t="shared" si="11"/>
        <v>#NUM!</v>
      </c>
      <c r="R20" s="20" t="e">
        <f t="shared" si="9"/>
        <v>#NUM!</v>
      </c>
      <c r="S20" t="e">
        <f>MAX(R14:R18)</f>
        <v>#NUM!</v>
      </c>
      <c r="T20" s="3" t="e">
        <f t="shared" ref="T20:T23" si="17">IF(R20&gt;S$20,"ACEPTAR","X")</f>
        <v>#NUM!</v>
      </c>
    </row>
    <row r="21" spans="1:20" x14ac:dyDescent="0.25">
      <c r="A21" s="20">
        <v>13</v>
      </c>
      <c r="B21" s="20">
        <f t="shared" ref="B21:B23" si="18">B20</f>
        <v>115</v>
      </c>
      <c r="C21" s="20">
        <f t="shared" si="16"/>
        <v>0</v>
      </c>
      <c r="D21" s="20">
        <f t="shared" si="16"/>
        <v>0</v>
      </c>
      <c r="E21" s="19">
        <f t="shared" si="2"/>
        <v>0</v>
      </c>
      <c r="F21" s="19"/>
      <c r="G21" s="19"/>
      <c r="H21" s="19" t="e">
        <f t="shared" si="3"/>
        <v>#NUM!</v>
      </c>
      <c r="I21" s="19" t="e">
        <f t="shared" si="4"/>
        <v>#NUM!</v>
      </c>
      <c r="J21" s="20" t="e">
        <f t="shared" si="5"/>
        <v>#NUM!</v>
      </c>
      <c r="K21" s="20" t="e">
        <f t="shared" si="5"/>
        <v>#NUM!</v>
      </c>
      <c r="L21" s="19" t="e">
        <f t="shared" si="6"/>
        <v>#NUM!</v>
      </c>
      <c r="M21" s="19" t="e">
        <f t="shared" si="7"/>
        <v>#NUM!</v>
      </c>
      <c r="N21" s="19" t="e">
        <f t="shared" si="8"/>
        <v>#NUM!</v>
      </c>
      <c r="O21" s="19" t="e">
        <f t="shared" si="8"/>
        <v>#NUM!</v>
      </c>
      <c r="P21" s="19" t="e">
        <f t="shared" si="0"/>
        <v>#NUM!</v>
      </c>
      <c r="Q21" s="19" t="e">
        <f t="shared" si="11"/>
        <v>#NUM!</v>
      </c>
      <c r="R21" s="20" t="e">
        <f t="shared" si="9"/>
        <v>#NUM!</v>
      </c>
      <c r="T21" s="3" t="e">
        <f t="shared" si="17"/>
        <v>#NUM!</v>
      </c>
    </row>
    <row r="22" spans="1:20" x14ac:dyDescent="0.25">
      <c r="A22" s="20">
        <v>14</v>
      </c>
      <c r="B22" s="20">
        <f t="shared" si="18"/>
        <v>115</v>
      </c>
      <c r="C22" s="20">
        <f t="shared" si="16"/>
        <v>0</v>
      </c>
      <c r="D22" s="20">
        <f t="shared" si="16"/>
        <v>0</v>
      </c>
      <c r="E22" s="19">
        <f t="shared" si="2"/>
        <v>0</v>
      </c>
      <c r="F22" s="19"/>
      <c r="G22" s="19"/>
      <c r="H22" s="19" t="e">
        <f t="shared" si="3"/>
        <v>#NUM!</v>
      </c>
      <c r="I22" s="19" t="e">
        <f t="shared" si="4"/>
        <v>#NUM!</v>
      </c>
      <c r="J22" s="20" t="e">
        <f t="shared" si="5"/>
        <v>#NUM!</v>
      </c>
      <c r="K22" s="20" t="e">
        <f t="shared" si="5"/>
        <v>#NUM!</v>
      </c>
      <c r="L22" s="19" t="e">
        <f t="shared" si="6"/>
        <v>#NUM!</v>
      </c>
      <c r="M22" s="19" t="e">
        <f t="shared" si="7"/>
        <v>#NUM!</v>
      </c>
      <c r="N22" s="19" t="e">
        <f t="shared" si="8"/>
        <v>#NUM!</v>
      </c>
      <c r="O22" s="19" t="e">
        <f t="shared" si="8"/>
        <v>#NUM!</v>
      </c>
      <c r="P22" s="19" t="e">
        <f t="shared" si="0"/>
        <v>#NUM!</v>
      </c>
      <c r="Q22" s="19" t="e">
        <f t="shared" si="11"/>
        <v>#NUM!</v>
      </c>
      <c r="R22" s="20" t="e">
        <f t="shared" si="9"/>
        <v>#NUM!</v>
      </c>
      <c r="T22" s="3" t="e">
        <f t="shared" si="17"/>
        <v>#NUM!</v>
      </c>
    </row>
    <row r="23" spans="1:20" x14ac:dyDescent="0.25">
      <c r="A23" s="20">
        <v>15</v>
      </c>
      <c r="B23" s="20">
        <f t="shared" si="18"/>
        <v>115</v>
      </c>
      <c r="C23" s="20">
        <f t="shared" si="16"/>
        <v>0</v>
      </c>
      <c r="D23" s="20">
        <f t="shared" si="16"/>
        <v>0</v>
      </c>
      <c r="E23" s="19">
        <f t="shared" si="2"/>
        <v>0</v>
      </c>
      <c r="F23" s="19"/>
      <c r="G23" s="19"/>
      <c r="H23" s="19" t="e">
        <f t="shared" si="3"/>
        <v>#NUM!</v>
      </c>
      <c r="I23" s="19" t="e">
        <f t="shared" si="4"/>
        <v>#NUM!</v>
      </c>
      <c r="J23" s="20" t="e">
        <f t="shared" si="5"/>
        <v>#NUM!</v>
      </c>
      <c r="K23" s="20" t="e">
        <f t="shared" si="5"/>
        <v>#NUM!</v>
      </c>
      <c r="L23" s="19" t="e">
        <f t="shared" si="6"/>
        <v>#NUM!</v>
      </c>
      <c r="M23" s="19" t="e">
        <f t="shared" si="7"/>
        <v>#NUM!</v>
      </c>
      <c r="N23" s="19" t="e">
        <f t="shared" si="8"/>
        <v>#NUM!</v>
      </c>
      <c r="O23" s="19" t="e">
        <f t="shared" si="8"/>
        <v>#NUM!</v>
      </c>
      <c r="P23" s="19" t="e">
        <f t="shared" si="0"/>
        <v>#NUM!</v>
      </c>
      <c r="Q23" s="19" t="e">
        <f t="shared" si="11"/>
        <v>#NUM!</v>
      </c>
      <c r="R23" s="20" t="e">
        <f t="shared" si="9"/>
        <v>#NUM!</v>
      </c>
      <c r="T23" s="3" t="e">
        <f t="shared" si="17"/>
        <v>#NUM!</v>
      </c>
    </row>
    <row r="24" spans="1:20" x14ac:dyDescent="0.25">
      <c r="A24" s="19">
        <v>16</v>
      </c>
      <c r="B24" s="19">
        <f>B23/2</f>
        <v>57.5</v>
      </c>
      <c r="C24" s="19"/>
      <c r="D24" s="19"/>
      <c r="E24" s="19">
        <f t="shared" si="2"/>
        <v>0</v>
      </c>
      <c r="F24" s="19"/>
      <c r="G24" s="19"/>
      <c r="H24" s="19" t="e">
        <f t="shared" si="3"/>
        <v>#NUM!</v>
      </c>
      <c r="I24" s="19" t="e">
        <f t="shared" si="4"/>
        <v>#NUM!</v>
      </c>
      <c r="J24" s="19" t="e">
        <f t="shared" si="5"/>
        <v>#NUM!</v>
      </c>
      <c r="K24" s="19" t="e">
        <f t="shared" si="5"/>
        <v>#NUM!</v>
      </c>
      <c r="L24" s="19" t="e">
        <f t="shared" si="6"/>
        <v>#NUM!</v>
      </c>
      <c r="M24" s="19" t="e">
        <f t="shared" si="7"/>
        <v>#NUM!</v>
      </c>
      <c r="N24" s="19" t="e">
        <f t="shared" si="8"/>
        <v>#NUM!</v>
      </c>
      <c r="O24" s="19" t="e">
        <f t="shared" si="8"/>
        <v>#NUM!</v>
      </c>
      <c r="P24" s="19" t="e">
        <f t="shared" si="0"/>
        <v>#NUM!</v>
      </c>
      <c r="Q24" s="19" t="e">
        <f t="shared" si="11"/>
        <v>#NUM!</v>
      </c>
      <c r="R24" s="19" t="e">
        <f t="shared" si="9"/>
        <v>#NUM!</v>
      </c>
      <c r="S24" t="s">
        <v>122</v>
      </c>
      <c r="T24" s="3" t="e">
        <f>IF(R24&gt;S$25,"ACEPTAR","X")</f>
        <v>#NUM!</v>
      </c>
    </row>
    <row r="25" spans="1:20" x14ac:dyDescent="0.25">
      <c r="A25" s="19">
        <v>17</v>
      </c>
      <c r="B25" s="19">
        <f>B24</f>
        <v>57.5</v>
      </c>
      <c r="C25" s="19">
        <f t="shared" ref="C25:D28" si="19">C24</f>
        <v>0</v>
      </c>
      <c r="D25" s="19">
        <f t="shared" si="19"/>
        <v>0</v>
      </c>
      <c r="E25" s="19">
        <f t="shared" si="2"/>
        <v>0</v>
      </c>
      <c r="F25" s="19"/>
      <c r="G25" s="19"/>
      <c r="H25" s="19" t="e">
        <f t="shared" si="3"/>
        <v>#NUM!</v>
      </c>
      <c r="I25" s="19" t="e">
        <f t="shared" si="4"/>
        <v>#NUM!</v>
      </c>
      <c r="J25" s="19" t="e">
        <f t="shared" ref="J25:K33" si="20">C25+H25</f>
        <v>#NUM!</v>
      </c>
      <c r="K25" s="19" t="e">
        <f t="shared" si="20"/>
        <v>#NUM!</v>
      </c>
      <c r="L25" s="19" t="e">
        <f t="shared" si="6"/>
        <v>#NUM!</v>
      </c>
      <c r="M25" s="19" t="e">
        <f t="shared" si="7"/>
        <v>#NUM!</v>
      </c>
      <c r="N25" s="19" t="e">
        <f t="shared" si="8"/>
        <v>#NUM!</v>
      </c>
      <c r="O25" s="19" t="e">
        <f t="shared" si="8"/>
        <v>#NUM!</v>
      </c>
      <c r="P25" s="19" t="e">
        <f t="shared" si="0"/>
        <v>#NUM!</v>
      </c>
      <c r="Q25" s="19" t="e">
        <f t="shared" si="11"/>
        <v>#NUM!</v>
      </c>
      <c r="R25" s="19" t="e">
        <f t="shared" si="9"/>
        <v>#NUM!</v>
      </c>
      <c r="S25" t="e">
        <f>MAX(R19:R23)</f>
        <v>#NUM!</v>
      </c>
      <c r="T25" s="3" t="e">
        <f t="shared" ref="T25:T28" si="21">IF(R25&gt;S$25,"ACEPTAR","X")</f>
        <v>#NUM!</v>
      </c>
    </row>
    <row r="26" spans="1:20" x14ac:dyDescent="0.25">
      <c r="A26" s="19">
        <v>18</v>
      </c>
      <c r="B26" s="19">
        <f t="shared" ref="B26:B28" si="22">B25</f>
        <v>57.5</v>
      </c>
      <c r="C26" s="19">
        <f t="shared" si="19"/>
        <v>0</v>
      </c>
      <c r="D26" s="19">
        <f t="shared" si="19"/>
        <v>0</v>
      </c>
      <c r="E26" s="19">
        <f t="shared" si="2"/>
        <v>0</v>
      </c>
      <c r="F26" s="19"/>
      <c r="G26" s="19"/>
      <c r="H26" s="19" t="e">
        <f t="shared" si="3"/>
        <v>#NUM!</v>
      </c>
      <c r="I26" s="19" t="e">
        <f t="shared" si="4"/>
        <v>#NUM!</v>
      </c>
      <c r="J26" s="19" t="e">
        <f t="shared" si="20"/>
        <v>#NUM!</v>
      </c>
      <c r="K26" s="19" t="e">
        <f t="shared" si="20"/>
        <v>#NUM!</v>
      </c>
      <c r="L26" s="19" t="e">
        <f t="shared" si="6"/>
        <v>#NUM!</v>
      </c>
      <c r="M26" s="19" t="e">
        <f t="shared" si="7"/>
        <v>#NUM!</v>
      </c>
      <c r="N26" s="19" t="e">
        <f t="shared" si="8"/>
        <v>#NUM!</v>
      </c>
      <c r="O26" s="19" t="e">
        <f t="shared" si="8"/>
        <v>#NUM!</v>
      </c>
      <c r="P26" s="19" t="e">
        <f t="shared" si="0"/>
        <v>#NUM!</v>
      </c>
      <c r="Q26" s="19" t="e">
        <f t="shared" si="11"/>
        <v>#NUM!</v>
      </c>
      <c r="R26" s="19" t="e">
        <f t="shared" si="9"/>
        <v>#NUM!</v>
      </c>
      <c r="T26" s="3" t="e">
        <f t="shared" si="21"/>
        <v>#NUM!</v>
      </c>
    </row>
    <row r="27" spans="1:20" x14ac:dyDescent="0.25">
      <c r="A27" s="19">
        <v>19</v>
      </c>
      <c r="B27" s="19">
        <f t="shared" si="22"/>
        <v>57.5</v>
      </c>
      <c r="C27" s="19">
        <f t="shared" si="19"/>
        <v>0</v>
      </c>
      <c r="D27" s="19">
        <f t="shared" si="19"/>
        <v>0</v>
      </c>
      <c r="E27" s="19">
        <f t="shared" si="2"/>
        <v>0</v>
      </c>
      <c r="F27" s="19"/>
      <c r="G27" s="19"/>
      <c r="H27" s="19" t="e">
        <f t="shared" si="3"/>
        <v>#NUM!</v>
      </c>
      <c r="I27" s="19" t="e">
        <f t="shared" si="4"/>
        <v>#NUM!</v>
      </c>
      <c r="J27" s="19" t="e">
        <f t="shared" si="20"/>
        <v>#NUM!</v>
      </c>
      <c r="K27" s="19" t="e">
        <f t="shared" si="20"/>
        <v>#NUM!</v>
      </c>
      <c r="L27" s="19" t="e">
        <f t="shared" si="6"/>
        <v>#NUM!</v>
      </c>
      <c r="M27" s="19" t="e">
        <f t="shared" si="7"/>
        <v>#NUM!</v>
      </c>
      <c r="N27" s="19" t="e">
        <f t="shared" si="8"/>
        <v>#NUM!</v>
      </c>
      <c r="O27" s="19" t="e">
        <f t="shared" si="8"/>
        <v>#NUM!</v>
      </c>
      <c r="P27" s="19" t="e">
        <f t="shared" si="0"/>
        <v>#NUM!</v>
      </c>
      <c r="Q27" s="19" t="e">
        <f t="shared" si="11"/>
        <v>#NUM!</v>
      </c>
      <c r="R27" s="19" t="e">
        <f t="shared" si="9"/>
        <v>#NUM!</v>
      </c>
      <c r="T27" s="3" t="e">
        <f t="shared" si="21"/>
        <v>#NUM!</v>
      </c>
    </row>
    <row r="28" spans="1:20" x14ac:dyDescent="0.25">
      <c r="A28" s="19">
        <v>20</v>
      </c>
      <c r="B28" s="19">
        <f t="shared" si="22"/>
        <v>57.5</v>
      </c>
      <c r="C28" s="19">
        <f t="shared" si="19"/>
        <v>0</v>
      </c>
      <c r="D28" s="19">
        <f t="shared" si="19"/>
        <v>0</v>
      </c>
      <c r="E28" s="19">
        <f t="shared" si="2"/>
        <v>0</v>
      </c>
      <c r="F28" s="19"/>
      <c r="G28" s="19"/>
      <c r="H28" s="19" t="e">
        <f t="shared" si="3"/>
        <v>#NUM!</v>
      </c>
      <c r="I28" s="19" t="e">
        <f t="shared" si="4"/>
        <v>#NUM!</v>
      </c>
      <c r="J28" s="19" t="e">
        <f t="shared" si="20"/>
        <v>#NUM!</v>
      </c>
      <c r="K28" s="19" t="e">
        <f t="shared" si="20"/>
        <v>#NUM!</v>
      </c>
      <c r="L28" s="19" t="e">
        <f t="shared" si="6"/>
        <v>#NUM!</v>
      </c>
      <c r="M28" s="19" t="e">
        <f t="shared" si="7"/>
        <v>#NUM!</v>
      </c>
      <c r="N28" s="19" t="e">
        <f t="shared" si="8"/>
        <v>#NUM!</v>
      </c>
      <c r="O28" s="19" t="e">
        <f t="shared" si="8"/>
        <v>#NUM!</v>
      </c>
      <c r="P28" s="19" t="e">
        <f t="shared" si="0"/>
        <v>#NUM!</v>
      </c>
      <c r="Q28" s="19" t="e">
        <f t="shared" si="11"/>
        <v>#NUM!</v>
      </c>
      <c r="R28" s="19" t="e">
        <f t="shared" si="9"/>
        <v>#NUM!</v>
      </c>
      <c r="T28" s="3" t="e">
        <f t="shared" si="21"/>
        <v>#NUM!</v>
      </c>
    </row>
    <row r="29" spans="1:20" x14ac:dyDescent="0.25">
      <c r="A29" s="20">
        <v>21</v>
      </c>
      <c r="B29" s="20">
        <f>B28/2</f>
        <v>28.75</v>
      </c>
      <c r="C29" s="20"/>
      <c r="D29" s="20"/>
      <c r="E29" s="19">
        <f t="shared" si="2"/>
        <v>0</v>
      </c>
      <c r="F29" s="19"/>
      <c r="G29" s="19"/>
      <c r="H29" s="19" t="e">
        <f t="shared" si="3"/>
        <v>#NUM!</v>
      </c>
      <c r="I29" s="19" t="e">
        <f t="shared" si="4"/>
        <v>#NUM!</v>
      </c>
      <c r="J29" s="20" t="e">
        <f t="shared" si="20"/>
        <v>#NUM!</v>
      </c>
      <c r="K29" s="20" t="e">
        <f t="shared" si="20"/>
        <v>#NUM!</v>
      </c>
      <c r="L29" s="19" t="e">
        <f t="shared" si="6"/>
        <v>#NUM!</v>
      </c>
      <c r="M29" s="19" t="e">
        <f t="shared" si="7"/>
        <v>#NUM!</v>
      </c>
      <c r="N29" s="19" t="e">
        <f t="shared" si="8"/>
        <v>#NUM!</v>
      </c>
      <c r="O29" s="19" t="e">
        <f t="shared" si="8"/>
        <v>#NUM!</v>
      </c>
      <c r="P29" s="19" t="e">
        <f t="shared" si="0"/>
        <v>#NUM!</v>
      </c>
      <c r="Q29" s="19" t="e">
        <f t="shared" si="11"/>
        <v>#NUM!</v>
      </c>
      <c r="R29" s="20" t="e">
        <f t="shared" si="9"/>
        <v>#NUM!</v>
      </c>
      <c r="S29" t="s">
        <v>122</v>
      </c>
      <c r="T29" s="3" t="e">
        <f>IF(R29&gt;S$30,"ACEPTAR","X")</f>
        <v>#NUM!</v>
      </c>
    </row>
    <row r="30" spans="1:20" x14ac:dyDescent="0.25">
      <c r="A30" s="20">
        <v>22</v>
      </c>
      <c r="B30" s="20">
        <f>B29</f>
        <v>28.75</v>
      </c>
      <c r="C30" s="20">
        <f t="shared" ref="C30:D33" si="23">C29</f>
        <v>0</v>
      </c>
      <c r="D30" s="20">
        <f t="shared" si="23"/>
        <v>0</v>
      </c>
      <c r="E30" s="19">
        <f t="shared" si="2"/>
        <v>0</v>
      </c>
      <c r="F30" s="19"/>
      <c r="G30" s="19"/>
      <c r="H30" s="19" t="e">
        <f t="shared" si="3"/>
        <v>#NUM!</v>
      </c>
      <c r="I30" s="19" t="e">
        <f t="shared" si="4"/>
        <v>#NUM!</v>
      </c>
      <c r="J30" s="20" t="e">
        <f t="shared" si="20"/>
        <v>#NUM!</v>
      </c>
      <c r="K30" s="20" t="e">
        <f t="shared" si="20"/>
        <v>#NUM!</v>
      </c>
      <c r="L30" s="19" t="e">
        <f t="shared" si="6"/>
        <v>#NUM!</v>
      </c>
      <c r="M30" s="19" t="e">
        <f t="shared" si="7"/>
        <v>#NUM!</v>
      </c>
      <c r="N30" s="19" t="e">
        <f t="shared" si="8"/>
        <v>#NUM!</v>
      </c>
      <c r="O30" s="19" t="e">
        <f t="shared" si="8"/>
        <v>#NUM!</v>
      </c>
      <c r="P30" s="19" t="e">
        <f t="shared" si="0"/>
        <v>#NUM!</v>
      </c>
      <c r="Q30" s="19" t="e">
        <f t="shared" si="11"/>
        <v>#NUM!</v>
      </c>
      <c r="R30" s="20" t="e">
        <f t="shared" si="9"/>
        <v>#NUM!</v>
      </c>
      <c r="S30" t="e">
        <f>MAX(R24:R28)</f>
        <v>#NUM!</v>
      </c>
      <c r="T30" s="3" t="e">
        <f t="shared" ref="T30:T33" si="24">IF(R30&gt;S$30,"ACEPTAR","X")</f>
        <v>#NUM!</v>
      </c>
    </row>
    <row r="31" spans="1:20" x14ac:dyDescent="0.25">
      <c r="A31" s="20">
        <v>23</v>
      </c>
      <c r="B31" s="20">
        <f t="shared" ref="B31:B33" si="25">B30</f>
        <v>28.75</v>
      </c>
      <c r="C31" s="20">
        <f t="shared" si="23"/>
        <v>0</v>
      </c>
      <c r="D31" s="20">
        <f t="shared" si="23"/>
        <v>0</v>
      </c>
      <c r="E31" s="19">
        <f t="shared" si="2"/>
        <v>0</v>
      </c>
      <c r="F31" s="19"/>
      <c r="G31" s="19"/>
      <c r="H31" s="19" t="e">
        <f t="shared" si="3"/>
        <v>#NUM!</v>
      </c>
      <c r="I31" s="19" t="e">
        <f t="shared" si="4"/>
        <v>#NUM!</v>
      </c>
      <c r="J31" s="20" t="e">
        <f t="shared" si="20"/>
        <v>#NUM!</v>
      </c>
      <c r="K31" s="20" t="e">
        <f t="shared" si="20"/>
        <v>#NUM!</v>
      </c>
      <c r="L31" s="19" t="e">
        <f t="shared" si="6"/>
        <v>#NUM!</v>
      </c>
      <c r="M31" s="19" t="e">
        <f t="shared" si="7"/>
        <v>#NUM!</v>
      </c>
      <c r="N31" s="19" t="e">
        <f t="shared" si="8"/>
        <v>#NUM!</v>
      </c>
      <c r="O31" s="19" t="e">
        <f t="shared" si="8"/>
        <v>#NUM!</v>
      </c>
      <c r="P31" s="19" t="e">
        <f t="shared" si="0"/>
        <v>#NUM!</v>
      </c>
      <c r="Q31" s="19" t="e">
        <f t="shared" si="11"/>
        <v>#NUM!</v>
      </c>
      <c r="R31" s="20" t="e">
        <f t="shared" si="9"/>
        <v>#NUM!</v>
      </c>
      <c r="T31" s="3" t="e">
        <f t="shared" si="24"/>
        <v>#NUM!</v>
      </c>
    </row>
    <row r="32" spans="1:20" x14ac:dyDescent="0.25">
      <c r="A32" s="20">
        <v>24</v>
      </c>
      <c r="B32" s="20">
        <f t="shared" si="25"/>
        <v>28.75</v>
      </c>
      <c r="C32" s="20">
        <f t="shared" si="23"/>
        <v>0</v>
      </c>
      <c r="D32" s="20">
        <f t="shared" si="23"/>
        <v>0</v>
      </c>
      <c r="E32" s="19">
        <f t="shared" si="2"/>
        <v>0</v>
      </c>
      <c r="F32" s="19"/>
      <c r="G32" s="19"/>
      <c r="H32" s="19" t="e">
        <f t="shared" si="3"/>
        <v>#NUM!</v>
      </c>
      <c r="I32" s="19" t="e">
        <f t="shared" si="4"/>
        <v>#NUM!</v>
      </c>
      <c r="J32" s="20" t="e">
        <f t="shared" si="20"/>
        <v>#NUM!</v>
      </c>
      <c r="K32" s="20" t="e">
        <f t="shared" si="20"/>
        <v>#NUM!</v>
      </c>
      <c r="L32" s="19" t="e">
        <f t="shared" si="6"/>
        <v>#NUM!</v>
      </c>
      <c r="M32" s="19" t="e">
        <f t="shared" si="7"/>
        <v>#NUM!</v>
      </c>
      <c r="N32" s="19" t="e">
        <f t="shared" si="8"/>
        <v>#NUM!</v>
      </c>
      <c r="O32" s="19" t="e">
        <f t="shared" si="8"/>
        <v>#NUM!</v>
      </c>
      <c r="P32" s="19" t="e">
        <f t="shared" si="0"/>
        <v>#NUM!</v>
      </c>
      <c r="Q32" s="19" t="e">
        <f t="shared" si="11"/>
        <v>#NUM!</v>
      </c>
      <c r="R32" s="20" t="e">
        <f t="shared" si="9"/>
        <v>#NUM!</v>
      </c>
      <c r="T32" s="3" t="e">
        <f t="shared" si="24"/>
        <v>#NUM!</v>
      </c>
    </row>
    <row r="33" spans="1:20" x14ac:dyDescent="0.25">
      <c r="A33" s="20">
        <v>25</v>
      </c>
      <c r="B33" s="20">
        <f t="shared" si="25"/>
        <v>28.75</v>
      </c>
      <c r="C33" s="20">
        <f t="shared" si="23"/>
        <v>0</v>
      </c>
      <c r="D33" s="20">
        <f t="shared" si="23"/>
        <v>0</v>
      </c>
      <c r="E33" s="19">
        <f t="shared" si="2"/>
        <v>0</v>
      </c>
      <c r="F33" s="19"/>
      <c r="G33" s="19"/>
      <c r="H33" s="19" t="e">
        <f t="shared" si="3"/>
        <v>#NUM!</v>
      </c>
      <c r="I33" s="19" t="e">
        <f t="shared" si="4"/>
        <v>#NUM!</v>
      </c>
      <c r="J33" s="20" t="e">
        <f t="shared" si="20"/>
        <v>#NUM!</v>
      </c>
      <c r="K33" s="20" t="e">
        <f t="shared" si="20"/>
        <v>#NUM!</v>
      </c>
      <c r="L33" s="19" t="e">
        <f t="shared" si="6"/>
        <v>#NUM!</v>
      </c>
      <c r="M33" s="19" t="e">
        <f t="shared" si="7"/>
        <v>#NUM!</v>
      </c>
      <c r="N33" s="19" t="e">
        <f t="shared" si="8"/>
        <v>#NUM!</v>
      </c>
      <c r="O33" s="19" t="e">
        <f t="shared" si="8"/>
        <v>#NUM!</v>
      </c>
      <c r="P33" s="19" t="e">
        <f t="shared" si="0"/>
        <v>#NUM!</v>
      </c>
      <c r="Q33" s="19" t="e">
        <f t="shared" si="11"/>
        <v>#NUM!</v>
      </c>
      <c r="R33" s="20" t="e">
        <f t="shared" si="9"/>
        <v>#NUM!</v>
      </c>
      <c r="T33" s="3" t="e">
        <f t="shared" si="24"/>
        <v>#NUM!</v>
      </c>
    </row>
    <row r="34" spans="1:20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20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20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20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20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20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20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20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20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20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20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20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20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20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2B9F-6CC4-4B08-AC3A-62CEB3159269}">
  <dimension ref="A1:E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5" x14ac:dyDescent="0.25">
      <c r="A1" s="9" t="s">
        <v>49</v>
      </c>
    </row>
    <row r="2" spans="1:5" x14ac:dyDescent="0.25">
      <c r="A2" s="9" t="s">
        <v>148</v>
      </c>
    </row>
    <row r="3" spans="1:5" x14ac:dyDescent="0.25">
      <c r="A3" s="9" t="s">
        <v>149</v>
      </c>
    </row>
    <row r="6" spans="1:5" ht="15.75" thickBot="1" x14ac:dyDescent="0.3">
      <c r="A6" t="s">
        <v>52</v>
      </c>
    </row>
    <row r="7" spans="1:5" x14ac:dyDescent="0.25">
      <c r="B7" s="12"/>
      <c r="C7" s="12"/>
      <c r="D7" s="12" t="s">
        <v>55</v>
      </c>
      <c r="E7" s="12" t="s">
        <v>57</v>
      </c>
    </row>
    <row r="8" spans="1:5" ht="15.75" thickBot="1" x14ac:dyDescent="0.3">
      <c r="B8" s="13" t="s">
        <v>53</v>
      </c>
      <c r="C8" s="13" t="s">
        <v>54</v>
      </c>
      <c r="D8" s="13" t="s">
        <v>56</v>
      </c>
      <c r="E8" s="13" t="s">
        <v>85</v>
      </c>
    </row>
    <row r="9" spans="1:5" x14ac:dyDescent="0.25">
      <c r="B9" s="10" t="s">
        <v>150</v>
      </c>
      <c r="C9" s="10" t="s">
        <v>81</v>
      </c>
      <c r="D9" s="10">
        <v>3200</v>
      </c>
      <c r="E9" s="10">
        <v>0</v>
      </c>
    </row>
    <row r="10" spans="1:5" ht="15.75" thickBot="1" x14ac:dyDescent="0.3">
      <c r="B10" s="11" t="s">
        <v>151</v>
      </c>
      <c r="C10" s="11" t="s">
        <v>82</v>
      </c>
      <c r="D10" s="11">
        <v>2800</v>
      </c>
      <c r="E10" s="11">
        <v>0</v>
      </c>
    </row>
    <row r="12" spans="1:5" ht="15.75" thickBot="1" x14ac:dyDescent="0.3">
      <c r="A12" t="s">
        <v>64</v>
      </c>
    </row>
    <row r="13" spans="1:5" x14ac:dyDescent="0.25">
      <c r="B13" s="12"/>
      <c r="C13" s="12"/>
      <c r="D13" s="12" t="s">
        <v>55</v>
      </c>
      <c r="E13" s="12" t="s">
        <v>86</v>
      </c>
    </row>
    <row r="14" spans="1:5" ht="15.75" thickBot="1" x14ac:dyDescent="0.3">
      <c r="B14" s="13" t="s">
        <v>53</v>
      </c>
      <c r="C14" s="13" t="s">
        <v>54</v>
      </c>
      <c r="D14" s="13" t="s">
        <v>56</v>
      </c>
      <c r="E14" s="13" t="s">
        <v>87</v>
      </c>
    </row>
    <row r="15" spans="1:5" x14ac:dyDescent="0.25">
      <c r="B15" s="10" t="s">
        <v>152</v>
      </c>
      <c r="C15" s="10" t="s">
        <v>153</v>
      </c>
      <c r="D15" s="10">
        <v>2000</v>
      </c>
      <c r="E15" s="10">
        <v>0.41000000789761504</v>
      </c>
    </row>
    <row r="16" spans="1:5" x14ac:dyDescent="0.25">
      <c r="B16" s="10" t="s">
        <v>154</v>
      </c>
      <c r="C16" s="10" t="s">
        <v>155</v>
      </c>
      <c r="D16" s="10">
        <v>6000</v>
      </c>
      <c r="E16" s="10">
        <v>0.25399998548626901</v>
      </c>
    </row>
    <row r="17" spans="2:5" ht="15.75" thickBot="1" x14ac:dyDescent="0.3">
      <c r="B17" s="11" t="s">
        <v>156</v>
      </c>
      <c r="C17" s="11" t="s">
        <v>157</v>
      </c>
      <c r="D17" s="11">
        <v>3200</v>
      </c>
      <c r="E17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B5A6-2922-4726-8387-B704A622FEE7}">
  <dimension ref="A22:G40"/>
  <sheetViews>
    <sheetView tabSelected="1" topLeftCell="A8" workbookViewId="0">
      <selection activeCell="D41" sqref="D41"/>
    </sheetView>
  </sheetViews>
  <sheetFormatPr baseColWidth="10" defaultRowHeight="15" x14ac:dyDescent="0.25"/>
  <cols>
    <col min="1" max="1" width="18.5703125" style="19" customWidth="1"/>
    <col min="2" max="2" width="19.85546875" style="19" customWidth="1"/>
    <col min="3" max="3" width="11.42578125" style="19"/>
    <col min="4" max="4" width="13.140625" style="19" customWidth="1"/>
    <col min="5" max="16384" width="11.42578125" style="19"/>
  </cols>
  <sheetData>
    <row r="22" spans="1:7" x14ac:dyDescent="0.25">
      <c r="A22" s="23" t="s">
        <v>131</v>
      </c>
      <c r="D22" s="24"/>
      <c r="E22" s="24" t="s">
        <v>134</v>
      </c>
      <c r="F22" s="24" t="s">
        <v>135</v>
      </c>
      <c r="G22" s="24"/>
    </row>
    <row r="23" spans="1:7" x14ac:dyDescent="0.25">
      <c r="A23" s="23" t="s">
        <v>132</v>
      </c>
      <c r="D23" s="25" t="s">
        <v>136</v>
      </c>
      <c r="E23" s="25">
        <v>0.1</v>
      </c>
      <c r="F23" s="25">
        <v>0.6</v>
      </c>
      <c r="G23" s="25">
        <v>2000</v>
      </c>
    </row>
    <row r="24" spans="1:7" ht="12.75" customHeight="1" x14ac:dyDescent="0.25">
      <c r="A24" s="23" t="s">
        <v>133</v>
      </c>
      <c r="D24" s="25" t="s">
        <v>137</v>
      </c>
      <c r="E24" s="25">
        <v>1</v>
      </c>
      <c r="F24" s="25">
        <v>1</v>
      </c>
      <c r="G24" s="25">
        <v>6000</v>
      </c>
    </row>
    <row r="25" spans="1:7" x14ac:dyDescent="0.25">
      <c r="D25" s="25" t="s">
        <v>138</v>
      </c>
      <c r="E25" s="25">
        <v>1</v>
      </c>
      <c r="F25" s="25"/>
      <c r="G25" s="25">
        <v>4000</v>
      </c>
    </row>
    <row r="26" spans="1:7" x14ac:dyDescent="0.25">
      <c r="D26" s="24"/>
      <c r="E26" s="24">
        <v>0.21299999999999999</v>
      </c>
      <c r="F26" s="24">
        <v>0.5</v>
      </c>
      <c r="G26" s="24"/>
    </row>
    <row r="28" spans="1:7" ht="15.75" customHeight="1" x14ac:dyDescent="0.25">
      <c r="A28" s="5" t="s">
        <v>139</v>
      </c>
      <c r="B28" s="5" t="s">
        <v>147</v>
      </c>
      <c r="C28" s="5"/>
    </row>
    <row r="29" spans="1:7" x14ac:dyDescent="0.25">
      <c r="A29" s="26" t="s">
        <v>98</v>
      </c>
      <c r="B29" s="5"/>
      <c r="C29" s="5"/>
    </row>
    <row r="30" spans="1:7" ht="12" customHeight="1" x14ac:dyDescent="0.25">
      <c r="A30" s="26" t="s">
        <v>146</v>
      </c>
      <c r="B30" s="5">
        <v>20000</v>
      </c>
      <c r="C30" s="5">
        <v>3333.3333299999999</v>
      </c>
      <c r="E30" s="3" t="s">
        <v>141</v>
      </c>
      <c r="F30" s="3"/>
      <c r="G30" s="3" t="s">
        <v>142</v>
      </c>
    </row>
    <row r="31" spans="1:7" x14ac:dyDescent="0.25">
      <c r="A31" s="26" t="s">
        <v>144</v>
      </c>
      <c r="B31" s="5">
        <v>6000</v>
      </c>
      <c r="C31" s="5">
        <v>6000</v>
      </c>
      <c r="E31" s="3"/>
      <c r="F31" s="3"/>
      <c r="G31" s="3" t="s">
        <v>143</v>
      </c>
    </row>
    <row r="32" spans="1:7" x14ac:dyDescent="0.25">
      <c r="A32" s="26" t="s">
        <v>145</v>
      </c>
      <c r="B32" s="5">
        <v>4000</v>
      </c>
      <c r="C32" s="5">
        <v>0</v>
      </c>
    </row>
    <row r="33" spans="1:5" x14ac:dyDescent="0.25">
      <c r="A33" s="26" t="s">
        <v>41</v>
      </c>
      <c r="B33" s="5">
        <v>0</v>
      </c>
      <c r="C33" s="5" t="s">
        <v>140</v>
      </c>
    </row>
    <row r="34" spans="1:5" x14ac:dyDescent="0.25">
      <c r="A34" s="5"/>
      <c r="B34" s="5" t="s">
        <v>140</v>
      </c>
      <c r="C34" s="5">
        <v>0</v>
      </c>
    </row>
    <row r="36" spans="1:5" x14ac:dyDescent="0.25">
      <c r="C36" s="19" t="s">
        <v>43</v>
      </c>
      <c r="D36" s="19" t="s">
        <v>81</v>
      </c>
      <c r="E36" s="19" t="s">
        <v>82</v>
      </c>
    </row>
    <row r="37" spans="1:5" x14ac:dyDescent="0.25">
      <c r="C37" s="19">
        <f>0.295*D37+0.5*E37</f>
        <v>2344</v>
      </c>
      <c r="D37" s="19">
        <v>3200</v>
      </c>
      <c r="E37" s="19">
        <v>2800</v>
      </c>
    </row>
    <row r="38" spans="1:5" x14ac:dyDescent="0.25">
      <c r="C38" s="19" t="s">
        <v>23</v>
      </c>
      <c r="D38" s="19">
        <f>0.1*D37+0.6*E37</f>
        <v>2000</v>
      </c>
      <c r="E38" s="19">
        <v>2000</v>
      </c>
    </row>
    <row r="39" spans="1:5" x14ac:dyDescent="0.25">
      <c r="C39" s="19" t="s">
        <v>26</v>
      </c>
      <c r="D39" s="19">
        <f>D37+E37</f>
        <v>6000</v>
      </c>
      <c r="E39" s="19">
        <v>6000</v>
      </c>
    </row>
    <row r="40" spans="1:5" x14ac:dyDescent="0.25">
      <c r="C40" s="19" t="s">
        <v>29</v>
      </c>
      <c r="D40" s="19">
        <f>D37</f>
        <v>3200</v>
      </c>
      <c r="E40" s="19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Ej1</vt:lpstr>
      <vt:lpstr>Informe de sensibilidad 1</vt:lpstr>
      <vt:lpstr>EJ2</vt:lpstr>
      <vt:lpstr>Informe de sensibilidad 2</vt:lpstr>
      <vt:lpstr>SIMULADO2</vt:lpstr>
      <vt:lpstr>Informe de sensibilidad 3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2021-05-06T16:13:30Z</dcterms:created>
  <dcterms:modified xsi:type="dcterms:W3CDTF">2021-05-06T18:30:52Z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078cb737-bb2e-4f78-93f4-63f628ac1219</vt:lpwstr>
  </property>
</Properties>
</file>