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akster spildevand" sheetId="1" r:id="rId1"/>
    <sheet name="Vandforbrug- og afledning" sheetId="2" r:id="rId2"/>
    <sheet name="Gnm værdier, vand+kloak" sheetId="3" r:id="rId3"/>
    <sheet name="Gnm forsyningsøkonomi" sheetId="4" r:id="rId4"/>
    <sheet name="Ark1" sheetId="5" r:id="rId5"/>
    <sheet name="vandtakstens opgørelse" sheetId="6" r:id="rId6"/>
    <sheet name="Other estimates" sheetId="7" r:id="rId7"/>
  </sheets>
  <calcPr calcId="125725"/>
</workbook>
</file>

<file path=xl/calcChain.xml><?xml version="1.0" encoding="utf-8"?>
<calcChain xmlns="http://schemas.openxmlformats.org/spreadsheetml/2006/main">
  <c r="D16" i="7"/>
  <c r="D15"/>
  <c r="D13"/>
  <c r="D6"/>
  <c r="I15" i="6"/>
  <c r="I12"/>
  <c r="I10"/>
  <c r="H11"/>
  <c r="H12"/>
  <c r="H13"/>
  <c r="H14"/>
  <c r="H15"/>
  <c r="H16"/>
  <c r="H10"/>
  <c r="H9" i="3"/>
  <c r="J43" i="5" l="1"/>
  <c r="J27"/>
  <c r="J26"/>
  <c r="J25"/>
  <c r="J24"/>
  <c r="J23"/>
  <c r="J22"/>
  <c r="J21"/>
  <c r="J20"/>
  <c r="J19"/>
  <c r="J18"/>
  <c r="J17"/>
  <c r="J16"/>
  <c r="J15"/>
  <c r="I12"/>
  <c r="J12"/>
  <c r="K12"/>
  <c r="L12"/>
  <c r="M12"/>
  <c r="N12"/>
  <c r="O12"/>
  <c r="P12"/>
  <c r="Q12"/>
  <c r="R12"/>
  <c r="S12"/>
  <c r="H12"/>
  <c r="I8" i="2"/>
  <c r="J8"/>
  <c r="K8"/>
  <c r="L8"/>
  <c r="M8"/>
  <c r="N8"/>
  <c r="O8"/>
  <c r="P8"/>
  <c r="Q8"/>
  <c r="R8"/>
  <c r="S8"/>
  <c r="T8"/>
  <c r="H8"/>
  <c r="P21" l="1"/>
  <c r="P20"/>
  <c r="J17"/>
  <c r="K17"/>
  <c r="L17"/>
  <c r="M17"/>
  <c r="N17"/>
  <c r="O17"/>
  <c r="P17"/>
  <c r="Q17"/>
  <c r="R17"/>
  <c r="S17"/>
  <c r="T17"/>
  <c r="I17"/>
  <c r="I16"/>
  <c r="J16"/>
  <c r="K16"/>
  <c r="L16"/>
  <c r="M16"/>
  <c r="N16"/>
  <c r="O16"/>
  <c r="P16"/>
  <c r="Q16"/>
  <c r="R16"/>
  <c r="S16"/>
  <c r="T16"/>
  <c r="H16"/>
  <c r="G15" i="1"/>
  <c r="B26" i="2"/>
  <c r="C14" l="1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F13"/>
  <c r="G7"/>
  <c r="H7"/>
  <c r="I7"/>
  <c r="J7"/>
  <c r="K7"/>
  <c r="L7"/>
  <c r="M7"/>
  <c r="N7"/>
  <c r="O7"/>
  <c r="P7"/>
  <c r="Q7"/>
  <c r="R7"/>
  <c r="S7"/>
  <c r="T7"/>
  <c r="U7"/>
  <c r="V7"/>
  <c r="W7"/>
  <c r="X7"/>
  <c r="Y7"/>
  <c r="F7"/>
  <c r="C8"/>
  <c r="C9" i="3"/>
  <c r="G8"/>
  <c r="H8"/>
  <c r="I8"/>
  <c r="J8"/>
  <c r="K8"/>
  <c r="L8"/>
  <c r="M8"/>
  <c r="N8"/>
  <c r="O8"/>
  <c r="P8"/>
  <c r="Q8"/>
  <c r="R8"/>
  <c r="S8"/>
  <c r="T8"/>
  <c r="U8"/>
  <c r="V8"/>
  <c r="W8"/>
  <c r="X8"/>
  <c r="Y8"/>
  <c r="F8"/>
  <c r="G4"/>
  <c r="H4"/>
  <c r="I4"/>
  <c r="J4"/>
  <c r="K4"/>
  <c r="L4"/>
  <c r="M4"/>
  <c r="N4"/>
  <c r="O4"/>
  <c r="P4"/>
  <c r="Q4"/>
  <c r="R4"/>
  <c r="S4"/>
  <c r="T4"/>
  <c r="U4"/>
  <c r="V4"/>
  <c r="W4"/>
  <c r="X4"/>
  <c r="Y4"/>
  <c r="F4"/>
  <c r="C5"/>
  <c r="L16" i="1"/>
  <c r="J16"/>
  <c r="H16"/>
  <c r="C16"/>
  <c r="D16"/>
  <c r="E16"/>
  <c r="F16"/>
  <c r="G16"/>
  <c r="N16"/>
  <c r="O16"/>
  <c r="P16"/>
  <c r="B16"/>
  <c r="M15"/>
  <c r="K15"/>
  <c r="K16" s="1"/>
  <c r="I15"/>
  <c r="I16" s="1"/>
  <c r="E15"/>
  <c r="C15"/>
  <c r="O14"/>
  <c r="M14"/>
  <c r="K14"/>
  <c r="I14"/>
  <c r="G14"/>
  <c r="E14"/>
  <c r="C14"/>
  <c r="N13"/>
  <c r="O13" s="1"/>
  <c r="M13"/>
  <c r="G13"/>
  <c r="E13"/>
  <c r="C13"/>
  <c r="O12"/>
  <c r="N12"/>
  <c r="M12"/>
  <c r="G12"/>
  <c r="E12"/>
  <c r="C12"/>
  <c r="N11"/>
  <c r="O11" s="1"/>
  <c r="M11"/>
  <c r="G11"/>
  <c r="E11"/>
  <c r="C11"/>
  <c r="N10"/>
  <c r="O10" s="1"/>
  <c r="M10"/>
  <c r="G10"/>
  <c r="E10"/>
  <c r="C10"/>
  <c r="N9"/>
  <c r="O9" s="1"/>
  <c r="M9"/>
  <c r="G9"/>
  <c r="E9"/>
  <c r="C9"/>
  <c r="N8"/>
  <c r="O8" s="1"/>
  <c r="M8"/>
  <c r="G8"/>
  <c r="E8"/>
  <c r="C8"/>
  <c r="N7"/>
  <c r="O7" s="1"/>
  <c r="M7"/>
  <c r="M16" s="1"/>
  <c r="G7"/>
  <c r="N6"/>
  <c r="O6" s="1"/>
</calcChain>
</file>

<file path=xl/sharedStrings.xml><?xml version="1.0" encoding="utf-8"?>
<sst xmlns="http://schemas.openxmlformats.org/spreadsheetml/2006/main" count="212" uniqueCount="110">
  <si>
    <t>Tilslutningsbidrag, bolig</t>
  </si>
  <si>
    <t>Incl. Moms (kr.)</t>
  </si>
  <si>
    <t>Eksl. Moms (kr.)</t>
  </si>
  <si>
    <t xml:space="preserve">Ex. Moms (Kr. pr. m3) </t>
  </si>
  <si>
    <t xml:space="preserve">Incl. Moms (Kr. pr. m3) </t>
  </si>
  <si>
    <t>Vandafdelingsbidrag, u. vandmåler parc. 170m3</t>
  </si>
  <si>
    <t>Kommunale veje/private veje</t>
  </si>
  <si>
    <t>Kommun. Bidrag udgør (%)</t>
  </si>
  <si>
    <t>Tilslutningsbidrag, erhverv</t>
  </si>
  <si>
    <t>Fast bidrag</t>
  </si>
  <si>
    <t>-</t>
  </si>
  <si>
    <t>Kr.</t>
  </si>
  <si>
    <t>År</t>
  </si>
  <si>
    <t>Vandafdelingsbidrag, vandmåler Trin1 0-500m3</t>
  </si>
  <si>
    <t>Vandafdelingsbidrag, vandmåler Trin2 501-2000m3</t>
  </si>
  <si>
    <t>Vandafdelingsbidrag, vandmåler Trin3 20000m3&lt;</t>
  </si>
  <si>
    <t>(slutværdi – begyndelsesværdi) / begyndelsesværdi * 100</t>
  </si>
  <si>
    <t>Tilvækst %</t>
  </si>
  <si>
    <t>Tilvækst (% /+ ):</t>
  </si>
  <si>
    <t>4431 Vandafledningsafgift, kloak</t>
  </si>
  <si>
    <t>..</t>
  </si>
  <si>
    <t>1981:1981</t>
  </si>
  <si>
    <t>1987:1987</t>
  </si>
  <si>
    <t>1993:1995</t>
  </si>
  <si>
    <t>1994:1996</t>
  </si>
  <si>
    <t>1995:1997</t>
  </si>
  <si>
    <t>1996:1998</t>
  </si>
  <si>
    <t>1997:1999</t>
  </si>
  <si>
    <t>1998:2000</t>
  </si>
  <si>
    <t>1999:2001</t>
  </si>
  <si>
    <t>2000:2002</t>
  </si>
  <si>
    <t>2001:2003</t>
  </si>
  <si>
    <t>2002:2004</t>
  </si>
  <si>
    <t>2003:2005</t>
  </si>
  <si>
    <t>2004:2006</t>
  </si>
  <si>
    <t>2005:2007</t>
  </si>
  <si>
    <t>2006:2008</t>
  </si>
  <si>
    <t>2007:2009</t>
  </si>
  <si>
    <t>2008:2010</t>
  </si>
  <si>
    <t>2009:2011</t>
  </si>
  <si>
    <t>2010:2012</t>
  </si>
  <si>
    <t>2011:2013</t>
  </si>
  <si>
    <t>2012:2014</t>
  </si>
  <si>
    <t>2013:2014</t>
  </si>
  <si>
    <t>Enhed: kr. pr. år</t>
  </si>
  <si>
    <t xml:space="preserve">Data indsamles over 3 år og omregnes til det midterste. Fx indeholder 1993:1995 tal for året 1994.  Forbruget er inkl. moms mv.  Der er foretaget usikkerhedsberegninger for Forbrugsundersøgelsen fra 2010. For mere information se: www.dst.dk/forbrug Ved brug af årene 1981 og 1987 henvises til vores varedeklaration om databrud og metode. </t>
  </si>
  <si>
    <t>4411 Vandforsyning</t>
  </si>
  <si>
    <t>Vandforbrug, national midelværdi pr. husstand</t>
  </si>
  <si>
    <t>Løbende priser</t>
  </si>
  <si>
    <t>Faste priser</t>
  </si>
  <si>
    <t>Tilvækst total</t>
  </si>
  <si>
    <t>Tilvækst ift. 1994</t>
  </si>
  <si>
    <t>løbende</t>
  </si>
  <si>
    <t>faste</t>
  </si>
  <si>
    <t>Data fra DIN Forsyning</t>
  </si>
  <si>
    <t>Enhed: mio. kr.</t>
  </si>
  <si>
    <t>Udgifter og intægter til spildevand samt vandforsyning</t>
  </si>
  <si>
    <t>Foreløbige tal</t>
  </si>
  <si>
    <t>foreløbige tal</t>
  </si>
  <si>
    <t>Vandregnskab - Indvinding og forbrug efter opgørelse, branche, vandtype og tid</t>
  </si>
  <si>
    <t>Enhed: Mio. Kubikmeter (Mio. m3)</t>
  </si>
  <si>
    <t>2010</t>
  </si>
  <si>
    <t>2011</t>
  </si>
  <si>
    <t>2012</t>
  </si>
  <si>
    <t>2013</t>
  </si>
  <si>
    <t>2014</t>
  </si>
  <si>
    <t>Forbrug af vand</t>
  </si>
  <si>
    <t>Husholdninger</t>
  </si>
  <si>
    <t>Vand i alt</t>
  </si>
  <si>
    <t>Grundvand</t>
  </si>
  <si>
    <t>Overfladevand</t>
  </si>
  <si>
    <t>Brancher i alt</t>
  </si>
  <si>
    <t xml:space="preserve">FALD </t>
  </si>
  <si>
    <t>middel, fast</t>
  </si>
  <si>
    <t>% per år</t>
  </si>
  <si>
    <t>Nationale priser</t>
  </si>
  <si>
    <t xml:space="preserve">Nominal values of consumption. Households, DKK per year </t>
  </si>
  <si>
    <t xml:space="preserve">Nominal values of consumption, households. Price/m3/year. </t>
  </si>
  <si>
    <t>Nominal growth rate</t>
  </si>
  <si>
    <t xml:space="preserve">Real values of consumption. Households, DKK per year </t>
  </si>
  <si>
    <t xml:space="preserve">Real values of consumption, households. Price/m3/year. </t>
  </si>
  <si>
    <t>Real growth rate</t>
  </si>
  <si>
    <t>Year</t>
  </si>
  <si>
    <t xml:space="preserve">Composition of elements of the price </t>
  </si>
  <si>
    <t>of water, household with 2 persons</t>
  </si>
  <si>
    <t>Water consumption per m3, excl. VAT</t>
  </si>
  <si>
    <t>Water fee for the government, excl. VAT</t>
  </si>
  <si>
    <t>Water water fee per m3, excl. VAT</t>
  </si>
  <si>
    <t>Fixed water fee, excl. VAT</t>
  </si>
  <si>
    <t>Waste water fee per waste water plug, excl. VAT</t>
  </si>
  <si>
    <t>VAT</t>
  </si>
  <si>
    <t>Total price of 90 m3</t>
  </si>
  <si>
    <t>Element of the water price</t>
  </si>
  <si>
    <t>Water utility</t>
  </si>
  <si>
    <t xml:space="preserve">Waste water utility </t>
  </si>
  <si>
    <t xml:space="preserve">Government </t>
  </si>
  <si>
    <t>Tariff (DKK)</t>
  </si>
  <si>
    <t>Tariff  (%)</t>
  </si>
  <si>
    <t>Category (%)</t>
  </si>
  <si>
    <t xml:space="preserve">Category </t>
  </si>
  <si>
    <t>Citizens expenses:</t>
  </si>
  <si>
    <t>Low</t>
  </si>
  <si>
    <t>High</t>
  </si>
  <si>
    <t>Mean</t>
  </si>
  <si>
    <t>Administrative enforcement costs</t>
  </si>
  <si>
    <t>Price per unit</t>
  </si>
  <si>
    <t>Weekly hours</t>
  </si>
  <si>
    <t>Numbers of cases</t>
  </si>
  <si>
    <t>Hours per case</t>
  </si>
  <si>
    <t>DKK per year per case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</si>
</sst>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sz val="9"/>
      <color theme="1"/>
      <name val="Garamond"/>
      <family val="1"/>
    </font>
    <font>
      <b/>
      <sz val="9"/>
      <color theme="1"/>
      <name val="Garamond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64" fontId="1" fillId="0" borderId="2" xfId="0" applyNumberFormat="1" applyFont="1" applyBorder="1"/>
    <xf numFmtId="0" fontId="1" fillId="0" borderId="2" xfId="0" applyFont="1" applyBorder="1"/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 applyNumberFormat="1"/>
    <xf numFmtId="165" fontId="0" fillId="0" borderId="0" xfId="0" applyNumberFormat="1"/>
    <xf numFmtId="0" fontId="1" fillId="0" borderId="0" xfId="0" applyFont="1" applyFill="1" applyAlignment="1" applyProtection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2" fontId="0" fillId="0" borderId="1" xfId="0" applyNumberForma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Fill="1" applyProtection="1"/>
    <xf numFmtId="0" fontId="0" fillId="0" borderId="0" xfId="0" applyFill="1" applyProtection="1"/>
    <xf numFmtId="0" fontId="6" fillId="0" borderId="0" xfId="0" applyFont="1" applyFill="1" applyProtection="1"/>
    <xf numFmtId="2" fontId="0" fillId="0" borderId="0" xfId="0" applyNumberFormat="1" applyFont="1"/>
    <xf numFmtId="2" fontId="0" fillId="0" borderId="0" xfId="0" applyNumberFormat="1" applyFill="1" applyAlignment="1" applyProtection="1">
      <alignment horizontal="right"/>
    </xf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style val="3"/>
  <c:chart>
    <c:title>
      <c:tx>
        <c:rich>
          <a:bodyPr/>
          <a:lstStyle/>
          <a:p>
            <a:pPr>
              <a:defRPr/>
            </a:pPr>
            <a:r>
              <a:rPr lang="da-DK"/>
              <a:t>Water supply, national mean values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Waster supply, nominal values</c:v>
          </c:tx>
          <c:marker>
            <c:symbol val="none"/>
          </c:marker>
          <c:xVal>
            <c:numRef>
              <c:f>'Vandforbrug- og afledning'!$E$5:$Y$5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'Vandforbrug- og afledning'!$E$6:$Y$6</c:f>
              <c:numCache>
                <c:formatCode>Standard</c:formatCode>
                <c:ptCount val="21"/>
                <c:pt idx="0">
                  <c:v>1088.9000000000001</c:v>
                </c:pt>
                <c:pt idx="1">
                  <c:v>1195.2</c:v>
                </c:pt>
                <c:pt idx="2">
                  <c:v>1258.5999999999999</c:v>
                </c:pt>
                <c:pt idx="3">
                  <c:v>1213.5</c:v>
                </c:pt>
                <c:pt idx="4">
                  <c:v>1281.0999999999999</c:v>
                </c:pt>
                <c:pt idx="5">
                  <c:v>1217</c:v>
                </c:pt>
                <c:pt idx="6">
                  <c:v>1311.8</c:v>
                </c:pt>
                <c:pt idx="7">
                  <c:v>1326.8</c:v>
                </c:pt>
                <c:pt idx="8">
                  <c:v>1404</c:v>
                </c:pt>
                <c:pt idx="9">
                  <c:v>1484.3</c:v>
                </c:pt>
                <c:pt idx="10">
                  <c:v>1472</c:v>
                </c:pt>
                <c:pt idx="11">
                  <c:v>1455.4</c:v>
                </c:pt>
                <c:pt idx="12">
                  <c:v>1365.7</c:v>
                </c:pt>
                <c:pt idx="13">
                  <c:v>1544.2</c:v>
                </c:pt>
                <c:pt idx="14">
                  <c:v>1649</c:v>
                </c:pt>
                <c:pt idx="15">
                  <c:v>1785</c:v>
                </c:pt>
                <c:pt idx="16">
                  <c:v>1788.6</c:v>
                </c:pt>
                <c:pt idx="17">
                  <c:v>1761.1</c:v>
                </c:pt>
                <c:pt idx="18">
                  <c:v>1850.8</c:v>
                </c:pt>
                <c:pt idx="19">
                  <c:v>1885.6</c:v>
                </c:pt>
                <c:pt idx="20">
                  <c:v>1939</c:v>
                </c:pt>
              </c:numCache>
            </c:numRef>
          </c:yVal>
          <c:smooth val="1"/>
        </c:ser>
        <c:ser>
          <c:idx val="1"/>
          <c:order val="1"/>
          <c:tx>
            <c:v>Water supply, real values</c:v>
          </c:tx>
          <c:marker>
            <c:symbol val="none"/>
          </c:marker>
          <c:xVal>
            <c:numRef>
              <c:f>'Vandforbrug- og afledning'!$E$11:$Y$11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'Vandforbrug- og afledning'!$E$12:$Y$12</c:f>
              <c:numCache>
                <c:formatCode>Standard</c:formatCode>
                <c:ptCount val="21"/>
                <c:pt idx="0">
                  <c:v>2052.5</c:v>
                </c:pt>
                <c:pt idx="1">
                  <c:v>2025</c:v>
                </c:pt>
                <c:pt idx="2">
                  <c:v>2002.7</c:v>
                </c:pt>
                <c:pt idx="3">
                  <c:v>1685.5</c:v>
                </c:pt>
                <c:pt idx="4">
                  <c:v>1593.1</c:v>
                </c:pt>
                <c:pt idx="5">
                  <c:v>1520</c:v>
                </c:pt>
                <c:pt idx="6">
                  <c:v>1575.6</c:v>
                </c:pt>
                <c:pt idx="7">
                  <c:v>1562.2</c:v>
                </c:pt>
                <c:pt idx="8">
                  <c:v>1575.7</c:v>
                </c:pt>
                <c:pt idx="9">
                  <c:v>1581.5</c:v>
                </c:pt>
                <c:pt idx="10">
                  <c:v>1527.4</c:v>
                </c:pt>
                <c:pt idx="11">
                  <c:v>1455.4</c:v>
                </c:pt>
                <c:pt idx="12">
                  <c:v>1332.8</c:v>
                </c:pt>
                <c:pt idx="13">
                  <c:v>1417.5</c:v>
                </c:pt>
                <c:pt idx="14">
                  <c:v>1453.2</c:v>
                </c:pt>
                <c:pt idx="15">
                  <c:v>1490.4</c:v>
                </c:pt>
                <c:pt idx="16">
                  <c:v>1453.8</c:v>
                </c:pt>
                <c:pt idx="17">
                  <c:v>1391.6</c:v>
                </c:pt>
                <c:pt idx="18">
                  <c:v>1422.9</c:v>
                </c:pt>
                <c:pt idx="19">
                  <c:v>1442.8</c:v>
                </c:pt>
                <c:pt idx="20">
                  <c:v>1487.3</c:v>
                </c:pt>
              </c:numCache>
            </c:numRef>
          </c:yVal>
          <c:smooth val="1"/>
        </c:ser>
        <c:axId val="107386752"/>
        <c:axId val="107409792"/>
      </c:scatterChart>
      <c:valAx>
        <c:axId val="1073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</c:title>
        <c:numFmt formatCode="Standard" sourceLinked="1"/>
        <c:majorTickMark val="none"/>
        <c:tickLblPos val="nextTo"/>
        <c:crossAx val="107409792"/>
        <c:crosses val="autoZero"/>
        <c:crossBetween val="midCat"/>
      </c:valAx>
      <c:valAx>
        <c:axId val="10740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Kr. per year</a:t>
                </a:r>
              </a:p>
            </c:rich>
          </c:tx>
        </c:title>
        <c:numFmt formatCode="Standard" sourceLinked="1"/>
        <c:majorTickMark val="none"/>
        <c:tickLblPos val="nextTo"/>
        <c:crossAx val="107386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Growth rate of water supply, national mean values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Growth rate, nominal values</c:v>
          </c:tx>
          <c:marker>
            <c:symbol val="none"/>
          </c:marker>
          <c:xVal>
            <c:numRef>
              <c:f>'Vandforbrug- og afledning'!$E$5:$Y$5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'Vandforbrug- og afledning'!$E$7:$Y$7</c:f>
              <c:numCache>
                <c:formatCode>000.000</c:formatCode>
                <c:ptCount val="21"/>
                <c:pt idx="1">
                  <c:v>9.7621452842317886</c:v>
                </c:pt>
                <c:pt idx="2">
                  <c:v>15.58453485168517</c:v>
                </c:pt>
                <c:pt idx="3">
                  <c:v>11.442740380200194</c:v>
                </c:pt>
                <c:pt idx="4">
                  <c:v>17.650840297547965</c:v>
                </c:pt>
                <c:pt idx="5">
                  <c:v>11.764165671778851</c:v>
                </c:pt>
                <c:pt idx="6">
                  <c:v>20.470199283680763</c:v>
                </c:pt>
                <c:pt idx="7">
                  <c:v>21.847736247589296</c:v>
                </c:pt>
                <c:pt idx="8">
                  <c:v>28.937459821838541</c:v>
                </c:pt>
                <c:pt idx="9">
                  <c:v>36.311874368628878</c:v>
                </c:pt>
                <c:pt idx="10">
                  <c:v>35.182294058223881</c:v>
                </c:pt>
                <c:pt idx="11">
                  <c:v>33.657819818165116</c:v>
                </c:pt>
                <c:pt idx="12">
                  <c:v>25.420148773992096</c:v>
                </c:pt>
                <c:pt idx="13">
                  <c:v>41.812838644503621</c:v>
                </c:pt>
                <c:pt idx="14">
                  <c:v>51.437230232344554</c:v>
                </c:pt>
                <c:pt idx="15">
                  <c:v>63.926898705115242</c:v>
                </c:pt>
                <c:pt idx="16">
                  <c:v>64.257507576453278</c:v>
                </c:pt>
                <c:pt idx="17">
                  <c:v>61.732023142620974</c:v>
                </c:pt>
                <c:pt idx="18">
                  <c:v>69.969694186794001</c:v>
                </c:pt>
                <c:pt idx="19">
                  <c:v>73.165579943061786</c:v>
                </c:pt>
                <c:pt idx="20">
                  <c:v>78.069611534576168</c:v>
                </c:pt>
              </c:numCache>
            </c:numRef>
          </c:yVal>
          <c:smooth val="1"/>
        </c:ser>
        <c:ser>
          <c:idx val="1"/>
          <c:order val="1"/>
          <c:tx>
            <c:v>Growth rate, real values</c:v>
          </c:tx>
          <c:marker>
            <c:symbol val="none"/>
          </c:marker>
          <c:xVal>
            <c:numRef>
              <c:f>'Vandforbrug- og afledning'!$E$11:$Y$11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'Vandforbrug- og afledning'!$F$13:$Y$13</c:f>
              <c:numCache>
                <c:formatCode>Standard</c:formatCode>
                <c:ptCount val="20"/>
                <c:pt idx="0">
                  <c:v>-1.3398294762484775</c:v>
                </c:pt>
                <c:pt idx="1">
                  <c:v>-2.4263093788063315</c:v>
                </c:pt>
                <c:pt idx="2">
                  <c:v>-17.880633373934227</c:v>
                </c:pt>
                <c:pt idx="3">
                  <c:v>-22.382460414129117</c:v>
                </c:pt>
                <c:pt idx="4">
                  <c:v>-25.943970767356884</c:v>
                </c:pt>
                <c:pt idx="5">
                  <c:v>-23.235079171741781</c:v>
                </c:pt>
                <c:pt idx="6">
                  <c:v>-23.887941534713761</c:v>
                </c:pt>
                <c:pt idx="7">
                  <c:v>-23.230207064555419</c:v>
                </c:pt>
                <c:pt idx="8">
                  <c:v>-22.947624847746649</c:v>
                </c:pt>
                <c:pt idx="9">
                  <c:v>-25.583434835566376</c:v>
                </c:pt>
                <c:pt idx="10">
                  <c:v>-29.09135200974421</c:v>
                </c:pt>
                <c:pt idx="11">
                  <c:v>-35.064555420219243</c:v>
                </c:pt>
                <c:pt idx="12">
                  <c:v>-30.937880633373933</c:v>
                </c:pt>
                <c:pt idx="13">
                  <c:v>-29.19853836784409</c:v>
                </c:pt>
                <c:pt idx="14">
                  <c:v>-27.386114494518875</c:v>
                </c:pt>
                <c:pt idx="15">
                  <c:v>-29.169305724725948</c:v>
                </c:pt>
                <c:pt idx="16">
                  <c:v>-32.199756394640687</c:v>
                </c:pt>
                <c:pt idx="17">
                  <c:v>-30.674786845310592</c:v>
                </c:pt>
                <c:pt idx="18">
                  <c:v>-29.705237515225335</c:v>
                </c:pt>
                <c:pt idx="19">
                  <c:v>-27.53714981729598</c:v>
                </c:pt>
              </c:numCache>
            </c:numRef>
          </c:yVal>
          <c:smooth val="1"/>
        </c:ser>
        <c:axId val="107438848"/>
        <c:axId val="107440384"/>
      </c:scatterChart>
      <c:valAx>
        <c:axId val="107438848"/>
        <c:scaling>
          <c:orientation val="minMax"/>
        </c:scaling>
        <c:axPos val="b"/>
        <c:numFmt formatCode="Standard" sourceLinked="1"/>
        <c:tickLblPos val="nextTo"/>
        <c:crossAx val="107440384"/>
        <c:crosses val="autoZero"/>
        <c:crossBetween val="midCat"/>
      </c:valAx>
      <c:valAx>
        <c:axId val="107440384"/>
        <c:scaling>
          <c:orientation val="minMax"/>
        </c:scaling>
        <c:axPos val="l"/>
        <c:majorGridlines/>
        <c:numFmt formatCode="Standard" sourceLinked="1"/>
        <c:tickLblPos val="nextTo"/>
        <c:crossAx val="10743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'Vandforbrug- og afledning'!$F$53:$J$53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xVal>
          <c:yVal>
            <c:numRef>
              <c:f>'Vandforbrug- og afledning'!$F$54:$J$54</c:f>
              <c:numCache>
                <c:formatCode>Standard</c:formatCode>
                <c:ptCount val="5"/>
                <c:pt idx="0">
                  <c:v>238.4</c:v>
                </c:pt>
                <c:pt idx="1">
                  <c:v>238.2</c:v>
                </c:pt>
                <c:pt idx="2">
                  <c:v>239.8</c:v>
                </c:pt>
                <c:pt idx="3">
                  <c:v>240.1</c:v>
                </c:pt>
                <c:pt idx="4">
                  <c:v>220.9</c:v>
                </c:pt>
              </c:numCache>
            </c:numRef>
          </c:yVal>
          <c:smooth val="1"/>
        </c:ser>
        <c:axId val="107504384"/>
        <c:axId val="107505920"/>
      </c:scatterChart>
      <c:valAx>
        <c:axId val="107504384"/>
        <c:scaling>
          <c:orientation val="minMax"/>
        </c:scaling>
        <c:axPos val="b"/>
        <c:tickLblPos val="nextTo"/>
        <c:crossAx val="107505920"/>
        <c:crosses val="autoZero"/>
        <c:crossBetween val="midCat"/>
      </c:valAx>
      <c:valAx>
        <c:axId val="107505920"/>
        <c:scaling>
          <c:orientation val="minMax"/>
        </c:scaling>
        <c:axPos val="l"/>
        <c:majorGridlines/>
        <c:numFmt formatCode="Standard" sourceLinked="1"/>
        <c:tickLblPos val="nextTo"/>
        <c:crossAx val="107504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style val="7"/>
  <c:chart>
    <c:title>
      <c:layout/>
    </c:title>
    <c:plotArea>
      <c:layout/>
      <c:areaChart>
        <c:grouping val="standard"/>
        <c:ser>
          <c:idx val="0"/>
          <c:order val="0"/>
          <c:tx>
            <c:v>Water consumption, m3/person/year</c:v>
          </c:tx>
          <c:cat>
            <c:numRef>
              <c:f>'Vandforbrug- og afledning'!$H$11:$T$11</c:f>
              <c:numCache>
                <c:formatCode>Standard</c:formatCode>
                <c:ptCount val="1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</c:numCache>
            </c:numRef>
          </c:cat>
          <c:val>
            <c:numRef>
              <c:f>'Vandforbrug- og afledning'!$H$15:$T$15</c:f>
              <c:numCache>
                <c:formatCode>Standard</c:formatCode>
                <c:ptCount val="1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78</c:v>
                </c:pt>
                <c:pt idx="4">
                  <c:v>77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72</c:v>
                </c:pt>
                <c:pt idx="9">
                  <c:v>69</c:v>
                </c:pt>
                <c:pt idx="10">
                  <c:v>68</c:v>
                </c:pt>
                <c:pt idx="11">
                  <c:v>69.5</c:v>
                </c:pt>
                <c:pt idx="12">
                  <c:v>67.7</c:v>
                </c:pt>
              </c:numCache>
            </c:numRef>
          </c:val>
        </c:ser>
        <c:axId val="107533824"/>
        <c:axId val="107535360"/>
      </c:areaChart>
      <c:catAx>
        <c:axId val="107533824"/>
        <c:scaling>
          <c:orientation val="minMax"/>
        </c:scaling>
        <c:axPos val="b"/>
        <c:numFmt formatCode="Standard" sourceLinked="1"/>
        <c:tickLblPos val="nextTo"/>
        <c:crossAx val="107535360"/>
        <c:crosses val="autoZero"/>
        <c:auto val="1"/>
        <c:lblAlgn val="ctr"/>
        <c:lblOffset val="100"/>
      </c:catAx>
      <c:valAx>
        <c:axId val="107535360"/>
        <c:scaling>
          <c:orientation val="minMax"/>
          <c:min val="6"/>
        </c:scaling>
        <c:axPos val="l"/>
        <c:majorGridlines/>
        <c:numFmt formatCode="Standard" sourceLinked="1"/>
        <c:tickLblPos val="nextTo"/>
        <c:crossAx val="10753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Waste water fee, national mean values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Sewer fee, nominal values</c:v>
          </c:tx>
          <c:marker>
            <c:symbol val="none"/>
          </c:marker>
          <c:xVal>
            <c:numRef>
              <c:f>'Gnm værdier, vand+kloak'!$E$1:$V$1</c:f>
              <c:numCache>
                <c:formatCode>Standard</c:formatCode>
                <c:ptCount val="1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</c:numCache>
            </c:numRef>
          </c:xVal>
          <c:yVal>
            <c:numRef>
              <c:f>'Gnm værdier, vand+kloak'!$E$3:$Y$3</c:f>
              <c:numCache>
                <c:formatCode>Standard</c:formatCode>
                <c:ptCount val="21"/>
                <c:pt idx="0">
                  <c:v>712.1</c:v>
                </c:pt>
                <c:pt idx="1">
                  <c:v>766.3</c:v>
                </c:pt>
                <c:pt idx="2">
                  <c:v>1106.9000000000001</c:v>
                </c:pt>
                <c:pt idx="3">
                  <c:v>1433.1</c:v>
                </c:pt>
                <c:pt idx="4">
                  <c:v>1505.7</c:v>
                </c:pt>
                <c:pt idx="5">
                  <c:v>1329.2</c:v>
                </c:pt>
                <c:pt idx="6">
                  <c:v>1418.1</c:v>
                </c:pt>
                <c:pt idx="7">
                  <c:v>1453.8</c:v>
                </c:pt>
                <c:pt idx="8">
                  <c:v>1504.9</c:v>
                </c:pt>
                <c:pt idx="9">
                  <c:v>1588.9</c:v>
                </c:pt>
                <c:pt idx="10">
                  <c:v>1599.4</c:v>
                </c:pt>
                <c:pt idx="11">
                  <c:v>1596.1</c:v>
                </c:pt>
                <c:pt idx="12">
                  <c:v>1541.5</c:v>
                </c:pt>
                <c:pt idx="13">
                  <c:v>1756.6</c:v>
                </c:pt>
                <c:pt idx="14">
                  <c:v>1943.4</c:v>
                </c:pt>
                <c:pt idx="15">
                  <c:v>2145.1999999999998</c:v>
                </c:pt>
                <c:pt idx="16">
                  <c:v>2176.3000000000002</c:v>
                </c:pt>
                <c:pt idx="17">
                  <c:v>2142.6999999999998</c:v>
                </c:pt>
                <c:pt idx="18">
                  <c:v>2292.3000000000002</c:v>
                </c:pt>
                <c:pt idx="19">
                  <c:v>2347.4</c:v>
                </c:pt>
                <c:pt idx="20">
                  <c:v>2459.1999999999998</c:v>
                </c:pt>
              </c:numCache>
            </c:numRef>
          </c:yVal>
          <c:smooth val="1"/>
        </c:ser>
        <c:ser>
          <c:idx val="1"/>
          <c:order val="1"/>
          <c:tx>
            <c:v>Sewer fee, real values</c:v>
          </c:tx>
          <c:marker>
            <c:symbol val="none"/>
          </c:marker>
          <c:xVal>
            <c:numRef>
              <c:f>'Gnm værdier, vand+kloak'!$E$6:$Y$6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'Gnm værdier, vand+kloak'!$E$7:$Y$7</c:f>
              <c:numCache>
                <c:formatCode>Standard</c:formatCode>
                <c:ptCount val="21"/>
                <c:pt idx="0">
                  <c:v>1271.2</c:v>
                </c:pt>
                <c:pt idx="1">
                  <c:v>1229.5999999999999</c:v>
                </c:pt>
                <c:pt idx="2">
                  <c:v>1668.1</c:v>
                </c:pt>
                <c:pt idx="3">
                  <c:v>2082.9</c:v>
                </c:pt>
                <c:pt idx="4">
                  <c:v>2026.4</c:v>
                </c:pt>
                <c:pt idx="5">
                  <c:v>1669.8</c:v>
                </c:pt>
                <c:pt idx="6">
                  <c:v>1716.9</c:v>
                </c:pt>
                <c:pt idx="7">
                  <c:v>1709.2</c:v>
                </c:pt>
                <c:pt idx="8">
                  <c:v>1706</c:v>
                </c:pt>
                <c:pt idx="9">
                  <c:v>1748.4</c:v>
                </c:pt>
                <c:pt idx="10">
                  <c:v>1671.4</c:v>
                </c:pt>
                <c:pt idx="11">
                  <c:v>1596.1</c:v>
                </c:pt>
                <c:pt idx="12">
                  <c:v>1451.6</c:v>
                </c:pt>
                <c:pt idx="13">
                  <c:v>1470.2</c:v>
                </c:pt>
                <c:pt idx="14">
                  <c:v>1462.5</c:v>
                </c:pt>
                <c:pt idx="15">
                  <c:v>1463.4</c:v>
                </c:pt>
                <c:pt idx="16">
                  <c:v>1447.9</c:v>
                </c:pt>
                <c:pt idx="17">
                  <c:v>1435.9</c:v>
                </c:pt>
                <c:pt idx="18">
                  <c:v>1406.6</c:v>
                </c:pt>
                <c:pt idx="19">
                  <c:v>1387.4</c:v>
                </c:pt>
                <c:pt idx="20">
                  <c:v>1465.2</c:v>
                </c:pt>
              </c:numCache>
            </c:numRef>
          </c:yVal>
          <c:smooth val="1"/>
        </c:ser>
        <c:axId val="107865216"/>
        <c:axId val="107867136"/>
      </c:scatterChart>
      <c:valAx>
        <c:axId val="10786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  <c:layout/>
        </c:title>
        <c:numFmt formatCode="Standard" sourceLinked="1"/>
        <c:majorTickMark val="none"/>
        <c:tickLblPos val="nextTo"/>
        <c:crossAx val="107867136"/>
        <c:crosses val="autoZero"/>
        <c:crossBetween val="midCat"/>
      </c:valAx>
      <c:valAx>
        <c:axId val="107867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Kr. per year</a:t>
                </a:r>
              </a:p>
            </c:rich>
          </c:tx>
          <c:layout/>
        </c:title>
        <c:numFmt formatCode="Standard" sourceLinked="1"/>
        <c:majorTickMark val="none"/>
        <c:tickLblPos val="nextTo"/>
        <c:crossAx val="10786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style val="7"/>
  <c:chart>
    <c:title>
      <c:tx>
        <c:rich>
          <a:bodyPr/>
          <a:lstStyle/>
          <a:p>
            <a:pPr>
              <a:defRPr/>
            </a:pPr>
            <a:r>
              <a:rPr lang="en-US" sz="1500"/>
              <a:t>Growth rate, waste water fee, national mean values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Sewer fee, nominal values</c:v>
          </c:tx>
          <c:marker>
            <c:symbol val="none"/>
          </c:marker>
          <c:xVal>
            <c:numRef>
              <c:f>'Gnm værdier, vand+kloak'!$E$1:$Y$1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'Gnm værdier, vand+kloak'!$E$4:$Y$4</c:f>
              <c:numCache>
                <c:formatCode>0,00</c:formatCode>
                <c:ptCount val="21"/>
                <c:pt idx="1">
                  <c:v>6.2682013590347987</c:v>
                </c:pt>
                <c:pt idx="2">
                  <c:v>53.501594785744011</c:v>
                </c:pt>
                <c:pt idx="3">
                  <c:v>98.738039106919956</c:v>
                </c:pt>
                <c:pt idx="4">
                  <c:v>108.80599084731659</c:v>
                </c:pt>
                <c:pt idx="5">
                  <c:v>84.329496602412974</c:v>
                </c:pt>
                <c:pt idx="6">
                  <c:v>96.657883788656193</c:v>
                </c:pt>
                <c:pt idx="7">
                  <c:v>101.60865344612398</c:v>
                </c:pt>
                <c:pt idx="8">
                  <c:v>108.69504923034255</c:v>
                </c:pt>
                <c:pt idx="9">
                  <c:v>120.34391901261961</c:v>
                </c:pt>
                <c:pt idx="10">
                  <c:v>121.80002773540426</c:v>
                </c:pt>
                <c:pt idx="11">
                  <c:v>121.34239356538619</c:v>
                </c:pt>
                <c:pt idx="12">
                  <c:v>113.77062820690611</c:v>
                </c:pt>
                <c:pt idx="13">
                  <c:v>143.60005547080848</c:v>
                </c:pt>
                <c:pt idx="14">
                  <c:v>169.50492303425324</c:v>
                </c:pt>
                <c:pt idx="15">
                  <c:v>197.4899459159617</c:v>
                </c:pt>
                <c:pt idx="16">
                  <c:v>201.80280127582861</c:v>
                </c:pt>
                <c:pt idx="17">
                  <c:v>197.14325336291773</c:v>
                </c:pt>
                <c:pt idx="18">
                  <c:v>217.88933573706842</c:v>
                </c:pt>
                <c:pt idx="19">
                  <c:v>225.53043960615727</c:v>
                </c:pt>
                <c:pt idx="20">
                  <c:v>241.03453057828315</c:v>
                </c:pt>
              </c:numCache>
            </c:numRef>
          </c:yVal>
          <c:smooth val="1"/>
        </c:ser>
        <c:ser>
          <c:idx val="1"/>
          <c:order val="1"/>
          <c:tx>
            <c:v>Sewer fee, real values</c:v>
          </c:tx>
          <c:marker>
            <c:symbol val="none"/>
          </c:marker>
          <c:xVal>
            <c:numRef>
              <c:f>'Gnm værdier, vand+kloak'!$E$6:$Y$6</c:f>
              <c:numCache>
                <c:formatCode>Standard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'Gnm værdier, vand+kloak'!$E$8:$Y$8</c:f>
              <c:numCache>
                <c:formatCode>Standard</c:formatCode>
                <c:ptCount val="21"/>
                <c:pt idx="1">
                  <c:v>-3.2724984266834594</c:v>
                </c:pt>
                <c:pt idx="2">
                  <c:v>31.222466960352413</c:v>
                </c:pt>
                <c:pt idx="3">
                  <c:v>63.853052234109512</c:v>
                </c:pt>
                <c:pt idx="4">
                  <c:v>59.40843297671492</c:v>
                </c:pt>
                <c:pt idx="5">
                  <c:v>31.356198867212075</c:v>
                </c:pt>
                <c:pt idx="6">
                  <c:v>35.061359345500314</c:v>
                </c:pt>
                <c:pt idx="7">
                  <c:v>34.455632473253615</c:v>
                </c:pt>
                <c:pt idx="8">
                  <c:v>34.203901825047197</c:v>
                </c:pt>
                <c:pt idx="9">
                  <c:v>37.539332913782253</c:v>
                </c:pt>
                <c:pt idx="10">
                  <c:v>31.482064191315295</c:v>
                </c:pt>
                <c:pt idx="11">
                  <c:v>25.558527375707978</c:v>
                </c:pt>
                <c:pt idx="12">
                  <c:v>14.191315292636867</c:v>
                </c:pt>
                <c:pt idx="13">
                  <c:v>15.65449968533669</c:v>
                </c:pt>
                <c:pt idx="14">
                  <c:v>15.04877281308999</c:v>
                </c:pt>
                <c:pt idx="15">
                  <c:v>15.119572057898051</c:v>
                </c:pt>
                <c:pt idx="16">
                  <c:v>13.900251730648208</c:v>
                </c:pt>
                <c:pt idx="17">
                  <c:v>12.956261799874138</c:v>
                </c:pt>
                <c:pt idx="18">
                  <c:v>10.651353052234098</c:v>
                </c:pt>
                <c:pt idx="19">
                  <c:v>9.1409691629955976</c:v>
                </c:pt>
                <c:pt idx="20">
                  <c:v>15.26117054751416</c:v>
                </c:pt>
              </c:numCache>
            </c:numRef>
          </c:yVal>
          <c:smooth val="1"/>
        </c:ser>
        <c:axId val="108036480"/>
        <c:axId val="108038400"/>
      </c:scatterChart>
      <c:valAx>
        <c:axId val="10803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  <a:p>
                <a:pPr>
                  <a:defRPr/>
                </a:pPr>
                <a:endParaRPr lang="da-DK"/>
              </a:p>
            </c:rich>
          </c:tx>
          <c:layout/>
        </c:title>
        <c:numFmt formatCode="Standard" sourceLinked="1"/>
        <c:majorTickMark val="none"/>
        <c:tickLblPos val="nextTo"/>
        <c:crossAx val="108038400"/>
        <c:crosses val="autoZero"/>
        <c:crossBetween val="midCat"/>
      </c:valAx>
      <c:valAx>
        <c:axId val="108038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%</a:t>
                </a:r>
              </a:p>
            </c:rich>
          </c:tx>
          <c:layout/>
        </c:title>
        <c:numFmt formatCode="Standard" sourceLinked="1"/>
        <c:majorTickMark val="none"/>
        <c:tickLblPos val="nextTo"/>
        <c:crossAx val="10803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29</xdr:row>
      <xdr:rowOff>19049</xdr:rowOff>
    </xdr:from>
    <xdr:to>
      <xdr:col>8</xdr:col>
      <xdr:colOff>523875</xdr:colOff>
      <xdr:row>48</xdr:row>
      <xdr:rowOff>9524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276224</xdr:colOff>
      <xdr:row>26</xdr:row>
      <xdr:rowOff>190499</xdr:rowOff>
    </xdr:from>
    <xdr:to>
      <xdr:col>20</xdr:col>
      <xdr:colOff>123824</xdr:colOff>
      <xdr:row>46</xdr:row>
      <xdr:rowOff>66675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61</xdr:row>
      <xdr:rowOff>19050</xdr:rowOff>
    </xdr:from>
    <xdr:to>
      <xdr:col>6</xdr:col>
      <xdr:colOff>542925</xdr:colOff>
      <xdr:row>75</xdr:row>
      <xdr:rowOff>95250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447674</xdr:colOff>
      <xdr:row>18</xdr:row>
      <xdr:rowOff>142874</xdr:rowOff>
    </xdr:from>
    <xdr:to>
      <xdr:col>18</xdr:col>
      <xdr:colOff>561974</xdr:colOff>
      <xdr:row>31</xdr:row>
      <xdr:rowOff>76199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104774</xdr:rowOff>
    </xdr:from>
    <xdr:to>
      <xdr:col>6</xdr:col>
      <xdr:colOff>285750</xdr:colOff>
      <xdr:row>30</xdr:row>
      <xdr:rowOff>76199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342899</xdr:colOff>
      <xdr:row>13</xdr:row>
      <xdr:rowOff>114300</xdr:rowOff>
    </xdr:from>
    <xdr:to>
      <xdr:col>15</xdr:col>
      <xdr:colOff>380999</xdr:colOff>
      <xdr:row>30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12</xdr:row>
      <xdr:rowOff>152400</xdr:rowOff>
    </xdr:from>
    <xdr:to>
      <xdr:col>12</xdr:col>
      <xdr:colOff>514350</xdr:colOff>
      <xdr:row>36</xdr:row>
      <xdr:rowOff>171450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" y="2438400"/>
          <a:ext cx="6972300" cy="4591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>
      <selection activeCell="F18" sqref="F18"/>
    </sheetView>
  </sheetViews>
  <sheetFormatPr defaultRowHeight="15"/>
  <cols>
    <col min="1" max="1" width="10.5703125" customWidth="1"/>
    <col min="2" max="2" width="14.7109375" customWidth="1"/>
    <col min="3" max="3" width="14.5703125" customWidth="1"/>
    <col min="4" max="4" width="14.42578125" customWidth="1"/>
    <col min="5" max="5" width="14.28515625" customWidth="1"/>
    <col min="6" max="6" width="19.5703125" customWidth="1"/>
    <col min="7" max="7" width="14.85546875" customWidth="1"/>
    <col min="8" max="8" width="20" customWidth="1"/>
    <col min="9" max="9" width="14.42578125" customWidth="1"/>
    <col min="10" max="10" width="16.5703125" customWidth="1"/>
    <col min="11" max="11" width="17.85546875" customWidth="1"/>
    <col min="12" max="12" width="11.85546875" customWidth="1"/>
    <col min="13" max="13" width="6.28515625" customWidth="1"/>
    <col min="14" max="14" width="21.140625" customWidth="1"/>
    <col min="15" max="15" width="21.85546875" customWidth="1"/>
    <col min="16" max="16" width="27.5703125" customWidth="1"/>
  </cols>
  <sheetData>
    <row r="1" spans="1:16">
      <c r="B1" t="s">
        <v>54</v>
      </c>
      <c r="N1">
        <v>170</v>
      </c>
    </row>
    <row r="3" spans="1:16">
      <c r="B3" s="26" t="s">
        <v>0</v>
      </c>
      <c r="C3" s="26"/>
      <c r="D3" s="26" t="s">
        <v>8</v>
      </c>
      <c r="E3" s="26"/>
      <c r="F3" s="26" t="s">
        <v>13</v>
      </c>
      <c r="G3" s="26"/>
      <c r="H3" s="26" t="s">
        <v>14</v>
      </c>
      <c r="I3" s="26"/>
      <c r="J3" s="26" t="s">
        <v>15</v>
      </c>
      <c r="K3" s="26"/>
      <c r="L3" s="26" t="s">
        <v>9</v>
      </c>
      <c r="M3" s="26"/>
      <c r="N3" s="27" t="s">
        <v>5</v>
      </c>
      <c r="O3" s="27"/>
      <c r="P3" t="s">
        <v>6</v>
      </c>
    </row>
    <row r="4" spans="1:16">
      <c r="A4" s="4" t="s">
        <v>12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3</v>
      </c>
      <c r="G4" s="3" t="s">
        <v>4</v>
      </c>
      <c r="H4" s="3" t="s">
        <v>3</v>
      </c>
      <c r="I4" s="3" t="s">
        <v>4</v>
      </c>
      <c r="J4" s="3" t="s">
        <v>3</v>
      </c>
      <c r="K4" s="3" t="s">
        <v>4</v>
      </c>
      <c r="L4" s="3" t="s">
        <v>11</v>
      </c>
      <c r="M4" s="3" t="s">
        <v>11</v>
      </c>
      <c r="N4" s="3" t="s">
        <v>3</v>
      </c>
      <c r="O4" s="3" t="s">
        <v>4</v>
      </c>
      <c r="P4" s="3" t="s">
        <v>7</v>
      </c>
    </row>
    <row r="5" spans="1:16">
      <c r="A5" s="5">
        <v>2006</v>
      </c>
      <c r="B5" s="1">
        <v>35539</v>
      </c>
      <c r="C5" s="1">
        <v>44423.75</v>
      </c>
      <c r="D5" s="1">
        <v>35539</v>
      </c>
      <c r="E5" s="1">
        <v>44423.75</v>
      </c>
      <c r="F5" s="1">
        <v>10.62</v>
      </c>
      <c r="G5" s="1">
        <v>13.28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  <c r="M5" s="1" t="s">
        <v>10</v>
      </c>
      <c r="N5" s="1">
        <v>1805.4</v>
      </c>
      <c r="O5" s="1">
        <v>2256.75</v>
      </c>
      <c r="P5">
        <v>2</v>
      </c>
    </row>
    <row r="6" spans="1:16">
      <c r="A6" s="5">
        <v>2007</v>
      </c>
      <c r="B6" s="1">
        <v>35755</v>
      </c>
      <c r="C6" s="1">
        <v>44693.75</v>
      </c>
      <c r="D6" s="1">
        <v>35755</v>
      </c>
      <c r="E6" s="1">
        <v>44693.75</v>
      </c>
      <c r="F6" s="1">
        <v>11.87</v>
      </c>
      <c r="G6" s="1">
        <v>14.84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>
        <f>F6*170</f>
        <v>2017.8999999999999</v>
      </c>
      <c r="O6" s="1">
        <f>(N6*25%)+N6</f>
        <v>2522.375</v>
      </c>
      <c r="P6">
        <v>8</v>
      </c>
    </row>
    <row r="7" spans="1:16">
      <c r="A7" s="5">
        <v>2008</v>
      </c>
      <c r="B7" s="1">
        <v>38114</v>
      </c>
      <c r="C7" s="1">
        <v>47642.5</v>
      </c>
      <c r="D7" s="1">
        <v>38114</v>
      </c>
      <c r="E7" s="1">
        <v>47642.5</v>
      </c>
      <c r="F7" s="1">
        <v>10.89</v>
      </c>
      <c r="G7" s="1">
        <f t="shared" ref="G7:G14" si="0">+(F7*25%)+F7</f>
        <v>13.612500000000001</v>
      </c>
      <c r="H7" s="1" t="s">
        <v>10</v>
      </c>
      <c r="I7" s="1" t="s">
        <v>10</v>
      </c>
      <c r="J7" s="1" t="s">
        <v>10</v>
      </c>
      <c r="K7" s="1" t="s">
        <v>10</v>
      </c>
      <c r="L7" s="1">
        <v>327</v>
      </c>
      <c r="M7" s="1">
        <f t="shared" ref="M7:M15" si="1">+(L7*25%)+L7</f>
        <v>408.75</v>
      </c>
      <c r="N7" s="1">
        <f>+(F7*N1)+L7</f>
        <v>2178.3000000000002</v>
      </c>
      <c r="O7" s="1">
        <f t="shared" ref="O7:O14" si="2">+(N7*25%)+N7</f>
        <v>2722.875</v>
      </c>
      <c r="P7">
        <v>8</v>
      </c>
    </row>
    <row r="8" spans="1:16">
      <c r="A8" s="5">
        <v>2009</v>
      </c>
      <c r="B8" s="1">
        <v>39709</v>
      </c>
      <c r="C8" s="1">
        <f t="shared" ref="C8:C15" si="3">+(B8*25%)+B8</f>
        <v>49636.25</v>
      </c>
      <c r="D8" s="1">
        <v>39709</v>
      </c>
      <c r="E8" s="1">
        <f t="shared" ref="E8:E15" si="4">+(D8*25%)+D8</f>
        <v>49636.25</v>
      </c>
      <c r="F8" s="1">
        <v>11.89</v>
      </c>
      <c r="G8" s="1">
        <f t="shared" si="0"/>
        <v>14.862500000000001</v>
      </c>
      <c r="H8" s="1" t="s">
        <v>10</v>
      </c>
      <c r="I8" s="1" t="s">
        <v>10</v>
      </c>
      <c r="J8" s="1" t="s">
        <v>10</v>
      </c>
      <c r="K8" s="1" t="s">
        <v>10</v>
      </c>
      <c r="L8" s="1">
        <v>356</v>
      </c>
      <c r="M8" s="1">
        <f t="shared" si="1"/>
        <v>445</v>
      </c>
      <c r="N8" s="1">
        <f>+(F8*N1)+L8</f>
        <v>2377.3000000000002</v>
      </c>
      <c r="O8" s="1">
        <f t="shared" si="2"/>
        <v>2971.625</v>
      </c>
      <c r="P8">
        <v>8</v>
      </c>
    </row>
    <row r="9" spans="1:16">
      <c r="A9" s="5">
        <v>2010</v>
      </c>
      <c r="B9" s="1">
        <v>39900</v>
      </c>
      <c r="C9" s="1">
        <f t="shared" si="3"/>
        <v>49875</v>
      </c>
      <c r="D9" s="1">
        <v>39900</v>
      </c>
      <c r="E9" s="1">
        <f t="shared" si="4"/>
        <v>49875</v>
      </c>
      <c r="F9" s="1">
        <v>14.89</v>
      </c>
      <c r="G9" s="1">
        <f t="shared" si="0"/>
        <v>18.612500000000001</v>
      </c>
      <c r="H9" s="1" t="s">
        <v>10</v>
      </c>
      <c r="I9" s="1" t="s">
        <v>10</v>
      </c>
      <c r="J9" s="1" t="s">
        <v>10</v>
      </c>
      <c r="K9" s="1" t="s">
        <v>10</v>
      </c>
      <c r="L9" s="1">
        <v>447</v>
      </c>
      <c r="M9" s="1">
        <f t="shared" si="1"/>
        <v>558.75</v>
      </c>
      <c r="N9" s="1">
        <f>+(F9*N1)+L9</f>
        <v>2978.3</v>
      </c>
      <c r="O9" s="1">
        <f t="shared" si="2"/>
        <v>3722.875</v>
      </c>
      <c r="P9">
        <v>2</v>
      </c>
    </row>
    <row r="10" spans="1:16">
      <c r="A10" s="5">
        <v>2011</v>
      </c>
      <c r="B10" s="1">
        <v>45511</v>
      </c>
      <c r="C10" s="1">
        <f t="shared" si="3"/>
        <v>56888.75</v>
      </c>
      <c r="D10" s="1">
        <v>45511</v>
      </c>
      <c r="E10" s="1">
        <f t="shared" si="4"/>
        <v>56888.75</v>
      </c>
      <c r="F10" s="1">
        <v>16.93</v>
      </c>
      <c r="G10" s="1">
        <f t="shared" si="0"/>
        <v>21.162500000000001</v>
      </c>
      <c r="H10" s="1" t="s">
        <v>10</v>
      </c>
      <c r="I10" s="1" t="s">
        <v>10</v>
      </c>
      <c r="J10" s="1" t="s">
        <v>10</v>
      </c>
      <c r="K10" s="1" t="s">
        <v>10</v>
      </c>
      <c r="L10" s="1">
        <v>508</v>
      </c>
      <c r="M10" s="1">
        <f t="shared" si="1"/>
        <v>635</v>
      </c>
      <c r="N10" s="1">
        <f>+(F10*N1)+L10</f>
        <v>3386.1</v>
      </c>
      <c r="O10" s="1">
        <f t="shared" si="2"/>
        <v>4232.625</v>
      </c>
      <c r="P10">
        <v>2</v>
      </c>
    </row>
    <row r="11" spans="1:16">
      <c r="A11" s="5">
        <v>2012</v>
      </c>
      <c r="B11" s="1">
        <v>41714.629999999997</v>
      </c>
      <c r="C11" s="1">
        <f t="shared" si="3"/>
        <v>52143.287499999999</v>
      </c>
      <c r="D11" s="1">
        <v>41714.629999999997</v>
      </c>
      <c r="E11" s="1">
        <f t="shared" si="4"/>
        <v>52143.287499999999</v>
      </c>
      <c r="F11" s="1">
        <v>18.53</v>
      </c>
      <c r="G11" s="1">
        <f t="shared" si="0"/>
        <v>23.162500000000001</v>
      </c>
      <c r="H11" s="1" t="s">
        <v>10</v>
      </c>
      <c r="I11" s="1" t="s">
        <v>10</v>
      </c>
      <c r="J11" s="1" t="s">
        <v>10</v>
      </c>
      <c r="K11" s="1" t="s">
        <v>10</v>
      </c>
      <c r="L11" s="1">
        <v>555</v>
      </c>
      <c r="M11" s="1">
        <f t="shared" si="1"/>
        <v>693.75</v>
      </c>
      <c r="N11" s="1">
        <f>+(F11*N1)+L11</f>
        <v>3705.1000000000004</v>
      </c>
      <c r="O11" s="1">
        <f t="shared" si="2"/>
        <v>4631.375</v>
      </c>
      <c r="P11">
        <v>8</v>
      </c>
    </row>
    <row r="12" spans="1:16">
      <c r="A12" s="5">
        <v>2013</v>
      </c>
      <c r="B12" s="1">
        <v>42000</v>
      </c>
      <c r="C12" s="1">
        <f t="shared" si="3"/>
        <v>52500</v>
      </c>
      <c r="D12" s="1">
        <v>42000</v>
      </c>
      <c r="E12" s="1">
        <f t="shared" si="4"/>
        <v>52500</v>
      </c>
      <c r="F12" s="1">
        <v>20.16</v>
      </c>
      <c r="G12" s="1">
        <f t="shared" si="0"/>
        <v>25.2</v>
      </c>
      <c r="H12" s="1" t="s">
        <v>10</v>
      </c>
      <c r="I12" s="1" t="s">
        <v>10</v>
      </c>
      <c r="J12" s="1" t="s">
        <v>10</v>
      </c>
      <c r="K12" s="1" t="s">
        <v>10</v>
      </c>
      <c r="L12" s="1">
        <v>566</v>
      </c>
      <c r="M12" s="1">
        <f t="shared" si="1"/>
        <v>707.5</v>
      </c>
      <c r="N12" s="1">
        <f>+(F12*N1)+L12</f>
        <v>3993.2</v>
      </c>
      <c r="O12" s="1">
        <f t="shared" si="2"/>
        <v>4991.5</v>
      </c>
      <c r="P12">
        <v>8</v>
      </c>
    </row>
    <row r="13" spans="1:16">
      <c r="A13" s="5">
        <v>2014</v>
      </c>
      <c r="B13" s="1">
        <v>42700</v>
      </c>
      <c r="C13" s="1">
        <f t="shared" si="3"/>
        <v>53375</v>
      </c>
      <c r="D13" s="1">
        <v>42700</v>
      </c>
      <c r="E13" s="1">
        <f t="shared" si="4"/>
        <v>53375</v>
      </c>
      <c r="F13" s="1">
        <v>22.25</v>
      </c>
      <c r="G13" s="1">
        <f t="shared" si="0"/>
        <v>27.8125</v>
      </c>
      <c r="H13" s="1" t="s">
        <v>10</v>
      </c>
      <c r="I13" s="1" t="s">
        <v>10</v>
      </c>
      <c r="J13" s="1" t="s">
        <v>10</v>
      </c>
      <c r="K13" s="1" t="s">
        <v>10</v>
      </c>
      <c r="L13" s="1">
        <v>584</v>
      </c>
      <c r="M13" s="1">
        <f t="shared" si="1"/>
        <v>730</v>
      </c>
      <c r="N13" s="1">
        <f>+(F13*N1)+L13</f>
        <v>4366.5</v>
      </c>
      <c r="O13" s="1">
        <f t="shared" si="2"/>
        <v>5458.125</v>
      </c>
      <c r="P13">
        <v>8</v>
      </c>
    </row>
    <row r="14" spans="1:16">
      <c r="A14" s="5">
        <v>2015</v>
      </c>
      <c r="B14" s="1">
        <v>48140</v>
      </c>
      <c r="C14" s="1">
        <f t="shared" si="3"/>
        <v>60175</v>
      </c>
      <c r="D14" s="1">
        <v>48140</v>
      </c>
      <c r="E14" s="1">
        <f t="shared" si="4"/>
        <v>60175</v>
      </c>
      <c r="F14" s="1">
        <v>23.36</v>
      </c>
      <c r="G14" s="1">
        <f t="shared" si="0"/>
        <v>29.2</v>
      </c>
      <c r="H14" s="1">
        <v>21.49</v>
      </c>
      <c r="I14" s="1">
        <f>+(H14*25%)+H14</f>
        <v>26.862499999999997</v>
      </c>
      <c r="J14" s="1">
        <v>17.75</v>
      </c>
      <c r="K14" s="1">
        <f>+(J14*25%)+J14</f>
        <v>22.1875</v>
      </c>
      <c r="L14" s="1">
        <v>589</v>
      </c>
      <c r="M14" s="1">
        <f t="shared" si="1"/>
        <v>736.25</v>
      </c>
      <c r="N14" s="1">
        <v>3971.2</v>
      </c>
      <c r="O14" s="1">
        <f t="shared" si="2"/>
        <v>4964</v>
      </c>
      <c r="P14">
        <v>8</v>
      </c>
    </row>
    <row r="15" spans="1:16">
      <c r="A15" s="5">
        <v>2016</v>
      </c>
      <c r="B15" s="1">
        <v>47590</v>
      </c>
      <c r="C15" s="1">
        <f t="shared" si="3"/>
        <v>59487.5</v>
      </c>
      <c r="D15" s="1">
        <v>47590</v>
      </c>
      <c r="E15" s="1">
        <f t="shared" si="4"/>
        <v>59487.5</v>
      </c>
      <c r="F15" s="1">
        <v>22.56</v>
      </c>
      <c r="G15" s="1">
        <f>+(F15*25%)+F15</f>
        <v>28.2</v>
      </c>
      <c r="H15" s="1">
        <v>18.05</v>
      </c>
      <c r="I15" s="1">
        <f>+(H15*25%)+H15</f>
        <v>22.5625</v>
      </c>
      <c r="J15" s="1">
        <v>9.02</v>
      </c>
      <c r="K15" s="1">
        <f>+(J15*25%)+J15</f>
        <v>11.274999999999999</v>
      </c>
      <c r="L15" s="1">
        <v>582</v>
      </c>
      <c r="M15" s="1">
        <f t="shared" si="1"/>
        <v>727.5</v>
      </c>
      <c r="N15" s="1">
        <v>3835.2</v>
      </c>
      <c r="O15" s="1">
        <v>4794</v>
      </c>
      <c r="P15">
        <v>8</v>
      </c>
    </row>
    <row r="16" spans="1:16">
      <c r="A16" s="6" t="s">
        <v>17</v>
      </c>
      <c r="B16" s="6">
        <f>(B15-B5)/B5*100</f>
        <v>33.909226483581421</v>
      </c>
      <c r="C16" s="6">
        <f t="shared" ref="C16:P16" si="5">(C15-C5)/C5*100</f>
        <v>33.909226483581421</v>
      </c>
      <c r="D16" s="6">
        <f t="shared" si="5"/>
        <v>33.909226483581421</v>
      </c>
      <c r="E16" s="6">
        <f t="shared" si="5"/>
        <v>33.909226483581421</v>
      </c>
      <c r="F16" s="6">
        <f t="shared" si="5"/>
        <v>112.42937853107344</v>
      </c>
      <c r="G16" s="6">
        <f t="shared" si="5"/>
        <v>112.34939759036145</v>
      </c>
      <c r="H16" s="6">
        <f>(H15-H14)/H14*100</f>
        <v>-16.007445323406223</v>
      </c>
      <c r="I16" s="6">
        <f t="shared" ref="I16:K16" si="6">(I15-I14)/I14*100</f>
        <v>-16.007445323406227</v>
      </c>
      <c r="J16" s="6">
        <f t="shared" si="6"/>
        <v>-49.183098591549296</v>
      </c>
      <c r="K16" s="6">
        <f t="shared" si="6"/>
        <v>-49.183098591549303</v>
      </c>
      <c r="L16" s="6">
        <f>+(L15-L7)/L7*100</f>
        <v>77.981651376146786</v>
      </c>
      <c r="M16" s="6">
        <f>+(M15-M7)/M7*100</f>
        <v>77.981651376146786</v>
      </c>
      <c r="N16" s="6">
        <f t="shared" si="5"/>
        <v>112.42937853107343</v>
      </c>
      <c r="O16" s="6">
        <f t="shared" si="5"/>
        <v>112.42937853107344</v>
      </c>
      <c r="P16" s="7">
        <f t="shared" si="5"/>
        <v>300</v>
      </c>
    </row>
    <row r="19" spans="2:4">
      <c r="B19" t="s">
        <v>18</v>
      </c>
      <c r="C19" s="2" t="s">
        <v>16</v>
      </c>
      <c r="D19" s="2"/>
    </row>
  </sheetData>
  <mergeCells count="7">
    <mergeCell ref="L3:M3"/>
    <mergeCell ref="B3:C3"/>
    <mergeCell ref="F3:G3"/>
    <mergeCell ref="N3:O3"/>
    <mergeCell ref="D3:E3"/>
    <mergeCell ref="H3:I3"/>
    <mergeCell ref="J3:K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4"/>
  <sheetViews>
    <sheetView topLeftCell="D1" workbookViewId="0">
      <selection activeCell="J19" sqref="J19"/>
    </sheetView>
  </sheetViews>
  <sheetFormatPr defaultRowHeight="15"/>
  <cols>
    <col min="1" max="1" width="24.7109375" customWidth="1"/>
    <col min="2" max="2" width="39.5703125" customWidth="1"/>
    <col min="5" max="5" width="17.5703125" customWidth="1"/>
    <col min="6" max="14" width="9.5703125" bestFit="1" customWidth="1"/>
    <col min="15" max="15" width="14.85546875" customWidth="1"/>
    <col min="16" max="25" width="9.5703125" bestFit="1" customWidth="1"/>
  </cols>
  <sheetData>
    <row r="1" spans="1:25">
      <c r="B1" t="s">
        <v>47</v>
      </c>
    </row>
    <row r="3" spans="1:25">
      <c r="B3" t="s">
        <v>44</v>
      </c>
      <c r="H3" s="19">
        <v>82</v>
      </c>
      <c r="I3" s="19">
        <v>80</v>
      </c>
      <c r="J3" s="19">
        <v>80</v>
      </c>
      <c r="K3" s="19">
        <v>78</v>
      </c>
      <c r="L3" s="19">
        <v>77</v>
      </c>
      <c r="M3" s="19">
        <v>74</v>
      </c>
      <c r="N3" s="19">
        <v>75</v>
      </c>
      <c r="O3" s="19">
        <v>76</v>
      </c>
      <c r="P3" s="19">
        <v>72</v>
      </c>
      <c r="Q3" s="19">
        <v>69</v>
      </c>
      <c r="R3" s="19">
        <v>68</v>
      </c>
      <c r="S3" s="19">
        <v>69.5</v>
      </c>
      <c r="T3" s="19">
        <v>67.7</v>
      </c>
    </row>
    <row r="4" spans="1:25">
      <c r="C4" s="8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8" t="s">
        <v>30</v>
      </c>
      <c r="M4" s="8" t="s">
        <v>31</v>
      </c>
      <c r="N4" s="8" t="s">
        <v>32</v>
      </c>
      <c r="O4" s="8" t="s">
        <v>33</v>
      </c>
      <c r="P4" s="8" t="s">
        <v>34</v>
      </c>
      <c r="Q4" s="8" t="s">
        <v>35</v>
      </c>
      <c r="R4" s="8" t="s">
        <v>36</v>
      </c>
      <c r="S4" s="8" t="s">
        <v>37</v>
      </c>
      <c r="T4" s="8" t="s">
        <v>38</v>
      </c>
      <c r="U4" s="8" t="s">
        <v>39</v>
      </c>
      <c r="V4" s="8" t="s">
        <v>40</v>
      </c>
      <c r="W4" s="8" t="s">
        <v>41</v>
      </c>
      <c r="X4" s="8" t="s">
        <v>42</v>
      </c>
      <c r="Y4" s="8" t="s">
        <v>43</v>
      </c>
    </row>
    <row r="5" spans="1:25">
      <c r="B5" s="5" t="s">
        <v>12</v>
      </c>
      <c r="C5" s="5">
        <v>1981</v>
      </c>
      <c r="D5" s="5">
        <v>1987</v>
      </c>
      <c r="E5" s="5">
        <v>1994</v>
      </c>
      <c r="F5" s="5">
        <v>1995</v>
      </c>
      <c r="G5" s="5">
        <v>1996</v>
      </c>
      <c r="H5" s="5">
        <v>1997</v>
      </c>
      <c r="I5" s="5">
        <v>1998</v>
      </c>
      <c r="J5" s="5">
        <v>1999</v>
      </c>
      <c r="K5" s="5">
        <v>2000</v>
      </c>
      <c r="L5" s="5">
        <v>2001</v>
      </c>
      <c r="M5" s="5">
        <v>2002</v>
      </c>
      <c r="N5" s="5">
        <v>2003</v>
      </c>
      <c r="O5" s="5">
        <v>2004</v>
      </c>
      <c r="P5" s="5">
        <v>2005</v>
      </c>
      <c r="Q5" s="5">
        <v>2006</v>
      </c>
      <c r="R5" s="5">
        <v>2007</v>
      </c>
      <c r="S5" s="5">
        <v>2008</v>
      </c>
      <c r="T5" s="5">
        <v>2009</v>
      </c>
      <c r="U5" s="5">
        <v>2010</v>
      </c>
      <c r="V5" s="5">
        <v>2011</v>
      </c>
      <c r="W5" s="5">
        <v>2012</v>
      </c>
      <c r="X5" s="5">
        <v>2013</v>
      </c>
      <c r="Y5" s="5">
        <v>2014</v>
      </c>
    </row>
    <row r="6" spans="1:25">
      <c r="A6" s="13" t="s">
        <v>48</v>
      </c>
      <c r="B6" s="12" t="s">
        <v>46</v>
      </c>
      <c r="C6" s="9">
        <v>250.7</v>
      </c>
      <c r="D6" s="9">
        <v>393.8</v>
      </c>
      <c r="E6" s="9">
        <v>1088.9000000000001</v>
      </c>
      <c r="F6" s="9">
        <v>1195.2</v>
      </c>
      <c r="G6" s="9">
        <v>1258.5999999999999</v>
      </c>
      <c r="H6" s="9">
        <v>1213.5</v>
      </c>
      <c r="I6" s="9">
        <v>1281.0999999999999</v>
      </c>
      <c r="J6" s="9">
        <v>1217</v>
      </c>
      <c r="K6" s="9">
        <v>1311.8</v>
      </c>
      <c r="L6" s="9">
        <v>1326.8</v>
      </c>
      <c r="M6" s="9">
        <v>1404</v>
      </c>
      <c r="N6" s="9">
        <v>1484.3</v>
      </c>
      <c r="O6" s="9">
        <v>1472</v>
      </c>
      <c r="P6" s="9">
        <v>1455.4</v>
      </c>
      <c r="Q6" s="9">
        <v>1365.7</v>
      </c>
      <c r="R6" s="9">
        <v>1544.2</v>
      </c>
      <c r="S6" s="9">
        <v>1649</v>
      </c>
      <c r="T6" s="9">
        <v>1785</v>
      </c>
      <c r="U6" s="9">
        <v>1788.6</v>
      </c>
      <c r="V6" s="9">
        <v>1761.1</v>
      </c>
      <c r="W6" s="9">
        <v>1850.8</v>
      </c>
      <c r="X6" s="9">
        <v>1885.6</v>
      </c>
      <c r="Y6" s="9">
        <v>1939</v>
      </c>
    </row>
    <row r="7" spans="1:25">
      <c r="B7" s="14" t="s">
        <v>51</v>
      </c>
      <c r="F7" s="11">
        <f>(F6-$G$22)/$G$22*100</f>
        <v>9.7621452842317886</v>
      </c>
      <c r="G7" s="11">
        <f t="shared" ref="G7:Y7" si="0">(G6-$G$22)/$G$22*100</f>
        <v>15.58453485168517</v>
      </c>
      <c r="H7" s="11">
        <f t="shared" si="0"/>
        <v>11.442740380200194</v>
      </c>
      <c r="I7" s="11">
        <f t="shared" si="0"/>
        <v>17.650840297547965</v>
      </c>
      <c r="J7" s="11">
        <f t="shared" si="0"/>
        <v>11.764165671778851</v>
      </c>
      <c r="K7" s="11">
        <f t="shared" si="0"/>
        <v>20.470199283680763</v>
      </c>
      <c r="L7" s="11">
        <f t="shared" si="0"/>
        <v>21.847736247589296</v>
      </c>
      <c r="M7" s="11">
        <f t="shared" si="0"/>
        <v>28.937459821838541</v>
      </c>
      <c r="N7" s="11">
        <f t="shared" si="0"/>
        <v>36.311874368628878</v>
      </c>
      <c r="O7" s="11">
        <f t="shared" si="0"/>
        <v>35.182294058223881</v>
      </c>
      <c r="P7" s="11">
        <f t="shared" si="0"/>
        <v>33.657819818165116</v>
      </c>
      <c r="Q7" s="11">
        <f t="shared" si="0"/>
        <v>25.420148773992096</v>
      </c>
      <c r="R7" s="11">
        <f t="shared" si="0"/>
        <v>41.812838644503621</v>
      </c>
      <c r="S7" s="11">
        <f t="shared" si="0"/>
        <v>51.437230232344554</v>
      </c>
      <c r="T7" s="11">
        <f t="shared" si="0"/>
        <v>63.926898705115242</v>
      </c>
      <c r="U7" s="11">
        <f t="shared" si="0"/>
        <v>64.257507576453278</v>
      </c>
      <c r="V7" s="11">
        <f t="shared" si="0"/>
        <v>61.732023142620974</v>
      </c>
      <c r="W7" s="11">
        <f t="shared" si="0"/>
        <v>69.969694186794001</v>
      </c>
      <c r="X7" s="11">
        <f t="shared" si="0"/>
        <v>73.165579943061786</v>
      </c>
      <c r="Y7" s="11">
        <f t="shared" si="0"/>
        <v>78.069611534576168</v>
      </c>
    </row>
    <row r="8" spans="1:25">
      <c r="B8" s="4" t="s">
        <v>50</v>
      </c>
      <c r="C8" s="15">
        <f>(Y6-E6)/E6*100</f>
        <v>78.069611534576168</v>
      </c>
      <c r="D8" s="3"/>
      <c r="E8" s="3"/>
      <c r="F8" s="3"/>
      <c r="G8" s="3"/>
      <c r="H8" s="3">
        <f>H6/H3</f>
        <v>14.798780487804878</v>
      </c>
      <c r="I8" s="3">
        <f t="shared" ref="I8:T8" si="1">I6/I3</f>
        <v>16.013749999999998</v>
      </c>
      <c r="J8" s="3">
        <f t="shared" si="1"/>
        <v>15.2125</v>
      </c>
      <c r="K8" s="3">
        <f t="shared" si="1"/>
        <v>16.817948717948717</v>
      </c>
      <c r="L8" s="3">
        <f t="shared" si="1"/>
        <v>17.23116883116883</v>
      </c>
      <c r="M8" s="3">
        <f t="shared" si="1"/>
        <v>18.972972972972972</v>
      </c>
      <c r="N8" s="3">
        <f t="shared" si="1"/>
        <v>19.790666666666667</v>
      </c>
      <c r="O8" s="3">
        <f t="shared" si="1"/>
        <v>19.368421052631579</v>
      </c>
      <c r="P8" s="3">
        <f t="shared" si="1"/>
        <v>20.213888888888889</v>
      </c>
      <c r="Q8" s="3">
        <f t="shared" si="1"/>
        <v>19.792753623188407</v>
      </c>
      <c r="R8" s="3">
        <f t="shared" si="1"/>
        <v>22.708823529411767</v>
      </c>
      <c r="S8" s="3">
        <f t="shared" si="1"/>
        <v>23.726618705035971</v>
      </c>
      <c r="T8" s="3">
        <f t="shared" si="1"/>
        <v>26.366322008862628</v>
      </c>
      <c r="U8" s="3"/>
      <c r="V8" s="3"/>
      <c r="W8" s="3"/>
      <c r="X8" s="3"/>
      <c r="Y8" s="3"/>
    </row>
    <row r="11" spans="1:25">
      <c r="B11" s="5" t="s">
        <v>12</v>
      </c>
      <c r="C11" s="5">
        <v>1981</v>
      </c>
      <c r="D11" s="5">
        <v>1987</v>
      </c>
      <c r="E11" s="5">
        <v>1994</v>
      </c>
      <c r="F11" s="5">
        <v>1995</v>
      </c>
      <c r="G11" s="5">
        <v>1996</v>
      </c>
      <c r="H11" s="5">
        <v>1997</v>
      </c>
      <c r="I11" s="5">
        <v>1998</v>
      </c>
      <c r="J11" s="5">
        <v>1999</v>
      </c>
      <c r="K11" s="5">
        <v>2000</v>
      </c>
      <c r="L11" s="5">
        <v>2001</v>
      </c>
      <c r="M11" s="5">
        <v>2002</v>
      </c>
      <c r="N11" s="5">
        <v>2003</v>
      </c>
      <c r="O11" s="5">
        <v>2004</v>
      </c>
      <c r="P11" s="5">
        <v>2005</v>
      </c>
      <c r="Q11" s="5">
        <v>2006</v>
      </c>
      <c r="R11" s="5">
        <v>2007</v>
      </c>
      <c r="S11" s="5">
        <v>2008</v>
      </c>
      <c r="T11" s="5">
        <v>2009</v>
      </c>
      <c r="U11" s="5">
        <v>2010</v>
      </c>
      <c r="V11" s="5">
        <v>2011</v>
      </c>
      <c r="W11" s="5">
        <v>2012</v>
      </c>
      <c r="X11" s="5">
        <v>2013</v>
      </c>
      <c r="Y11" s="5">
        <v>2014</v>
      </c>
    </row>
    <row r="12" spans="1:25">
      <c r="A12" s="13" t="s">
        <v>49</v>
      </c>
      <c r="B12" s="12" t="s">
        <v>46</v>
      </c>
      <c r="C12" s="9" t="s">
        <v>20</v>
      </c>
      <c r="D12" s="9" t="s">
        <v>20</v>
      </c>
      <c r="E12" s="9">
        <v>2052.5</v>
      </c>
      <c r="F12" s="9">
        <v>2025</v>
      </c>
      <c r="G12" s="9">
        <v>2002.7</v>
      </c>
      <c r="H12" s="9">
        <v>1685.5</v>
      </c>
      <c r="I12" s="9">
        <v>1593.1</v>
      </c>
      <c r="J12" s="9">
        <v>1520</v>
      </c>
      <c r="K12" s="9">
        <v>1575.6</v>
      </c>
      <c r="L12" s="9">
        <v>1562.2</v>
      </c>
      <c r="M12" s="9">
        <v>1575.7</v>
      </c>
      <c r="N12" s="9">
        <v>1581.5</v>
      </c>
      <c r="O12" s="9">
        <v>1527.4</v>
      </c>
      <c r="P12" s="9">
        <v>1455.4</v>
      </c>
      <c r="Q12" s="9">
        <v>1332.8</v>
      </c>
      <c r="R12" s="9">
        <v>1417.5</v>
      </c>
      <c r="S12" s="9">
        <v>1453.2</v>
      </c>
      <c r="T12" s="9">
        <v>1490.4</v>
      </c>
      <c r="U12" s="9">
        <v>1453.8</v>
      </c>
      <c r="V12" s="9">
        <v>1391.6</v>
      </c>
      <c r="W12" s="9">
        <v>1422.9</v>
      </c>
      <c r="X12" s="9">
        <v>1442.8</v>
      </c>
      <c r="Y12" s="9">
        <v>1487.3</v>
      </c>
    </row>
    <row r="13" spans="1:25">
      <c r="B13" s="16" t="s">
        <v>51</v>
      </c>
      <c r="C13" s="17"/>
      <c r="D13" s="17"/>
      <c r="E13" s="17"/>
      <c r="F13" s="17">
        <f>(F12-$H$22)/$H$22*100</f>
        <v>-1.3398294762484775</v>
      </c>
      <c r="G13" s="17">
        <f t="shared" ref="G13:Y13" si="2">(G12-$H$22)/$H$22*100</f>
        <v>-2.4263093788063315</v>
      </c>
      <c r="H13" s="17">
        <f t="shared" si="2"/>
        <v>-17.880633373934227</v>
      </c>
      <c r="I13" s="17">
        <f t="shared" si="2"/>
        <v>-22.382460414129117</v>
      </c>
      <c r="J13" s="17">
        <f t="shared" si="2"/>
        <v>-25.943970767356884</v>
      </c>
      <c r="K13" s="17">
        <f t="shared" si="2"/>
        <v>-23.235079171741781</v>
      </c>
      <c r="L13" s="17">
        <f t="shared" si="2"/>
        <v>-23.887941534713761</v>
      </c>
      <c r="M13" s="17">
        <f t="shared" si="2"/>
        <v>-23.230207064555419</v>
      </c>
      <c r="N13" s="17">
        <f t="shared" si="2"/>
        <v>-22.947624847746649</v>
      </c>
      <c r="O13" s="17">
        <f t="shared" si="2"/>
        <v>-25.583434835566376</v>
      </c>
      <c r="P13" s="17">
        <f t="shared" si="2"/>
        <v>-29.09135200974421</v>
      </c>
      <c r="Q13" s="17">
        <f t="shared" si="2"/>
        <v>-35.064555420219243</v>
      </c>
      <c r="R13" s="17">
        <f t="shared" si="2"/>
        <v>-30.937880633373933</v>
      </c>
      <c r="S13" s="17">
        <f t="shared" si="2"/>
        <v>-29.19853836784409</v>
      </c>
      <c r="T13" s="17">
        <f t="shared" si="2"/>
        <v>-27.386114494518875</v>
      </c>
      <c r="U13" s="17">
        <f t="shared" si="2"/>
        <v>-29.169305724725948</v>
      </c>
      <c r="V13" s="17">
        <f t="shared" si="2"/>
        <v>-32.199756394640687</v>
      </c>
      <c r="W13" s="17">
        <f t="shared" si="2"/>
        <v>-30.674786845310592</v>
      </c>
      <c r="X13" s="17">
        <f t="shared" si="2"/>
        <v>-29.705237515225335</v>
      </c>
      <c r="Y13" s="17">
        <f t="shared" si="2"/>
        <v>-27.53714981729598</v>
      </c>
    </row>
    <row r="14" spans="1:25">
      <c r="B14" s="4" t="s">
        <v>50</v>
      </c>
      <c r="C14" s="3">
        <f>(Y12-E12)/E12*100</f>
        <v>-27.53714981729598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H15" s="19">
        <v>82</v>
      </c>
      <c r="I15" s="19">
        <v>80</v>
      </c>
      <c r="J15" s="19">
        <v>80</v>
      </c>
      <c r="K15" s="19">
        <v>78</v>
      </c>
      <c r="L15" s="19">
        <v>77</v>
      </c>
      <c r="M15" s="19">
        <v>74</v>
      </c>
      <c r="N15" s="19">
        <v>75</v>
      </c>
      <c r="O15" s="19">
        <v>76</v>
      </c>
      <c r="P15" s="19">
        <v>72</v>
      </c>
      <c r="Q15" s="19">
        <v>69</v>
      </c>
      <c r="R15" s="19">
        <v>68</v>
      </c>
      <c r="S15" s="19">
        <v>69.5</v>
      </c>
      <c r="T15" s="19">
        <v>67.7</v>
      </c>
    </row>
    <row r="16" spans="1:25">
      <c r="H16">
        <f>H12/H15</f>
        <v>20.554878048780488</v>
      </c>
      <c r="I16">
        <f t="shared" ref="I16:T16" si="3">I12/I15</f>
        <v>19.91375</v>
      </c>
      <c r="J16">
        <f t="shared" si="3"/>
        <v>19</v>
      </c>
      <c r="K16">
        <f t="shared" si="3"/>
        <v>20.2</v>
      </c>
      <c r="L16">
        <f t="shared" si="3"/>
        <v>20.288311688311691</v>
      </c>
      <c r="M16">
        <f t="shared" si="3"/>
        <v>21.293243243243243</v>
      </c>
      <c r="N16">
        <f t="shared" si="3"/>
        <v>21.086666666666666</v>
      </c>
      <c r="O16">
        <f t="shared" si="3"/>
        <v>20.097368421052632</v>
      </c>
      <c r="P16">
        <f t="shared" si="3"/>
        <v>20.213888888888889</v>
      </c>
      <c r="Q16">
        <f t="shared" si="3"/>
        <v>19.315942028985507</v>
      </c>
      <c r="R16">
        <f t="shared" si="3"/>
        <v>20.845588235294116</v>
      </c>
      <c r="S16">
        <f t="shared" si="3"/>
        <v>20.909352517985614</v>
      </c>
      <c r="T16">
        <f t="shared" si="3"/>
        <v>22.014771048744461</v>
      </c>
    </row>
    <row r="17" spans="2:20">
      <c r="F17" t="s">
        <v>53</v>
      </c>
      <c r="I17">
        <f>(I16-H16)/H16*100</f>
        <v>-3.1191041234055152</v>
      </c>
      <c r="J17">
        <f t="shared" ref="J17:T17" si="4">(J16-I16)/I16*100</f>
        <v>-4.5885380704287249</v>
      </c>
      <c r="K17">
        <f t="shared" si="4"/>
        <v>6.3157894736842062</v>
      </c>
      <c r="L17">
        <f t="shared" si="4"/>
        <v>0.43718657580045167</v>
      </c>
      <c r="M17">
        <f t="shared" si="4"/>
        <v>4.9532537274183532</v>
      </c>
      <c r="N17">
        <f t="shared" si="4"/>
        <v>-0.97015083243426303</v>
      </c>
      <c r="O17">
        <f t="shared" si="4"/>
        <v>-4.6915819425262431</v>
      </c>
      <c r="P17">
        <f t="shared" si="4"/>
        <v>0.57977972735075833</v>
      </c>
      <c r="Q17">
        <f t="shared" si="4"/>
        <v>-4.4422271480722459</v>
      </c>
      <c r="R17">
        <f t="shared" si="4"/>
        <v>7.9190867523479911</v>
      </c>
      <c r="S17">
        <f t="shared" si="4"/>
        <v>0.30588862243540343</v>
      </c>
      <c r="T17">
        <f t="shared" si="4"/>
        <v>5.2867181315538021</v>
      </c>
    </row>
    <row r="19" spans="2:20">
      <c r="E19" t="s">
        <v>16</v>
      </c>
      <c r="G19" s="9"/>
    </row>
    <row r="20" spans="2:20">
      <c r="O20" t="s">
        <v>73</v>
      </c>
      <c r="P20">
        <f>AVERAGE(I17:T17)</f>
        <v>0.66550840781033116</v>
      </c>
      <c r="Q20" t="s">
        <v>74</v>
      </c>
    </row>
    <row r="21" spans="2:20">
      <c r="F21">
        <v>1994</v>
      </c>
      <c r="G21" s="9"/>
      <c r="P21">
        <f>(T16-H16)/H16*100</f>
        <v>7.1024162561284951</v>
      </c>
    </row>
    <row r="22" spans="2:20">
      <c r="G22">
        <v>1088.9000000000001</v>
      </c>
      <c r="H22">
        <v>2052.5</v>
      </c>
    </row>
    <row r="23" spans="2:20">
      <c r="G23" t="s">
        <v>52</v>
      </c>
      <c r="H23" t="s">
        <v>53</v>
      </c>
    </row>
    <row r="26" spans="2:20">
      <c r="B26">
        <f>CONFIDENCE(0.05,687.5,87)</f>
        <v>144.46450945135149</v>
      </c>
    </row>
    <row r="51" spans="3:12" ht="17.25">
      <c r="C51" s="18" t="s">
        <v>59</v>
      </c>
      <c r="D51" s="19"/>
      <c r="E51" s="19"/>
      <c r="F51" s="19"/>
      <c r="G51" s="19"/>
      <c r="H51" s="19"/>
      <c r="I51" s="19"/>
      <c r="J51" s="19"/>
    </row>
    <row r="52" spans="3:12">
      <c r="C52" s="20" t="s">
        <v>60</v>
      </c>
      <c r="D52" s="19"/>
      <c r="E52" s="19"/>
      <c r="F52" s="19"/>
      <c r="G52" s="19"/>
      <c r="H52" s="19"/>
      <c r="I52" s="19"/>
      <c r="J52" s="19"/>
    </row>
    <row r="53" spans="3:12">
      <c r="C53" s="19"/>
      <c r="D53" s="19"/>
      <c r="E53" s="19"/>
      <c r="F53" s="8" t="s">
        <v>61</v>
      </c>
      <c r="G53" s="8" t="s">
        <v>62</v>
      </c>
      <c r="H53" s="8" t="s">
        <v>63</v>
      </c>
      <c r="I53" s="8" t="s">
        <v>64</v>
      </c>
      <c r="J53" s="8" t="s">
        <v>65</v>
      </c>
    </row>
    <row r="54" spans="3:12">
      <c r="C54" s="8" t="s">
        <v>66</v>
      </c>
      <c r="D54" s="8" t="s">
        <v>67</v>
      </c>
      <c r="E54" s="8" t="s">
        <v>68</v>
      </c>
      <c r="F54" s="9">
        <v>238.4</v>
      </c>
      <c r="G54" s="9">
        <v>238.2</v>
      </c>
      <c r="H54" s="9">
        <v>239.8</v>
      </c>
      <c r="I54" s="9">
        <v>240.1</v>
      </c>
      <c r="J54" s="9">
        <v>220.9</v>
      </c>
      <c r="L54" s="5" t="s">
        <v>72</v>
      </c>
    </row>
    <row r="55" spans="3:12">
      <c r="C55" s="19"/>
      <c r="D55" s="19"/>
      <c r="E55" s="8" t="s">
        <v>69</v>
      </c>
      <c r="F55" s="9">
        <v>238.4</v>
      </c>
      <c r="G55" s="9">
        <v>238.2</v>
      </c>
      <c r="H55" s="9">
        <v>239.8</v>
      </c>
      <c r="I55" s="9">
        <v>240.1</v>
      </c>
      <c r="J55" s="9">
        <v>220.9</v>
      </c>
    </row>
    <row r="56" spans="3:12">
      <c r="C56" s="19"/>
      <c r="D56" s="19"/>
      <c r="E56" s="8" t="s">
        <v>70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3:12">
      <c r="C57" s="19"/>
      <c r="D57" s="8" t="s">
        <v>71</v>
      </c>
      <c r="E57" s="8" t="s">
        <v>68</v>
      </c>
      <c r="F57" s="9">
        <v>569.1</v>
      </c>
      <c r="G57" s="9">
        <v>624.29999999999995</v>
      </c>
      <c r="H57" s="9">
        <v>486</v>
      </c>
      <c r="I57" s="9">
        <v>756.9</v>
      </c>
      <c r="J57" s="9">
        <v>711</v>
      </c>
    </row>
    <row r="58" spans="3:12">
      <c r="C58" s="19"/>
      <c r="D58" s="19"/>
      <c r="E58" s="8" t="s">
        <v>69</v>
      </c>
      <c r="F58" s="9">
        <v>446.7</v>
      </c>
      <c r="G58" s="9">
        <v>441.3</v>
      </c>
      <c r="H58" s="9">
        <v>379.4</v>
      </c>
      <c r="I58" s="9">
        <v>508.7</v>
      </c>
      <c r="J58" s="9">
        <v>513.6</v>
      </c>
    </row>
    <row r="59" spans="3:12">
      <c r="C59" s="19"/>
      <c r="D59" s="19"/>
      <c r="E59" s="8" t="s">
        <v>70</v>
      </c>
      <c r="F59" s="9">
        <v>122.4</v>
      </c>
      <c r="G59" s="9">
        <v>183</v>
      </c>
      <c r="H59" s="9">
        <v>106.6</v>
      </c>
      <c r="I59" s="9">
        <v>248.2</v>
      </c>
      <c r="J59" s="9">
        <v>197.5</v>
      </c>
    </row>
    <row r="64" spans="3:12">
      <c r="G6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>
      <selection activeCell="F12" sqref="F12"/>
    </sheetView>
  </sheetViews>
  <sheetFormatPr defaultRowHeight="15"/>
  <cols>
    <col min="1" max="1" width="18.5703125" customWidth="1"/>
    <col min="2" max="2" width="31.140625" customWidth="1"/>
    <col min="3" max="3" width="10.28515625" customWidth="1"/>
    <col min="4" max="4" width="15.28515625" customWidth="1"/>
    <col min="6" max="8" width="9.28515625" bestFit="1" customWidth="1"/>
    <col min="9" max="9" width="9.5703125" bestFit="1" customWidth="1"/>
    <col min="10" max="11" width="9.28515625" bestFit="1" customWidth="1"/>
    <col min="12" max="24" width="9.5703125" bestFit="1" customWidth="1"/>
    <col min="25" max="25" width="15.28515625" customWidth="1"/>
  </cols>
  <sheetData>
    <row r="1" spans="1:25">
      <c r="B1" t="s">
        <v>44</v>
      </c>
      <c r="C1" s="5"/>
      <c r="D1" s="5"/>
      <c r="E1" s="5">
        <v>1994</v>
      </c>
      <c r="F1" s="5">
        <v>1995</v>
      </c>
      <c r="G1" s="5">
        <v>1996</v>
      </c>
      <c r="H1" s="5">
        <v>1997</v>
      </c>
      <c r="I1" s="5">
        <v>1998</v>
      </c>
      <c r="J1" s="5">
        <v>1999</v>
      </c>
      <c r="K1" s="5">
        <v>2000</v>
      </c>
      <c r="L1" s="5">
        <v>2001</v>
      </c>
      <c r="M1" s="5">
        <v>2002</v>
      </c>
      <c r="N1" s="5">
        <v>2003</v>
      </c>
      <c r="O1" s="5">
        <v>2004</v>
      </c>
      <c r="P1" s="5">
        <v>2005</v>
      </c>
      <c r="Q1" s="5">
        <v>2006</v>
      </c>
      <c r="R1" s="5">
        <v>2007</v>
      </c>
      <c r="S1" s="5">
        <v>2008</v>
      </c>
      <c r="T1" s="5">
        <v>2009</v>
      </c>
      <c r="U1" s="5">
        <v>2010</v>
      </c>
      <c r="V1" s="5">
        <v>2011</v>
      </c>
      <c r="W1" s="5">
        <v>2012</v>
      </c>
      <c r="X1" s="5">
        <v>2013</v>
      </c>
      <c r="Y1" s="5">
        <v>2014</v>
      </c>
    </row>
    <row r="2" spans="1:25"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8" t="s">
        <v>37</v>
      </c>
      <c r="T2" s="8" t="s">
        <v>38</v>
      </c>
      <c r="U2" s="8" t="s">
        <v>39</v>
      </c>
      <c r="V2" s="8" t="s">
        <v>40</v>
      </c>
      <c r="W2" s="8" t="s">
        <v>41</v>
      </c>
      <c r="X2" s="8" t="s">
        <v>42</v>
      </c>
      <c r="Y2" s="8" t="s">
        <v>43</v>
      </c>
    </row>
    <row r="3" spans="1:25">
      <c r="A3" s="13" t="s">
        <v>48</v>
      </c>
      <c r="B3" s="12" t="s">
        <v>19</v>
      </c>
      <c r="C3" s="9" t="s">
        <v>20</v>
      </c>
      <c r="D3" s="9" t="s">
        <v>20</v>
      </c>
      <c r="E3" s="9">
        <v>712.1</v>
      </c>
      <c r="F3" s="9">
        <v>766.3</v>
      </c>
      <c r="G3" s="9">
        <v>1106.9000000000001</v>
      </c>
      <c r="H3" s="9">
        <v>1433.1</v>
      </c>
      <c r="I3" s="9">
        <v>1505.7</v>
      </c>
      <c r="J3" s="9">
        <v>1329.2</v>
      </c>
      <c r="K3" s="9">
        <v>1418.1</v>
      </c>
      <c r="L3" s="9">
        <v>1453.8</v>
      </c>
      <c r="M3" s="9">
        <v>1504.9</v>
      </c>
      <c r="N3" s="9">
        <v>1588.9</v>
      </c>
      <c r="O3" s="9">
        <v>1599.4</v>
      </c>
      <c r="P3" s="9">
        <v>1596.1</v>
      </c>
      <c r="Q3" s="9">
        <v>1541.5</v>
      </c>
      <c r="R3" s="9">
        <v>1756.6</v>
      </c>
      <c r="S3" s="9">
        <v>1943.4</v>
      </c>
      <c r="T3" s="9">
        <v>2145.1999999999998</v>
      </c>
      <c r="U3" s="9">
        <v>2176.3000000000002</v>
      </c>
      <c r="V3" s="9">
        <v>2142.6999999999998</v>
      </c>
      <c r="W3" s="9">
        <v>2292.3000000000002</v>
      </c>
      <c r="X3" s="9">
        <v>2347.4</v>
      </c>
      <c r="Y3" s="9">
        <v>2459.1999999999998</v>
      </c>
    </row>
    <row r="4" spans="1:25">
      <c r="B4" s="14" t="s">
        <v>51</v>
      </c>
      <c r="F4" s="1">
        <f>(F3-$I$11)/$I$11*100</f>
        <v>6.2682013590347987</v>
      </c>
      <c r="G4" s="1">
        <f t="shared" ref="G4:Y4" si="0">(G3-$I$11)/$I$11*100</f>
        <v>53.501594785744011</v>
      </c>
      <c r="H4" s="1">
        <f t="shared" si="0"/>
        <v>98.738039106919956</v>
      </c>
      <c r="I4" s="1">
        <f t="shared" si="0"/>
        <v>108.80599084731659</v>
      </c>
      <c r="J4" s="1">
        <f t="shared" si="0"/>
        <v>84.329496602412974</v>
      </c>
      <c r="K4" s="1">
        <f t="shared" si="0"/>
        <v>96.657883788656193</v>
      </c>
      <c r="L4" s="1">
        <f t="shared" si="0"/>
        <v>101.60865344612398</v>
      </c>
      <c r="M4" s="1">
        <f t="shared" si="0"/>
        <v>108.69504923034255</v>
      </c>
      <c r="N4" s="1">
        <f t="shared" si="0"/>
        <v>120.34391901261961</v>
      </c>
      <c r="O4" s="1">
        <f t="shared" si="0"/>
        <v>121.80002773540426</v>
      </c>
      <c r="P4" s="1">
        <f t="shared" si="0"/>
        <v>121.34239356538619</v>
      </c>
      <c r="Q4" s="1">
        <f t="shared" si="0"/>
        <v>113.77062820690611</v>
      </c>
      <c r="R4" s="1">
        <f t="shared" si="0"/>
        <v>143.60005547080848</v>
      </c>
      <c r="S4" s="1">
        <f t="shared" si="0"/>
        <v>169.50492303425324</v>
      </c>
      <c r="T4" s="1">
        <f t="shared" si="0"/>
        <v>197.4899459159617</v>
      </c>
      <c r="U4" s="1">
        <f t="shared" si="0"/>
        <v>201.80280127582861</v>
      </c>
      <c r="V4" s="1">
        <f t="shared" si="0"/>
        <v>197.14325336291773</v>
      </c>
      <c r="W4" s="1">
        <f t="shared" si="0"/>
        <v>217.88933573706842</v>
      </c>
      <c r="X4" s="1">
        <f t="shared" si="0"/>
        <v>225.53043960615727</v>
      </c>
      <c r="Y4" s="1">
        <f t="shared" si="0"/>
        <v>241.03453057828315</v>
      </c>
    </row>
    <row r="5" spans="1:25">
      <c r="B5" s="4" t="s">
        <v>50</v>
      </c>
      <c r="C5" s="15">
        <f>(Y3-E3)/E3*100</f>
        <v>245.34475495014743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5">
      <c r="B6" s="5"/>
      <c r="D6" s="1"/>
      <c r="E6" s="5">
        <v>1994</v>
      </c>
      <c r="F6" s="5">
        <v>1995</v>
      </c>
      <c r="G6" s="5">
        <v>1996</v>
      </c>
      <c r="H6" s="5">
        <v>1997</v>
      </c>
      <c r="I6" s="5">
        <v>1998</v>
      </c>
      <c r="J6" s="5">
        <v>1999</v>
      </c>
      <c r="K6" s="5">
        <v>2000</v>
      </c>
      <c r="L6" s="5">
        <v>2001</v>
      </c>
      <c r="M6" s="5">
        <v>2002</v>
      </c>
      <c r="N6" s="5">
        <v>2003</v>
      </c>
      <c r="O6" s="5">
        <v>2004</v>
      </c>
      <c r="P6" s="5">
        <v>2005</v>
      </c>
      <c r="Q6" s="5">
        <v>2006</v>
      </c>
      <c r="R6" s="5">
        <v>2007</v>
      </c>
      <c r="S6" s="5">
        <v>2008</v>
      </c>
      <c r="T6" s="5">
        <v>2009</v>
      </c>
      <c r="U6" s="5">
        <v>2010</v>
      </c>
      <c r="V6" s="5">
        <v>2011</v>
      </c>
      <c r="W6" s="5">
        <v>2012</v>
      </c>
      <c r="X6" s="5">
        <v>2013</v>
      </c>
      <c r="Y6" s="5">
        <v>2014</v>
      </c>
    </row>
    <row r="7" spans="1:25">
      <c r="B7" s="12" t="s">
        <v>19</v>
      </c>
      <c r="E7" s="9">
        <v>1271.2</v>
      </c>
      <c r="F7" s="9">
        <v>1229.5999999999999</v>
      </c>
      <c r="G7" s="9">
        <v>1668.1</v>
      </c>
      <c r="H7" s="9">
        <v>2082.9</v>
      </c>
      <c r="I7" s="9">
        <v>2026.4</v>
      </c>
      <c r="J7" s="9">
        <v>1669.8</v>
      </c>
      <c r="K7" s="9">
        <v>1716.9</v>
      </c>
      <c r="L7" s="9">
        <v>1709.2</v>
      </c>
      <c r="M7" s="9">
        <v>1706</v>
      </c>
      <c r="N7" s="9">
        <v>1748.4</v>
      </c>
      <c r="O7" s="9">
        <v>1671.4</v>
      </c>
      <c r="P7" s="9">
        <v>1596.1</v>
      </c>
      <c r="Q7" s="9">
        <v>1451.6</v>
      </c>
      <c r="R7" s="9">
        <v>1470.2</v>
      </c>
      <c r="S7" s="9">
        <v>1462.5</v>
      </c>
      <c r="T7" s="9">
        <v>1463.4</v>
      </c>
      <c r="U7" s="9">
        <v>1447.9</v>
      </c>
      <c r="V7" s="9">
        <v>1435.9</v>
      </c>
      <c r="W7" s="9">
        <v>1406.6</v>
      </c>
      <c r="X7" s="9">
        <v>1387.4</v>
      </c>
      <c r="Y7" s="9">
        <v>1465.2</v>
      </c>
    </row>
    <row r="8" spans="1:25">
      <c r="A8" s="13" t="s">
        <v>49</v>
      </c>
      <c r="B8" s="14" t="s">
        <v>51</v>
      </c>
      <c r="F8">
        <f>(F7-$H$11)/$H$11*100</f>
        <v>-3.2724984266834594</v>
      </c>
      <c r="G8">
        <f t="shared" ref="G8:Y8" si="1">(G7-$H$11)/$H$11*100</f>
        <v>31.222466960352413</v>
      </c>
      <c r="H8">
        <f t="shared" si="1"/>
        <v>63.853052234109512</v>
      </c>
      <c r="I8">
        <f t="shared" si="1"/>
        <v>59.40843297671492</v>
      </c>
      <c r="J8">
        <f t="shared" si="1"/>
        <v>31.356198867212075</v>
      </c>
      <c r="K8">
        <f t="shared" si="1"/>
        <v>35.061359345500314</v>
      </c>
      <c r="L8">
        <f t="shared" si="1"/>
        <v>34.455632473253615</v>
      </c>
      <c r="M8">
        <f t="shared" si="1"/>
        <v>34.203901825047197</v>
      </c>
      <c r="N8">
        <f t="shared" si="1"/>
        <v>37.539332913782253</v>
      </c>
      <c r="O8">
        <f t="shared" si="1"/>
        <v>31.482064191315295</v>
      </c>
      <c r="P8">
        <f t="shared" si="1"/>
        <v>25.558527375707978</v>
      </c>
      <c r="Q8">
        <f t="shared" si="1"/>
        <v>14.191315292636867</v>
      </c>
      <c r="R8">
        <f t="shared" si="1"/>
        <v>15.65449968533669</v>
      </c>
      <c r="S8">
        <f t="shared" si="1"/>
        <v>15.04877281308999</v>
      </c>
      <c r="T8">
        <f t="shared" si="1"/>
        <v>15.119572057898051</v>
      </c>
      <c r="U8">
        <f t="shared" si="1"/>
        <v>13.900251730648208</v>
      </c>
      <c r="V8">
        <f t="shared" si="1"/>
        <v>12.956261799874138</v>
      </c>
      <c r="W8">
        <f t="shared" si="1"/>
        <v>10.651353052234098</v>
      </c>
      <c r="X8">
        <f t="shared" si="1"/>
        <v>9.1409691629955976</v>
      </c>
      <c r="Y8">
        <f t="shared" si="1"/>
        <v>15.26117054751416</v>
      </c>
    </row>
    <row r="9" spans="1:25">
      <c r="B9" s="5" t="s">
        <v>50</v>
      </c>
      <c r="C9" s="1">
        <f>(Y7-E7)/E7*100</f>
        <v>15.26117054751416</v>
      </c>
      <c r="H9">
        <f>+H7/67</f>
        <v>31.08805970149254</v>
      </c>
    </row>
    <row r="10" spans="1:25">
      <c r="C10" s="2"/>
      <c r="H10">
        <v>100</v>
      </c>
      <c r="I10">
        <v>100</v>
      </c>
    </row>
    <row r="11" spans="1:25">
      <c r="H11" s="9">
        <v>1271.2</v>
      </c>
      <c r="I11">
        <v>721.1</v>
      </c>
    </row>
    <row r="12" spans="1:25">
      <c r="H12" t="s">
        <v>53</v>
      </c>
      <c r="I12" t="s">
        <v>52</v>
      </c>
    </row>
    <row r="17" spans="3:3">
      <c r="C17" s="10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4"/>
  <sheetViews>
    <sheetView workbookViewId="0">
      <selection activeCell="I10" sqref="I10"/>
    </sheetView>
  </sheetViews>
  <sheetFormatPr defaultRowHeight="15"/>
  <cols>
    <col min="10" max="10" width="14" customWidth="1"/>
    <col min="11" max="11" width="17.42578125" customWidth="1"/>
  </cols>
  <sheetData>
    <row r="2" spans="2:11">
      <c r="B2" t="s">
        <v>55</v>
      </c>
      <c r="D2" t="s">
        <v>56</v>
      </c>
    </row>
    <row r="3" spans="2:11">
      <c r="J3" t="s">
        <v>57</v>
      </c>
      <c r="K3" t="s">
        <v>58</v>
      </c>
    </row>
    <row r="4" spans="2:11">
      <c r="D4">
        <v>1997</v>
      </c>
      <c r="E4">
        <v>1998</v>
      </c>
      <c r="F4">
        <v>1999</v>
      </c>
      <c r="G4">
        <v>2000</v>
      </c>
      <c r="H4">
        <v>2001</v>
      </c>
      <c r="I4">
        <v>2002</v>
      </c>
      <c r="J4">
        <v>2003</v>
      </c>
      <c r="K4">
        <v>2004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F4:S43"/>
  <sheetViews>
    <sheetView topLeftCell="G1" workbookViewId="0">
      <selection activeCell="L16" sqref="L16"/>
    </sheetView>
  </sheetViews>
  <sheetFormatPr defaultRowHeight="15"/>
  <cols>
    <col min="6" max="6" width="61.28515625" customWidth="1"/>
    <col min="7" max="7" width="18.7109375" customWidth="1"/>
    <col min="8" max="8" width="16.7109375" customWidth="1"/>
    <col min="9" max="9" width="14.85546875" customWidth="1"/>
    <col min="10" max="10" width="15.140625" customWidth="1"/>
    <col min="11" max="11" width="9.28515625" bestFit="1" customWidth="1"/>
    <col min="12" max="12" width="9.5703125" bestFit="1" customWidth="1"/>
    <col min="13" max="16" width="9.28515625" bestFit="1" customWidth="1"/>
    <col min="17" max="17" width="9.5703125" bestFit="1" customWidth="1"/>
    <col min="18" max="18" width="9.28515625" bestFit="1" customWidth="1"/>
    <col min="19" max="19" width="9.5703125" bestFit="1" customWidth="1"/>
  </cols>
  <sheetData>
    <row r="4" spans="6:19">
      <c r="F4" t="s">
        <v>75</v>
      </c>
    </row>
    <row r="6" spans="6:19">
      <c r="G6" s="5">
        <v>1997</v>
      </c>
      <c r="H6" s="5">
        <v>1998</v>
      </c>
      <c r="I6" s="5">
        <v>1999</v>
      </c>
      <c r="J6" s="5">
        <v>2000</v>
      </c>
      <c r="K6" s="5">
        <v>2001</v>
      </c>
      <c r="L6" s="5">
        <v>2002</v>
      </c>
      <c r="M6" s="5">
        <v>2003</v>
      </c>
      <c r="N6" s="5">
        <v>2004</v>
      </c>
      <c r="O6" s="5">
        <v>2005</v>
      </c>
      <c r="P6" s="5">
        <v>2006</v>
      </c>
      <c r="Q6" s="5">
        <v>2007</v>
      </c>
      <c r="R6" s="5">
        <v>2008</v>
      </c>
      <c r="S6" s="5">
        <v>2009</v>
      </c>
    </row>
    <row r="7" spans="6:19">
      <c r="F7" t="s">
        <v>76</v>
      </c>
      <c r="G7" s="21">
        <v>1685.5</v>
      </c>
      <c r="H7" s="21">
        <v>1593.1</v>
      </c>
      <c r="I7" s="21">
        <v>1520</v>
      </c>
      <c r="J7" s="21">
        <v>1575.6</v>
      </c>
      <c r="K7" s="21">
        <v>1562.2</v>
      </c>
      <c r="L7" s="21">
        <v>1575.7</v>
      </c>
      <c r="M7" s="21">
        <v>1581.5</v>
      </c>
      <c r="N7" s="21">
        <v>1527.4</v>
      </c>
      <c r="O7" s="21">
        <v>1455.4</v>
      </c>
      <c r="P7" s="21">
        <v>1332.8</v>
      </c>
      <c r="Q7" s="21">
        <v>1417.5</v>
      </c>
      <c r="R7" s="21">
        <v>1453.2</v>
      </c>
      <c r="S7" s="21">
        <v>1490.4</v>
      </c>
    </row>
    <row r="8" spans="6:19">
      <c r="F8" t="s">
        <v>77</v>
      </c>
      <c r="G8" s="1">
        <v>20.554878048780488</v>
      </c>
      <c r="H8" s="1">
        <v>19.91375</v>
      </c>
      <c r="I8" s="1">
        <v>19</v>
      </c>
      <c r="J8" s="1">
        <v>20.2</v>
      </c>
      <c r="K8" s="1">
        <v>20.288311688311691</v>
      </c>
      <c r="L8" s="1">
        <v>21.293243243243243</v>
      </c>
      <c r="M8" s="1">
        <v>21.086666666666666</v>
      </c>
      <c r="N8" s="1">
        <v>20.097368421052632</v>
      </c>
      <c r="O8" s="1">
        <v>20.213888888888889</v>
      </c>
      <c r="P8" s="1">
        <v>19.315942028985507</v>
      </c>
      <c r="Q8" s="1">
        <v>20.845588235294116</v>
      </c>
      <c r="R8" s="1">
        <v>20.909352517985614</v>
      </c>
      <c r="S8" s="1">
        <v>22.014771048744461</v>
      </c>
    </row>
    <row r="9" spans="6:19">
      <c r="F9" t="s">
        <v>78</v>
      </c>
      <c r="G9" s="1"/>
      <c r="H9" s="1">
        <v>-3.1191041234055152</v>
      </c>
      <c r="I9" s="1">
        <v>-4.5885380704287249</v>
      </c>
      <c r="J9" s="1">
        <v>6.3157894736842062</v>
      </c>
      <c r="K9" s="1">
        <v>0.43718657580045167</v>
      </c>
      <c r="L9" s="1">
        <v>4.9532537274183532</v>
      </c>
      <c r="M9" s="1">
        <v>-0.97015083243426303</v>
      </c>
      <c r="N9" s="1">
        <v>-4.6915819425262431</v>
      </c>
      <c r="O9" s="1">
        <v>0.57977972735075833</v>
      </c>
      <c r="P9" s="1">
        <v>-4.4422271480722459</v>
      </c>
      <c r="Q9" s="1">
        <v>7.9190867523479911</v>
      </c>
      <c r="R9" s="1">
        <v>0.30588862243540343</v>
      </c>
      <c r="S9" s="1">
        <v>5.2867181315538021</v>
      </c>
    </row>
    <row r="10" spans="6:19">
      <c r="F10" t="s">
        <v>79</v>
      </c>
      <c r="G10" s="22">
        <v>1213.5</v>
      </c>
      <c r="H10" s="22">
        <v>1281.0999999999999</v>
      </c>
      <c r="I10" s="22">
        <v>1217</v>
      </c>
      <c r="J10" s="22">
        <v>1311.8</v>
      </c>
      <c r="K10" s="22">
        <v>1326.8</v>
      </c>
      <c r="L10" s="22">
        <v>1404</v>
      </c>
      <c r="M10" s="22">
        <v>1484.3</v>
      </c>
      <c r="N10" s="22">
        <v>1472</v>
      </c>
      <c r="O10" s="22">
        <v>1455.4</v>
      </c>
      <c r="P10" s="22">
        <v>1365.7</v>
      </c>
      <c r="Q10" s="22">
        <v>1544.2</v>
      </c>
      <c r="R10" s="22">
        <v>1649</v>
      </c>
      <c r="S10" s="22">
        <v>1785</v>
      </c>
    </row>
    <row r="11" spans="6:19">
      <c r="F11" t="s">
        <v>80</v>
      </c>
      <c r="G11" s="1">
        <v>14.798780487804878</v>
      </c>
      <c r="H11" s="1">
        <v>16.013749999999998</v>
      </c>
      <c r="I11" s="1">
        <v>15.2125</v>
      </c>
      <c r="J11" s="1">
        <v>16.817948717948717</v>
      </c>
      <c r="K11" s="1">
        <v>17.23116883116883</v>
      </c>
      <c r="L11" s="1">
        <v>18.972972972972972</v>
      </c>
      <c r="M11" s="1">
        <v>19.790666666666667</v>
      </c>
      <c r="N11" s="1">
        <v>19.368421052631579</v>
      </c>
      <c r="O11" s="1">
        <v>20.213888888888889</v>
      </c>
      <c r="P11" s="1">
        <v>19.792753623188407</v>
      </c>
      <c r="Q11" s="1">
        <v>22.708823529411767</v>
      </c>
      <c r="R11" s="1">
        <v>23.726618705035971</v>
      </c>
      <c r="S11" s="1">
        <v>26.366322008862628</v>
      </c>
    </row>
    <row r="12" spans="6:19">
      <c r="F12" t="s">
        <v>81</v>
      </c>
      <c r="G12" s="1"/>
      <c r="H12" s="1">
        <f>(H11-G11)/G11*100</f>
        <v>8.209929954676543</v>
      </c>
      <c r="I12" s="1">
        <f t="shared" ref="I12:S12" si="0">(I11-H11)/H11*100</f>
        <v>-5.003512606353901</v>
      </c>
      <c r="J12" s="1">
        <f t="shared" si="0"/>
        <v>10.553483766302161</v>
      </c>
      <c r="K12" s="1">
        <f t="shared" si="0"/>
        <v>2.457018511295078</v>
      </c>
      <c r="L12" s="1">
        <f t="shared" si="0"/>
        <v>10.108450325513939</v>
      </c>
      <c r="M12" s="1">
        <f t="shared" si="0"/>
        <v>4.3097815764482492</v>
      </c>
      <c r="N12" s="1">
        <f t="shared" si="0"/>
        <v>-2.133559324437889</v>
      </c>
      <c r="O12" s="1">
        <f t="shared" si="0"/>
        <v>4.3651871980676322</v>
      </c>
      <c r="P12" s="1">
        <f t="shared" si="0"/>
        <v>-2.0833955703198215</v>
      </c>
      <c r="Q12" s="1">
        <f t="shared" si="0"/>
        <v>14.733017758615494</v>
      </c>
      <c r="R12" s="1">
        <f t="shared" si="0"/>
        <v>4.4819370510585346</v>
      </c>
      <c r="S12" s="1">
        <f t="shared" si="0"/>
        <v>11.125493002786699</v>
      </c>
    </row>
    <row r="13" spans="6:19">
      <c r="G13" t="s">
        <v>82</v>
      </c>
      <c r="H13" t="s">
        <v>79</v>
      </c>
      <c r="I13" t="s">
        <v>80</v>
      </c>
      <c r="J13" t="s">
        <v>81</v>
      </c>
    </row>
    <row r="14" spans="6:19">
      <c r="G14" s="5">
        <v>1997</v>
      </c>
      <c r="H14" s="22">
        <v>1213.5</v>
      </c>
      <c r="I14" s="1">
        <v>14.798780487804878</v>
      </c>
    </row>
    <row r="15" spans="6:19">
      <c r="G15" s="5">
        <v>1998</v>
      </c>
      <c r="H15" s="22">
        <v>1281.0999999999999</v>
      </c>
      <c r="I15" s="1">
        <v>16.013749999999998</v>
      </c>
      <c r="J15" s="1">
        <f t="shared" ref="J15:J26" si="1">(I15-I14)/I14*100</f>
        <v>8.209929954676543</v>
      </c>
    </row>
    <row r="16" spans="6:19">
      <c r="G16" s="5">
        <v>1999</v>
      </c>
      <c r="H16" s="22">
        <v>1217</v>
      </c>
      <c r="I16" s="1">
        <v>15.2125</v>
      </c>
      <c r="J16" s="1">
        <f t="shared" si="1"/>
        <v>-5.003512606353901</v>
      </c>
    </row>
    <row r="17" spans="7:15">
      <c r="G17" s="5">
        <v>2000</v>
      </c>
      <c r="H17" s="22">
        <v>1311.8</v>
      </c>
      <c r="I17" s="1">
        <v>16.817948717948717</v>
      </c>
      <c r="J17" s="1">
        <f t="shared" si="1"/>
        <v>10.553483766302161</v>
      </c>
      <c r="O17">
        <v>13.28</v>
      </c>
    </row>
    <row r="18" spans="7:15">
      <c r="G18" s="5">
        <v>2001</v>
      </c>
      <c r="H18" s="22">
        <v>1326.8</v>
      </c>
      <c r="I18" s="1">
        <v>17.23116883116883</v>
      </c>
      <c r="J18" s="1">
        <f t="shared" si="1"/>
        <v>2.457018511295078</v>
      </c>
      <c r="O18">
        <v>14.84</v>
      </c>
    </row>
    <row r="19" spans="7:15">
      <c r="G19" s="5">
        <v>2002</v>
      </c>
      <c r="H19" s="22">
        <v>1404</v>
      </c>
      <c r="I19" s="1">
        <v>18.972972972972972</v>
      </c>
      <c r="J19" s="1">
        <f t="shared" si="1"/>
        <v>10.108450325513939</v>
      </c>
      <c r="O19">
        <v>13.612500000000001</v>
      </c>
    </row>
    <row r="20" spans="7:15">
      <c r="G20" s="5">
        <v>2003</v>
      </c>
      <c r="H20" s="22">
        <v>1484.3</v>
      </c>
      <c r="I20" s="1">
        <v>19.790666666666667</v>
      </c>
      <c r="J20" s="1">
        <f t="shared" si="1"/>
        <v>4.3097815764482492</v>
      </c>
      <c r="O20">
        <v>14.862500000000001</v>
      </c>
    </row>
    <row r="21" spans="7:15">
      <c r="G21" s="5">
        <v>2004</v>
      </c>
      <c r="H21" s="22">
        <v>1472</v>
      </c>
      <c r="I21" s="1">
        <v>19.368421052631579</v>
      </c>
      <c r="J21" s="1">
        <f t="shared" si="1"/>
        <v>-2.133559324437889</v>
      </c>
      <c r="O21">
        <v>18.612500000000001</v>
      </c>
    </row>
    <row r="22" spans="7:15">
      <c r="G22" s="5">
        <v>2005</v>
      </c>
      <c r="H22" s="22">
        <v>1455.4</v>
      </c>
      <c r="I22" s="1">
        <v>20.213888888888889</v>
      </c>
      <c r="J22" s="1">
        <f t="shared" si="1"/>
        <v>4.3651871980676322</v>
      </c>
      <c r="O22">
        <v>21.162500000000001</v>
      </c>
    </row>
    <row r="23" spans="7:15">
      <c r="G23" s="5">
        <v>2006</v>
      </c>
      <c r="H23" s="22">
        <v>1365.7</v>
      </c>
      <c r="I23" s="1">
        <v>19.792753623188407</v>
      </c>
      <c r="J23" s="1">
        <f t="shared" si="1"/>
        <v>-2.0833955703198215</v>
      </c>
      <c r="O23">
        <v>23.162500000000001</v>
      </c>
    </row>
    <row r="24" spans="7:15">
      <c r="G24" s="5">
        <v>2007</v>
      </c>
      <c r="H24" s="22">
        <v>1544.2</v>
      </c>
      <c r="I24" s="1">
        <v>22.708823529411767</v>
      </c>
      <c r="J24" s="1">
        <f t="shared" si="1"/>
        <v>14.733017758615494</v>
      </c>
      <c r="O24">
        <v>25.2</v>
      </c>
    </row>
    <row r="25" spans="7:15">
      <c r="G25" s="5">
        <v>2008</v>
      </c>
      <c r="H25" s="22">
        <v>1649</v>
      </c>
      <c r="I25" s="1">
        <v>23.726618705035971</v>
      </c>
      <c r="J25" s="1">
        <f t="shared" si="1"/>
        <v>4.4819370510585346</v>
      </c>
      <c r="O25">
        <v>27.8125</v>
      </c>
    </row>
    <row r="26" spans="7:15">
      <c r="G26" s="5">
        <v>2009</v>
      </c>
      <c r="H26" s="22">
        <v>1785</v>
      </c>
      <c r="I26" s="1">
        <v>26.366322008862628</v>
      </c>
      <c r="J26" s="1">
        <f t="shared" si="1"/>
        <v>11.125493002786699</v>
      </c>
      <c r="O26">
        <v>29.2</v>
      </c>
    </row>
    <row r="27" spans="7:15">
      <c r="J27" s="1">
        <f>AVERAGE(J15:J26)</f>
        <v>5.0936526369710604</v>
      </c>
      <c r="O27">
        <v>28.2</v>
      </c>
    </row>
    <row r="29" spans="7:15">
      <c r="G29" t="s">
        <v>82</v>
      </c>
      <c r="H29" t="s">
        <v>76</v>
      </c>
      <c r="I29" t="s">
        <v>77</v>
      </c>
      <c r="J29" t="s">
        <v>78</v>
      </c>
    </row>
    <row r="30" spans="7:15">
      <c r="G30" s="5">
        <v>1997</v>
      </c>
      <c r="H30" s="21">
        <v>1685.5</v>
      </c>
      <c r="I30" s="1">
        <v>20.554878048780488</v>
      </c>
    </row>
    <row r="31" spans="7:15">
      <c r="G31" s="5">
        <v>1998</v>
      </c>
      <c r="H31" s="21">
        <v>1593.1</v>
      </c>
      <c r="I31" s="1">
        <v>19.91375</v>
      </c>
      <c r="J31" s="1">
        <v>-3.1191041234055152</v>
      </c>
    </row>
    <row r="32" spans="7:15">
      <c r="G32" s="5">
        <v>1999</v>
      </c>
      <c r="H32" s="21">
        <v>1520</v>
      </c>
      <c r="I32" s="1">
        <v>19</v>
      </c>
      <c r="J32" s="1">
        <v>-4.5885380704287249</v>
      </c>
    </row>
    <row r="33" spans="7:10">
      <c r="G33" s="5">
        <v>2000</v>
      </c>
      <c r="H33" s="21">
        <v>1575.6</v>
      </c>
      <c r="I33" s="1">
        <v>20.2</v>
      </c>
      <c r="J33" s="1">
        <v>6.3157894736842062</v>
      </c>
    </row>
    <row r="34" spans="7:10">
      <c r="G34" s="5">
        <v>2001</v>
      </c>
      <c r="H34" s="21">
        <v>1562.2</v>
      </c>
      <c r="I34" s="1">
        <v>20.288311688311691</v>
      </c>
      <c r="J34" s="1">
        <v>0.43718657580045167</v>
      </c>
    </row>
    <row r="35" spans="7:10">
      <c r="G35" s="5">
        <v>2002</v>
      </c>
      <c r="H35" s="21">
        <v>1575.7</v>
      </c>
      <c r="I35" s="1">
        <v>21.293243243243243</v>
      </c>
      <c r="J35" s="1">
        <v>4.9532537274183532</v>
      </c>
    </row>
    <row r="36" spans="7:10">
      <c r="G36" s="5">
        <v>2003</v>
      </c>
      <c r="H36" s="21">
        <v>1581.5</v>
      </c>
      <c r="I36" s="1">
        <v>21.086666666666666</v>
      </c>
      <c r="J36" s="1">
        <v>-0.97015083243426303</v>
      </c>
    </row>
    <row r="37" spans="7:10">
      <c r="G37" s="5">
        <v>2004</v>
      </c>
      <c r="H37" s="21">
        <v>1527.4</v>
      </c>
      <c r="I37" s="1">
        <v>20.097368421052632</v>
      </c>
      <c r="J37" s="1">
        <v>-4.6915819425262431</v>
      </c>
    </row>
    <row r="38" spans="7:10">
      <c r="G38" s="5">
        <v>2005</v>
      </c>
      <c r="H38" s="21">
        <v>1455.4</v>
      </c>
      <c r="I38" s="1">
        <v>20.213888888888889</v>
      </c>
      <c r="J38" s="1">
        <v>0.57977972735075833</v>
      </c>
    </row>
    <row r="39" spans="7:10">
      <c r="G39" s="5">
        <v>2006</v>
      </c>
      <c r="H39" s="21">
        <v>1332.8</v>
      </c>
      <c r="I39" s="1">
        <v>19.315942028985507</v>
      </c>
      <c r="J39" s="1">
        <v>-4.4422271480722459</v>
      </c>
    </row>
    <row r="40" spans="7:10">
      <c r="G40" s="5">
        <v>2007</v>
      </c>
      <c r="H40" s="21">
        <v>1417.5</v>
      </c>
      <c r="I40" s="1">
        <v>20.845588235294116</v>
      </c>
      <c r="J40" s="1">
        <v>7.9190867523479911</v>
      </c>
    </row>
    <row r="41" spans="7:10">
      <c r="G41" s="5">
        <v>2008</v>
      </c>
      <c r="H41" s="21">
        <v>1453.2</v>
      </c>
      <c r="I41" s="1">
        <v>20.909352517985614</v>
      </c>
      <c r="J41" s="1">
        <v>0.30588862243540343</v>
      </c>
    </row>
    <row r="42" spans="7:10">
      <c r="G42" s="5">
        <v>2009</v>
      </c>
      <c r="H42" s="21">
        <v>1490.4</v>
      </c>
      <c r="I42" s="1">
        <v>22.014771048744461</v>
      </c>
      <c r="J42" s="1">
        <v>5.2867181315538021</v>
      </c>
    </row>
    <row r="43" spans="7:10">
      <c r="J43" s="1">
        <f>AVERAGE(J31:J42)</f>
        <v>0.66550840781033116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E5:J18"/>
  <sheetViews>
    <sheetView topLeftCell="E1" workbookViewId="0">
      <selection activeCell="H19" sqref="H19"/>
    </sheetView>
  </sheetViews>
  <sheetFormatPr defaultRowHeight="15"/>
  <cols>
    <col min="5" max="5" width="15.85546875" customWidth="1"/>
    <col min="6" max="6" width="34.85546875" customWidth="1"/>
    <col min="7" max="7" width="10.42578125" customWidth="1"/>
    <col min="8" max="8" width="10.7109375" customWidth="1"/>
    <col min="9" max="9" width="12.42578125" customWidth="1"/>
  </cols>
  <sheetData>
    <row r="5" spans="5:10">
      <c r="F5" t="s">
        <v>83</v>
      </c>
    </row>
    <row r="6" spans="5:10">
      <c r="F6" t="s">
        <v>84</v>
      </c>
    </row>
    <row r="8" spans="5:10">
      <c r="E8" s="23"/>
      <c r="F8" s="23"/>
      <c r="G8" s="23"/>
      <c r="H8" s="23"/>
      <c r="I8" s="23"/>
      <c r="J8" s="23"/>
    </row>
    <row r="9" spans="5:10">
      <c r="E9" s="25" t="s">
        <v>99</v>
      </c>
      <c r="F9" s="25" t="s">
        <v>92</v>
      </c>
      <c r="G9" s="25" t="s">
        <v>96</v>
      </c>
      <c r="H9" s="25" t="s">
        <v>97</v>
      </c>
      <c r="I9" s="25" t="s">
        <v>98</v>
      </c>
      <c r="J9" s="23"/>
    </row>
    <row r="10" spans="5:10">
      <c r="E10" s="25" t="s">
        <v>93</v>
      </c>
      <c r="F10" s="23" t="s">
        <v>85</v>
      </c>
      <c r="G10" s="23">
        <v>936.9</v>
      </c>
      <c r="H10" s="24">
        <f>100/$G$16*G10</f>
        <v>15.486257578662716</v>
      </c>
      <c r="I10" s="24">
        <f>H10+H11</f>
        <v>25.200499844625014</v>
      </c>
      <c r="J10" s="23"/>
    </row>
    <row r="11" spans="5:10">
      <c r="E11" s="25"/>
      <c r="F11" s="23" t="s">
        <v>86</v>
      </c>
      <c r="G11" s="23">
        <v>587.70000000000005</v>
      </c>
      <c r="H11" s="24">
        <f t="shared" ref="H11:H16" si="0">100/$G$16*G11</f>
        <v>9.7142422659622998</v>
      </c>
      <c r="I11" s="23"/>
      <c r="J11" s="23"/>
    </row>
    <row r="12" spans="5:10">
      <c r="E12" s="25" t="s">
        <v>94</v>
      </c>
      <c r="F12" s="23" t="s">
        <v>87</v>
      </c>
      <c r="G12" s="23">
        <v>2238.3000000000002</v>
      </c>
      <c r="H12" s="24">
        <f t="shared" si="0"/>
        <v>36.997428048159634</v>
      </c>
      <c r="I12" s="24">
        <f>+H12+H13+H14</f>
        <v>54.353144194595593</v>
      </c>
      <c r="J12" s="23"/>
    </row>
    <row r="13" spans="5:10">
      <c r="E13" s="25"/>
      <c r="F13" s="23" t="s">
        <v>88</v>
      </c>
      <c r="G13" s="23">
        <v>550</v>
      </c>
      <c r="H13" s="24">
        <f t="shared" si="0"/>
        <v>9.0910894100378847</v>
      </c>
      <c r="I13" s="23"/>
      <c r="J13" s="23"/>
    </row>
    <row r="14" spans="5:10">
      <c r="E14" s="25"/>
      <c r="F14" s="23" t="s">
        <v>89</v>
      </c>
      <c r="G14" s="23">
        <v>500</v>
      </c>
      <c r="H14" s="24">
        <f t="shared" si="0"/>
        <v>8.2646267363980765</v>
      </c>
      <c r="I14" s="23"/>
      <c r="J14" s="23"/>
    </row>
    <row r="15" spans="5:10">
      <c r="E15" s="25" t="s">
        <v>95</v>
      </c>
      <c r="F15" s="23" t="s">
        <v>90</v>
      </c>
      <c r="G15" s="23">
        <v>1209.98</v>
      </c>
      <c r="H15" s="24">
        <f t="shared" si="0"/>
        <v>20.00006611701389</v>
      </c>
      <c r="I15" s="24">
        <f>+H15</f>
        <v>20.00006611701389</v>
      </c>
      <c r="J15" s="23"/>
    </row>
    <row r="16" spans="5:10">
      <c r="E16" s="25"/>
      <c r="F16" s="25" t="s">
        <v>91</v>
      </c>
      <c r="G16" s="25">
        <v>6049.88</v>
      </c>
      <c r="H16" s="25">
        <f t="shared" si="0"/>
        <v>100</v>
      </c>
      <c r="I16" s="25">
        <v>100</v>
      </c>
      <c r="J16" s="23"/>
    </row>
    <row r="17" spans="5:10">
      <c r="E17" s="23"/>
      <c r="F17" s="23"/>
      <c r="G17" s="23"/>
      <c r="H17" s="23"/>
      <c r="I17" s="23"/>
      <c r="J17" s="23"/>
    </row>
    <row r="18" spans="5:10">
      <c r="E18" s="23"/>
      <c r="F18" s="23"/>
      <c r="G18" s="23"/>
      <c r="H18" s="23"/>
      <c r="I18" s="23"/>
      <c r="J18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D16"/>
  <sheetViews>
    <sheetView workbookViewId="0">
      <selection activeCell="D19" sqref="D19"/>
    </sheetView>
  </sheetViews>
  <sheetFormatPr defaultRowHeight="15"/>
  <cols>
    <col min="3" max="3" width="22.140625" customWidth="1"/>
  </cols>
  <sheetData>
    <row r="3" spans="3:4">
      <c r="C3" s="5" t="s">
        <v>100</v>
      </c>
    </row>
    <row r="4" spans="3:4">
      <c r="C4" t="s">
        <v>101</v>
      </c>
      <c r="D4">
        <v>25000</v>
      </c>
    </row>
    <row r="5" spans="3:4">
      <c r="C5" t="s">
        <v>102</v>
      </c>
      <c r="D5">
        <v>50000</v>
      </c>
    </row>
    <row r="6" spans="3:4">
      <c r="C6" s="28" t="s">
        <v>103</v>
      </c>
      <c r="D6" s="28">
        <f>AVERAGE(D4:D5)</f>
        <v>37500</v>
      </c>
    </row>
    <row r="10" spans="3:4">
      <c r="C10" s="5" t="s">
        <v>104</v>
      </c>
    </row>
    <row r="11" spans="3:4">
      <c r="C11" t="s">
        <v>105</v>
      </c>
      <c r="D11">
        <v>203</v>
      </c>
    </row>
    <row r="12" spans="3:4">
      <c r="C12" t="s">
        <v>106</v>
      </c>
      <c r="D12">
        <v>40</v>
      </c>
    </row>
    <row r="13" spans="3:4">
      <c r="C13" t="s">
        <v>82</v>
      </c>
      <c r="D13">
        <f>+(D12*4*12)</f>
        <v>1920</v>
      </c>
    </row>
    <row r="14" spans="3:4">
      <c r="C14" t="s">
        <v>107</v>
      </c>
      <c r="D14">
        <v>66</v>
      </c>
    </row>
    <row r="15" spans="3:4">
      <c r="C15" s="28" t="s">
        <v>108</v>
      </c>
      <c r="D15" s="28">
        <f>D13/D14</f>
        <v>29.09090909090909</v>
      </c>
    </row>
    <row r="16" spans="3:4">
      <c r="C16" s="28" t="s">
        <v>109</v>
      </c>
      <c r="D16" s="28">
        <f>D15*D11</f>
        <v>5905.454545454545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Takster spildevand</vt:lpstr>
      <vt:lpstr>Vandforbrug- og afledning</vt:lpstr>
      <vt:lpstr>Gnm værdier, vand+kloak</vt:lpstr>
      <vt:lpstr>Gnm forsyningsøkonomi</vt:lpstr>
      <vt:lpstr>Ark1</vt:lpstr>
      <vt:lpstr>vandtakstens opgørelse</vt:lpstr>
      <vt:lpstr>Other estimates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</dc:creator>
  <cp:lastModifiedBy>Nathalie</cp:lastModifiedBy>
  <dcterms:created xsi:type="dcterms:W3CDTF">2016-05-04T12:23:21Z</dcterms:created>
  <dcterms:modified xsi:type="dcterms:W3CDTF">2016-06-02T08:55:00Z</dcterms:modified>
</cp:coreProperties>
</file>