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2756" windowHeight="12540" activeTab="23"/>
  </bookViews>
  <sheets>
    <sheet name="legenda" sheetId="28" r:id="rId1"/>
    <sheet name="1001" sheetId="1" r:id="rId2"/>
    <sheet name="1002" sheetId="5" r:id="rId3"/>
    <sheet name="1003" sheetId="6" r:id="rId4"/>
    <sheet name="1004" sheetId="7" r:id="rId5"/>
    <sheet name="1005" sheetId="8" r:id="rId6"/>
    <sheet name="1006" sheetId="9" r:id="rId7"/>
    <sheet name="1007" sheetId="10" r:id="rId8"/>
    <sheet name="1008" sheetId="11" r:id="rId9"/>
    <sheet name="1009" sheetId="12" r:id="rId10"/>
    <sheet name="1010" sheetId="13" r:id="rId11"/>
    <sheet name="1011" sheetId="14" r:id="rId12"/>
    <sheet name="1012" sheetId="15" r:id="rId13"/>
    <sheet name="1013" sheetId="16" r:id="rId14"/>
    <sheet name="1014" sheetId="17" r:id="rId15"/>
    <sheet name="1015" sheetId="18" r:id="rId16"/>
    <sheet name="1016" sheetId="19" r:id="rId17"/>
    <sheet name="1017" sheetId="20" r:id="rId18"/>
    <sheet name="1018" sheetId="21" r:id="rId19"/>
    <sheet name="1019" sheetId="22" r:id="rId20"/>
    <sheet name="1020" sheetId="23" r:id="rId21"/>
    <sheet name="1021" sheetId="24" r:id="rId22"/>
    <sheet name="1022" sheetId="25" r:id="rId23"/>
    <sheet name="1023" sheetId="26" r:id="rId24"/>
  </sheets>
  <calcPr calcId="125725"/>
</workbook>
</file>

<file path=xl/calcChain.xml><?xml version="1.0" encoding="utf-8"?>
<calcChain xmlns="http://schemas.openxmlformats.org/spreadsheetml/2006/main">
  <c r="V19" i="5"/>
  <c r="AB16" i="1"/>
  <c r="Z12" i="26" l="1"/>
  <c r="W12"/>
  <c r="AA15" i="22" l="1"/>
  <c r="X15"/>
  <c r="AC16" i="20" l="1"/>
  <c r="Z15" i="19"/>
  <c r="U16" i="22" l="1"/>
  <c r="V16"/>
  <c r="AA15" i="18"/>
  <c r="Z15"/>
  <c r="W15"/>
  <c r="X15" s="1"/>
  <c r="Z16"/>
  <c r="Z14"/>
  <c r="W14"/>
  <c r="AA14" i="14"/>
  <c r="AB14" s="1"/>
  <c r="Y14"/>
  <c r="X14"/>
  <c r="X13"/>
  <c r="U14"/>
  <c r="U17" i="11"/>
  <c r="AA17" s="1"/>
  <c r="Z17"/>
  <c r="W17"/>
  <c r="Z14"/>
  <c r="W14"/>
  <c r="W12"/>
  <c r="U14"/>
  <c r="AA14" s="1"/>
  <c r="Z13"/>
  <c r="AB16" i="10"/>
  <c r="AB14"/>
  <c r="AA16"/>
  <c r="AA14"/>
  <c r="AA15"/>
  <c r="AA13"/>
  <c r="Y16"/>
  <c r="X16"/>
  <c r="Y14"/>
  <c r="X14" i="11" l="1"/>
  <c r="X17"/>
  <c r="Z14" i="8" l="1"/>
  <c r="W14"/>
  <c r="Z15"/>
  <c r="AA15" s="1"/>
  <c r="W15"/>
  <c r="X15" s="1"/>
  <c r="U15"/>
  <c r="AA15" i="6" l="1"/>
  <c r="X15"/>
  <c r="Z15"/>
  <c r="W15"/>
  <c r="Z22"/>
  <c r="U23" l="1"/>
  <c r="Z13"/>
  <c r="W13"/>
  <c r="V13" i="5"/>
  <c r="U13"/>
  <c r="AC15" i="1"/>
  <c r="AC14"/>
  <c r="AC13"/>
  <c r="AC12"/>
  <c r="U16" i="25" l="1"/>
  <c r="U21" i="24"/>
  <c r="V31" i="21"/>
  <c r="U31"/>
  <c r="U17" i="19"/>
  <c r="U15" i="17"/>
  <c r="U18" i="9"/>
  <c r="U16" i="7"/>
  <c r="P27" i="26" l="1"/>
  <c r="AA19"/>
  <c r="X19"/>
  <c r="U19" s="1"/>
  <c r="U20" s="1"/>
  <c r="AA18"/>
  <c r="Z18"/>
  <c r="X18"/>
  <c r="W18"/>
  <c r="U18"/>
  <c r="AA17"/>
  <c r="Z17"/>
  <c r="X17" s="1"/>
  <c r="W17"/>
  <c r="U17"/>
  <c r="AA16"/>
  <c r="Z16"/>
  <c r="X16"/>
  <c r="W16"/>
  <c r="U16"/>
  <c r="AA15" s="1"/>
  <c r="Z15"/>
  <c r="X15" s="1"/>
  <c r="W15"/>
  <c r="AA14"/>
  <c r="Z14"/>
  <c r="X14" s="1"/>
  <c r="W14"/>
  <c r="AA13" s="1"/>
  <c r="Z13"/>
  <c r="X13" s="1"/>
  <c r="W13"/>
  <c r="P5" s="1"/>
  <c r="O5"/>
  <c r="Z14" i="25"/>
  <c r="W14"/>
  <c r="U14"/>
  <c r="Z13"/>
  <c r="W13"/>
  <c r="U13"/>
  <c r="U15" s="1"/>
  <c r="AA14" s="1"/>
  <c r="AA12"/>
  <c r="Z12"/>
  <c r="W12"/>
  <c r="O5"/>
  <c r="AA20" i="24" s="1"/>
  <c r="X20"/>
  <c r="U20"/>
  <c r="AA19"/>
  <c r="X19"/>
  <c r="W19"/>
  <c r="U19"/>
  <c r="AA18"/>
  <c r="X18"/>
  <c r="W18"/>
  <c r="U18"/>
  <c r="AA17"/>
  <c r="X17"/>
  <c r="W17"/>
  <c r="AA16"/>
  <c r="X16"/>
  <c r="W16"/>
  <c r="U16"/>
  <c r="AA15"/>
  <c r="X15"/>
  <c r="W15"/>
  <c r="AA14"/>
  <c r="X14"/>
  <c r="W14"/>
  <c r="AA13"/>
  <c r="X13"/>
  <c r="W13"/>
  <c r="AA12"/>
  <c r="X12"/>
  <c r="W12"/>
  <c r="O5"/>
  <c r="AA31" i="23"/>
  <c r="X31"/>
  <c r="U31"/>
  <c r="O6"/>
  <c r="AA19" i="22"/>
  <c r="X19"/>
  <c r="Y19" s="1"/>
  <c r="V19"/>
  <c r="U19"/>
  <c r="AA18"/>
  <c r="X18"/>
  <c r="Y18" s="1"/>
  <c r="V18"/>
  <c r="U18"/>
  <c r="AA17"/>
  <c r="X17"/>
  <c r="Y17" s="1"/>
  <c r="V17"/>
  <c r="V21" s="1"/>
  <c r="U17"/>
  <c r="AA16"/>
  <c r="X16"/>
  <c r="Y16" s="1"/>
  <c r="AA14"/>
  <c r="AB14" s="1"/>
  <c r="X14"/>
  <c r="AB13" s="1"/>
  <c r="AA13"/>
  <c r="X13"/>
  <c r="Y13" s="1"/>
  <c r="V13"/>
  <c r="U13"/>
  <c r="U21" s="1"/>
  <c r="AA12"/>
  <c r="AB12" s="1"/>
  <c r="Y12"/>
  <c r="X12"/>
  <c r="O5"/>
  <c r="P5" s="1"/>
  <c r="AB30" i="21"/>
  <c r="Y30"/>
  <c r="V30" s="1"/>
  <c r="U30"/>
  <c r="AB29"/>
  <c r="V29"/>
  <c r="AB28" s="1"/>
  <c r="AA28"/>
  <c r="Y28"/>
  <c r="X28"/>
  <c r="V28"/>
  <c r="U28"/>
  <c r="AB27"/>
  <c r="AA27"/>
  <c r="Y27"/>
  <c r="X27"/>
  <c r="V27"/>
  <c r="U27"/>
  <c r="AB26" s="1"/>
  <c r="AA26"/>
  <c r="Y26"/>
  <c r="X26"/>
  <c r="V26"/>
  <c r="U26"/>
  <c r="AB25" s="1"/>
  <c r="AA25"/>
  <c r="Y25"/>
  <c r="X25"/>
  <c r="AB24" s="1"/>
  <c r="AA24"/>
  <c r="Y24"/>
  <c r="X24"/>
  <c r="AB23"/>
  <c r="AA23"/>
  <c r="Y23"/>
  <c r="X23"/>
  <c r="AB22" s="1"/>
  <c r="AA22"/>
  <c r="Y22"/>
  <c r="X22"/>
  <c r="AB21" s="1"/>
  <c r="AA21"/>
  <c r="Y21"/>
  <c r="X21"/>
  <c r="V21"/>
  <c r="U21"/>
  <c r="AB20" s="1"/>
  <c r="AA20"/>
  <c r="Y20"/>
  <c r="X20"/>
  <c r="AB19"/>
  <c r="AA19"/>
  <c r="Y19"/>
  <c r="X19"/>
  <c r="AB18" s="1"/>
  <c r="AA18"/>
  <c r="Y18"/>
  <c r="X18"/>
  <c r="AB17" s="1"/>
  <c r="AA17"/>
  <c r="Y17"/>
  <c r="X17"/>
  <c r="AB16" s="1"/>
  <c r="AA16"/>
  <c r="Y16"/>
  <c r="X16"/>
  <c r="AB15" s="1"/>
  <c r="AA15"/>
  <c r="Y15"/>
  <c r="X15"/>
  <c r="AB14"/>
  <c r="AA14"/>
  <c r="Y14"/>
  <c r="X14"/>
  <c r="AB13" s="1"/>
  <c r="AA13"/>
  <c r="Y13"/>
  <c r="X13"/>
  <c r="AB12"/>
  <c r="AA12"/>
  <c r="Y12"/>
  <c r="X12"/>
  <c r="P5"/>
  <c r="O5"/>
  <c r="U18" i="20"/>
  <c r="AA17"/>
  <c r="Y17"/>
  <c r="X17"/>
  <c r="V17"/>
  <c r="U17"/>
  <c r="AA16"/>
  <c r="Y16"/>
  <c r="X16"/>
  <c r="V16"/>
  <c r="AB15"/>
  <c r="AB14" s="1"/>
  <c r="AA14"/>
  <c r="X14"/>
  <c r="Y14" s="1"/>
  <c r="V14"/>
  <c r="AB13"/>
  <c r="AA13"/>
  <c r="Y13"/>
  <c r="X13"/>
  <c r="AB12" s="1"/>
  <c r="AA12"/>
  <c r="X12"/>
  <c r="Y12" s="1"/>
  <c r="Y18" s="1"/>
  <c r="V18" s="1"/>
  <c r="V19" s="1"/>
  <c r="P5"/>
  <c r="Q5" s="1"/>
  <c r="O5"/>
  <c r="AA16" i="19"/>
  <c r="X16"/>
  <c r="U16"/>
  <c r="AA15"/>
  <c r="X15"/>
  <c r="W15"/>
  <c r="U15"/>
  <c r="AA14"/>
  <c r="Z14"/>
  <c r="X14"/>
  <c r="W14"/>
  <c r="U14"/>
  <c r="AA13" s="1"/>
  <c r="Z13"/>
  <c r="X13" s="1"/>
  <c r="W13"/>
  <c r="AA12" s="1"/>
  <c r="Z12"/>
  <c r="X12" s="1"/>
  <c r="W12"/>
  <c r="P5"/>
  <c r="O5"/>
  <c r="P28" i="18"/>
  <c r="Z23"/>
  <c r="W23"/>
  <c r="U23"/>
  <c r="AA22"/>
  <c r="Z22"/>
  <c r="W22"/>
  <c r="U22"/>
  <c r="Z21"/>
  <c r="X21" s="1"/>
  <c r="W21"/>
  <c r="Z20"/>
  <c r="AA20" s="1"/>
  <c r="X20"/>
  <c r="W20"/>
  <c r="Z19"/>
  <c r="AA19" s="1"/>
  <c r="W19"/>
  <c r="AA18" s="1"/>
  <c r="Z18"/>
  <c r="W18"/>
  <c r="X18" s="1"/>
  <c r="Z17"/>
  <c r="AA17" s="1"/>
  <c r="W17"/>
  <c r="X17" s="1"/>
  <c r="AA16"/>
  <c r="Z13"/>
  <c r="X13" s="1"/>
  <c r="W13"/>
  <c r="Z12"/>
  <c r="AA12" s="1"/>
  <c r="W12"/>
  <c r="X12" s="1"/>
  <c r="P5"/>
  <c r="O5"/>
  <c r="AA14" i="17"/>
  <c r="X14" s="1"/>
  <c r="U14" s="1"/>
  <c r="AA13"/>
  <c r="Z13"/>
  <c r="X13"/>
  <c r="W13"/>
  <c r="U13"/>
  <c r="AA12" s="1"/>
  <c r="Z12"/>
  <c r="X12" s="1"/>
  <c r="W12"/>
  <c r="O5"/>
  <c r="AA31" i="16"/>
  <c r="X31"/>
  <c r="U31"/>
  <c r="Z21" i="15"/>
  <c r="W21"/>
  <c r="T21"/>
  <c r="Z20"/>
  <c r="Y20"/>
  <c r="W20"/>
  <c r="V20"/>
  <c r="T20"/>
  <c r="Z19" s="1"/>
  <c r="Y19"/>
  <c r="W19" s="1"/>
  <c r="V19"/>
  <c r="Z18"/>
  <c r="Y18"/>
  <c r="W18"/>
  <c r="V18"/>
  <c r="T18"/>
  <c r="Z17"/>
  <c r="Y17"/>
  <c r="W17"/>
  <c r="V17"/>
  <c r="T17"/>
  <c r="Z16"/>
  <c r="Y16"/>
  <c r="W16"/>
  <c r="V16"/>
  <c r="T16"/>
  <c r="Z15" s="1"/>
  <c r="Y15"/>
  <c r="W15" s="1"/>
  <c r="V15"/>
  <c r="Z14" s="1"/>
  <c r="Y14"/>
  <c r="W14" s="1"/>
  <c r="V14"/>
  <c r="Z13"/>
  <c r="Y13"/>
  <c r="W13" s="1"/>
  <c r="V13"/>
  <c r="T13"/>
  <c r="Z12" s="1"/>
  <c r="Y12"/>
  <c r="W12" s="1"/>
  <c r="V12"/>
  <c r="O5" s="1"/>
  <c r="N5"/>
  <c r="U18" i="14"/>
  <c r="U19" s="1"/>
  <c r="AB13"/>
  <c r="AA13" s="1"/>
  <c r="AA15"/>
  <c r="Y15" s="1"/>
  <c r="X15"/>
  <c r="V15"/>
  <c r="U15"/>
  <c r="AA12"/>
  <c r="AB12" s="1"/>
  <c r="Y12"/>
  <c r="X12"/>
  <c r="O5"/>
  <c r="Z20" i="13"/>
  <c r="W20"/>
  <c r="Z18"/>
  <c r="W18"/>
  <c r="T18"/>
  <c r="Z16" s="1"/>
  <c r="Y16"/>
  <c r="W16" s="1"/>
  <c r="V16"/>
  <c r="T16"/>
  <c r="Z15" s="1"/>
  <c r="Y15"/>
  <c r="W15" s="1"/>
  <c r="V15"/>
  <c r="Z14"/>
  <c r="Y14"/>
  <c r="W14" s="1"/>
  <c r="V14"/>
  <c r="T14"/>
  <c r="Z13" s="1"/>
  <c r="Y13"/>
  <c r="W13" s="1"/>
  <c r="V13"/>
  <c r="T13"/>
  <c r="Z12"/>
  <c r="Y12"/>
  <c r="W12" s="1"/>
  <c r="V12"/>
  <c r="T12"/>
  <c r="N5"/>
  <c r="Z29" i="12"/>
  <c r="W29"/>
  <c r="T29"/>
  <c r="Z27"/>
  <c r="W26"/>
  <c r="Z25" s="1"/>
  <c r="Y25"/>
  <c r="W25" s="1"/>
  <c r="V25"/>
  <c r="T25"/>
  <c r="Z24" s="1"/>
  <c r="Y24"/>
  <c r="W24"/>
  <c r="V24"/>
  <c r="T24"/>
  <c r="Z23" s="1"/>
  <c r="Y23"/>
  <c r="W23" s="1"/>
  <c r="V23"/>
  <c r="Z22"/>
  <c r="Y22"/>
  <c r="W22" s="1"/>
  <c r="V22"/>
  <c r="T22"/>
  <c r="Z21" s="1"/>
  <c r="Y21"/>
  <c r="W21" s="1"/>
  <c r="V21"/>
  <c r="T21"/>
  <c r="Z20" s="1"/>
  <c r="Y20"/>
  <c r="W20"/>
  <c r="V20"/>
  <c r="T20"/>
  <c r="Z19" s="1"/>
  <c r="Y19"/>
  <c r="W19" s="1"/>
  <c r="V19"/>
  <c r="T19"/>
  <c r="Z18"/>
  <c r="Y18"/>
  <c r="W18" s="1"/>
  <c r="V18"/>
  <c r="Z17" s="1"/>
  <c r="Y17"/>
  <c r="W17" s="1"/>
  <c r="V17"/>
  <c r="T17"/>
  <c r="Z16" s="1"/>
  <c r="Y16"/>
  <c r="W16" s="1"/>
  <c r="V16"/>
  <c r="T16"/>
  <c r="Z15" s="1"/>
  <c r="Y15"/>
  <c r="W15" s="1"/>
  <c r="V15"/>
  <c r="T15"/>
  <c r="Z14" s="1"/>
  <c r="Y14"/>
  <c r="W14" s="1"/>
  <c r="V14"/>
  <c r="T14"/>
  <c r="Z13"/>
  <c r="Y13"/>
  <c r="W13"/>
  <c r="V13"/>
  <c r="Z12"/>
  <c r="Y12"/>
  <c r="W12" s="1"/>
  <c r="V12"/>
  <c r="O5"/>
  <c r="N5"/>
  <c r="Z20" i="11"/>
  <c r="W20"/>
  <c r="X20" s="1"/>
  <c r="U20"/>
  <c r="Z19"/>
  <c r="W19"/>
  <c r="X19" s="1"/>
  <c r="U19"/>
  <c r="Z18"/>
  <c r="W18"/>
  <c r="X18" s="1"/>
  <c r="U18"/>
  <c r="Z15"/>
  <c r="W15"/>
  <c r="U15"/>
  <c r="Z12"/>
  <c r="X12" s="1"/>
  <c r="O6"/>
  <c r="AA18" i="10"/>
  <c r="AB18" i="20" l="1"/>
  <c r="AB17"/>
  <c r="U19"/>
  <c r="AB16"/>
  <c r="Y14" i="22"/>
  <c r="Y21" s="1"/>
  <c r="AB16"/>
  <c r="AB18"/>
  <c r="AB19"/>
  <c r="U28"/>
  <c r="AB17"/>
  <c r="X22" i="18"/>
  <c r="X19"/>
  <c r="AA21"/>
  <c r="AA13"/>
  <c r="X23"/>
  <c r="AB15" i="14"/>
  <c r="AB18" s="1"/>
  <c r="Y18" s="1"/>
  <c r="V18" s="1"/>
  <c r="AA15" i="11"/>
  <c r="X15"/>
  <c r="AA19"/>
  <c r="AA12"/>
  <c r="AA18"/>
  <c r="U21"/>
  <c r="U22" s="1"/>
  <c r="AA20"/>
  <c r="AA13" i="25"/>
  <c r="AA15" s="1"/>
  <c r="X13"/>
  <c r="X12"/>
  <c r="X14"/>
  <c r="X18" i="10"/>
  <c r="V18"/>
  <c r="AB18" s="1"/>
  <c r="U18"/>
  <c r="AA17"/>
  <c r="Y17"/>
  <c r="X17"/>
  <c r="V17"/>
  <c r="U17"/>
  <c r="AA12"/>
  <c r="X12"/>
  <c r="P5"/>
  <c r="O5"/>
  <c r="AA19" i="9"/>
  <c r="X19"/>
  <c r="AA17"/>
  <c r="X17" s="1"/>
  <c r="U17"/>
  <c r="AA16" s="1"/>
  <c r="Z16"/>
  <c r="X16"/>
  <c r="W16"/>
  <c r="U16"/>
  <c r="AA15" s="1"/>
  <c r="Z15"/>
  <c r="X15"/>
  <c r="W15"/>
  <c r="U15"/>
  <c r="AA14" s="1"/>
  <c r="Z14"/>
  <c r="X14"/>
  <c r="W14"/>
  <c r="U14"/>
  <c r="AA13"/>
  <c r="Z13"/>
  <c r="X13"/>
  <c r="W13"/>
  <c r="AA12" s="1"/>
  <c r="Z12"/>
  <c r="X12"/>
  <c r="W12"/>
  <c r="O6"/>
  <c r="Z21" i="8"/>
  <c r="W21"/>
  <c r="U21"/>
  <c r="AA20"/>
  <c r="Z20"/>
  <c r="W20"/>
  <c r="X20" s="1"/>
  <c r="U20"/>
  <c r="Z19"/>
  <c r="AA19" s="1"/>
  <c r="W19"/>
  <c r="X19" s="1"/>
  <c r="Z18"/>
  <c r="AA18" s="1"/>
  <c r="W18"/>
  <c r="X18" s="1"/>
  <c r="U18"/>
  <c r="Z17"/>
  <c r="W17"/>
  <c r="X17" s="1"/>
  <c r="U17"/>
  <c r="AA17" s="1"/>
  <c r="Z16"/>
  <c r="W16"/>
  <c r="X16" s="1"/>
  <c r="U16"/>
  <c r="AA13"/>
  <c r="Z13"/>
  <c r="W13"/>
  <c r="X13" s="1"/>
  <c r="Z12"/>
  <c r="W12"/>
  <c r="X12" s="1"/>
  <c r="U12"/>
  <c r="AA12" s="1"/>
  <c r="O6"/>
  <c r="P6" s="1"/>
  <c r="AA17" i="7"/>
  <c r="X17"/>
  <c r="AA15"/>
  <c r="X15"/>
  <c r="U15"/>
  <c r="AA14"/>
  <c r="Z14"/>
  <c r="X14"/>
  <c r="W14"/>
  <c r="U14"/>
  <c r="AA13"/>
  <c r="Z13"/>
  <c r="X13"/>
  <c r="W13"/>
  <c r="U13"/>
  <c r="AA12"/>
  <c r="Z12"/>
  <c r="X12"/>
  <c r="W12"/>
  <c r="U12"/>
  <c r="P6" s="1"/>
  <c r="O6"/>
  <c r="AA23" i="6"/>
  <c r="Z23"/>
  <c r="W23"/>
  <c r="X23" s="1"/>
  <c r="AA21"/>
  <c r="Z21"/>
  <c r="W21"/>
  <c r="Z20"/>
  <c r="W20"/>
  <c r="U20"/>
  <c r="Z19"/>
  <c r="AA19" s="1"/>
  <c r="X19"/>
  <c r="W19"/>
  <c r="AA18" s="1"/>
  <c r="Z18"/>
  <c r="W18"/>
  <c r="U18"/>
  <c r="Z17"/>
  <c r="AA17" s="1"/>
  <c r="W17"/>
  <c r="X17" s="1"/>
  <c r="AA16"/>
  <c r="Z16"/>
  <c r="W16"/>
  <c r="Z14"/>
  <c r="W14"/>
  <c r="X14" s="1"/>
  <c r="AA12"/>
  <c r="Z12"/>
  <c r="X12"/>
  <c r="W12"/>
  <c r="P6"/>
  <c r="O6"/>
  <c r="Y19" i="5"/>
  <c r="V20" s="1"/>
  <c r="U19"/>
  <c r="U20" s="1"/>
  <c r="AB18"/>
  <c r="AB17"/>
  <c r="V17"/>
  <c r="AB16"/>
  <c r="AA16"/>
  <c r="Y16"/>
  <c r="X16"/>
  <c r="V16"/>
  <c r="U16"/>
  <c r="AB15"/>
  <c r="AA15"/>
  <c r="Y15"/>
  <c r="X15"/>
  <c r="V15"/>
  <c r="U15"/>
  <c r="AB14"/>
  <c r="AA14"/>
  <c r="Y14"/>
  <c r="X14"/>
  <c r="V14"/>
  <c r="U14"/>
  <c r="AB13"/>
  <c r="AB19" s="1"/>
  <c r="AB21" s="1"/>
  <c r="AA13"/>
  <c r="Y13"/>
  <c r="X13"/>
  <c r="P7"/>
  <c r="O7"/>
  <c r="O6"/>
  <c r="AB21" i="22" l="1"/>
  <c r="X24" i="18"/>
  <c r="U24" s="1"/>
  <c r="U25" s="1"/>
  <c r="AA23"/>
  <c r="AA24" s="1"/>
  <c r="Y18" i="10"/>
  <c r="AB17"/>
  <c r="U23"/>
  <c r="U24" s="1"/>
  <c r="AB12"/>
  <c r="V23"/>
  <c r="Y12"/>
  <c r="AA16" i="8"/>
  <c r="X21"/>
  <c r="X23" s="1"/>
  <c r="U23"/>
  <c r="U24" s="1"/>
  <c r="AA21"/>
  <c r="AA14" i="6"/>
  <c r="X16"/>
  <c r="X24" s="1"/>
  <c r="U24" s="1"/>
  <c r="X21"/>
  <c r="X20"/>
  <c r="AA24"/>
  <c r="X18"/>
  <c r="AA20"/>
  <c r="Y21" i="5"/>
  <c r="U21" s="1"/>
  <c r="X15" i="25"/>
  <c r="AA15" i="1"/>
  <c r="Y15" s="1"/>
  <c r="X15"/>
  <c r="V15"/>
  <c r="AA14"/>
  <c r="X14"/>
  <c r="V14"/>
  <c r="AB13" s="1"/>
  <c r="AA13"/>
  <c r="X13"/>
  <c r="V13"/>
  <c r="AA12"/>
  <c r="X12"/>
  <c r="V12"/>
  <c r="P5"/>
  <c r="AB23" i="10" l="1"/>
  <c r="AB25" s="1"/>
  <c r="Y23"/>
  <c r="AA23" i="8"/>
  <c r="AA25" s="1"/>
  <c r="X25"/>
  <c r="V16" i="1"/>
  <c r="AB15" s="1"/>
  <c r="Y14"/>
  <c r="AB12"/>
  <c r="Y12"/>
  <c r="AB14"/>
  <c r="Y13"/>
  <c r="Y25" i="10" l="1"/>
  <c r="AB18" i="1"/>
  <c r="Y16"/>
  <c r="Y18" s="1"/>
  <c r="V17" s="1"/>
  <c r="X21" i="11"/>
  <c r="X23" s="1"/>
  <c r="AA21"/>
  <c r="AA23" s="1"/>
</calcChain>
</file>

<file path=xl/sharedStrings.xml><?xml version="1.0" encoding="utf-8"?>
<sst xmlns="http://schemas.openxmlformats.org/spreadsheetml/2006/main" count="2296" uniqueCount="703">
  <si>
    <t>Patient No</t>
  </si>
  <si>
    <t>Weight [kg]</t>
  </si>
  <si>
    <t>Height [cm]</t>
  </si>
  <si>
    <t>Sex</t>
  </si>
  <si>
    <t>Date</t>
  </si>
  <si>
    <t>Hour</t>
  </si>
  <si>
    <t>Sample No.</t>
  </si>
  <si>
    <t>Blood pressure</t>
  </si>
  <si>
    <t>Age [years]</t>
  </si>
  <si>
    <t>HR</t>
  </si>
  <si>
    <t>date</t>
  </si>
  <si>
    <t>from</t>
  </si>
  <si>
    <t>to</t>
  </si>
  <si>
    <t>minutes</t>
  </si>
  <si>
    <t>ml/h</t>
  </si>
  <si>
    <t>mcg/h</t>
  </si>
  <si>
    <t>systolic</t>
  </si>
  <si>
    <t>diastolic</t>
  </si>
  <si>
    <t>male</t>
  </si>
  <si>
    <t>operacja</t>
  </si>
  <si>
    <t>stop</t>
  </si>
  <si>
    <t>suma</t>
  </si>
  <si>
    <t>SUFPRZYB1</t>
  </si>
  <si>
    <t xml:space="preserve">NONMEM </t>
  </si>
  <si>
    <t xml:space="preserve">lek miejscowo znieczulający </t>
  </si>
  <si>
    <t>rozpoczęcie</t>
  </si>
  <si>
    <t>zakończenie</t>
  </si>
  <si>
    <t>Dose [ml/h]</t>
  </si>
  <si>
    <t>NRS</t>
  </si>
  <si>
    <t>SVV/CI/CO/SV</t>
  </si>
  <si>
    <t xml:space="preserve">wydarzenia (bodźce operacyjne) </t>
  </si>
  <si>
    <t xml:space="preserve">bolusy </t>
  </si>
  <si>
    <t xml:space="preserve">preparat </t>
  </si>
  <si>
    <t>stężenie SUF</t>
  </si>
  <si>
    <t>stężenie R/B</t>
  </si>
  <si>
    <t>mcg</t>
  </si>
  <si>
    <t>mg/h</t>
  </si>
  <si>
    <t>mg</t>
  </si>
  <si>
    <t>ropiwakaina</t>
  </si>
  <si>
    <t xml:space="preserve">50 mcg SFN (10 ml - 5 mcg/ml) + 90 ml Ropi (2 mg/ml) </t>
  </si>
  <si>
    <t>0,5 mcg/ml</t>
  </si>
  <si>
    <t>1,8 mg/ml</t>
  </si>
  <si>
    <t>stężenie Ropi</t>
  </si>
  <si>
    <t>1/01/19</t>
  </si>
  <si>
    <t>2/01/19</t>
  </si>
  <si>
    <t>3/01/19</t>
  </si>
  <si>
    <t>4/01/19</t>
  </si>
  <si>
    <t>5/01/19</t>
  </si>
  <si>
    <t>6/01/19</t>
  </si>
  <si>
    <t>11/01/19</t>
  </si>
  <si>
    <t>12/01/19</t>
  </si>
  <si>
    <t>13/01/19</t>
  </si>
  <si>
    <t>16/01/19</t>
  </si>
  <si>
    <t>17/01/19</t>
  </si>
  <si>
    <t>18/01/19</t>
  </si>
  <si>
    <t>19/01/19</t>
  </si>
  <si>
    <t>0-1</t>
  </si>
  <si>
    <t>zmiana z 6 na 5</t>
  </si>
  <si>
    <t>start 5</t>
  </si>
  <si>
    <t>21-22.06.2019</t>
  </si>
  <si>
    <t>22-23.06.2019</t>
  </si>
  <si>
    <t>23-24.06.2019</t>
  </si>
  <si>
    <t>ROPI</t>
  </si>
  <si>
    <t>SFN</t>
  </si>
  <si>
    <t>stężenie SFN</t>
  </si>
  <si>
    <t>SUFPRZYB2</t>
  </si>
  <si>
    <t>1/02/19</t>
  </si>
  <si>
    <t>2/02/19</t>
  </si>
  <si>
    <t>3/02/19</t>
  </si>
  <si>
    <t>4/02/19</t>
  </si>
  <si>
    <t>5/02/19</t>
  </si>
  <si>
    <t>6/02/19</t>
  </si>
  <si>
    <t>7/02/19</t>
  </si>
  <si>
    <t>8/02/19</t>
  </si>
  <si>
    <t>9/02/19</t>
  </si>
  <si>
    <t>10/02/19</t>
  </si>
  <si>
    <t>11/02/19</t>
  </si>
  <si>
    <t>12/02/19</t>
  </si>
  <si>
    <t>13/02/19</t>
  </si>
  <si>
    <t>14/02/19</t>
  </si>
  <si>
    <t>15/02/19</t>
  </si>
  <si>
    <t>16/02/19</t>
  </si>
  <si>
    <t>17/02/19</t>
  </si>
  <si>
    <t>18/02/19</t>
  </si>
  <si>
    <t>19/02/19</t>
  </si>
  <si>
    <t>20/02/19</t>
  </si>
  <si>
    <t>19:44</t>
  </si>
  <si>
    <t>R</t>
  </si>
  <si>
    <t>zmiana z 5 na 3</t>
  </si>
  <si>
    <t>start 8</t>
  </si>
  <si>
    <t xml:space="preserve">start 5 </t>
  </si>
  <si>
    <t>5 ml</t>
  </si>
  <si>
    <t>12:04:00 lub 13:55</t>
  </si>
  <si>
    <t>17.25</t>
  </si>
  <si>
    <t>start z 8 ml/h</t>
  </si>
  <si>
    <t>g 16.30 oxynorm 3 mg IV</t>
  </si>
  <si>
    <t>23-24.07</t>
  </si>
  <si>
    <t>24-25.07</t>
  </si>
  <si>
    <t>25-26.07</t>
  </si>
  <si>
    <t>x</t>
  </si>
  <si>
    <t xml:space="preserve">5 ml </t>
  </si>
  <si>
    <t>bolus</t>
  </si>
  <si>
    <t>female</t>
  </si>
  <si>
    <t>1/03/19</t>
  </si>
  <si>
    <t>2/03/19</t>
  </si>
  <si>
    <t>3/03/19</t>
  </si>
  <si>
    <t>4/03/19</t>
  </si>
  <si>
    <t>5/03/19</t>
  </si>
  <si>
    <t>6/03/19</t>
  </si>
  <si>
    <t>7/03/19</t>
  </si>
  <si>
    <t>8/03/19</t>
  </si>
  <si>
    <t>9/03/19</t>
  </si>
  <si>
    <t>10/03/19</t>
  </si>
  <si>
    <t>11/03/19</t>
  </si>
  <si>
    <t>12/03/19</t>
  </si>
  <si>
    <t>13/03/19</t>
  </si>
  <si>
    <t>14/03/19</t>
  </si>
  <si>
    <t>15/03/19</t>
  </si>
  <si>
    <t>16/03/19</t>
  </si>
  <si>
    <t>17/03/19</t>
  </si>
  <si>
    <t>19/03/19</t>
  </si>
  <si>
    <t>17:15</t>
  </si>
  <si>
    <t>4 ml</t>
  </si>
  <si>
    <t>ZO</t>
  </si>
  <si>
    <t>SUFPRZYB3</t>
  </si>
  <si>
    <t>SUFPRZYB4</t>
  </si>
  <si>
    <t>50 mcg SFN (10 ml) w 90 ml 0,2% ROPI</t>
  </si>
  <si>
    <t>sama 0,2% ropiwakaina</t>
  </si>
  <si>
    <t>25 mcg SFN (5 ml) w 95 ml 0,2% ROPI</t>
  </si>
  <si>
    <t>0,25 mcg/ml</t>
  </si>
  <si>
    <t>1,9 mg/ml</t>
  </si>
  <si>
    <t>0/04/19</t>
  </si>
  <si>
    <t>1/04/19</t>
  </si>
  <si>
    <t>2/04/19</t>
  </si>
  <si>
    <t>3/04/19</t>
  </si>
  <si>
    <t>4/04/19</t>
  </si>
  <si>
    <t>5/04/19</t>
  </si>
  <si>
    <t>6/04/19</t>
  </si>
  <si>
    <t>7/04/19</t>
  </si>
  <si>
    <t>8/04/19</t>
  </si>
  <si>
    <t>9/04/19</t>
  </si>
  <si>
    <t>10/04/19</t>
  </si>
  <si>
    <t>11/04/19</t>
  </si>
  <si>
    <t>12/04/19</t>
  </si>
  <si>
    <t>13/04/19</t>
  </si>
  <si>
    <t>14/04/19</t>
  </si>
  <si>
    <t>15/04/19</t>
  </si>
  <si>
    <t>16/04/19</t>
  </si>
  <si>
    <t>17/04/19</t>
  </si>
  <si>
    <t>21:51</t>
  </si>
  <si>
    <t>start8</t>
  </si>
  <si>
    <t>30-31.07</t>
  </si>
  <si>
    <t>31.07-1.08</t>
  </si>
  <si>
    <t>zeszyt!</t>
  </si>
  <si>
    <t>1 to 3</t>
  </si>
  <si>
    <t>2 to 4</t>
  </si>
  <si>
    <t>3 to 5</t>
  </si>
  <si>
    <t>4 to 1</t>
  </si>
  <si>
    <t>5 to 2</t>
  </si>
  <si>
    <t>co z 6? Zamazana, nie wiadomo czy tak pobrano</t>
  </si>
  <si>
    <t>sprawdzić, jak będą wyniki!</t>
  </si>
  <si>
    <t>8:58 lub 17.10 lub 17:50</t>
  </si>
  <si>
    <t>SUFPRZYB5</t>
  </si>
  <si>
    <t>0/05/19</t>
  </si>
  <si>
    <t>1/05/19</t>
  </si>
  <si>
    <t>2/05/19</t>
  </si>
  <si>
    <t>3/05/19</t>
  </si>
  <si>
    <t>4/05/19</t>
  </si>
  <si>
    <t>5/05/19</t>
  </si>
  <si>
    <t>6/05/19</t>
  </si>
  <si>
    <t>7/05/19</t>
  </si>
  <si>
    <t>8/05/19</t>
  </si>
  <si>
    <t>25 mcg SFN (5 ml) w 95 ml 0,2% ROPI / 50 mcg SFN (10 ml) w 9 ml 0,2% ROPI</t>
  </si>
  <si>
    <t>31.07 g 18.30</t>
  </si>
  <si>
    <t>zmiana stężeń!!!</t>
  </si>
  <si>
    <t>start 10</t>
  </si>
  <si>
    <t>po ekstubacij</t>
  </si>
  <si>
    <t>31.07.</t>
  </si>
  <si>
    <t>1.08.</t>
  </si>
  <si>
    <t>1-2.08.</t>
  </si>
  <si>
    <t>?</t>
  </si>
  <si>
    <t>na razie do 19:40</t>
  </si>
  <si>
    <t>2.08.</t>
  </si>
  <si>
    <t>SUFPRZYB6</t>
  </si>
  <si>
    <t>01.08.19.</t>
  </si>
  <si>
    <t>15:19</t>
  </si>
  <si>
    <t>0/06/19</t>
  </si>
  <si>
    <t>1/06/19</t>
  </si>
  <si>
    <t>2/06/19</t>
  </si>
  <si>
    <t>3/06/19</t>
  </si>
  <si>
    <t>4/06/19</t>
  </si>
  <si>
    <t>5/06/19</t>
  </si>
  <si>
    <t>6/06/19</t>
  </si>
  <si>
    <t>7/06/19</t>
  </si>
  <si>
    <t>9/06/19</t>
  </si>
  <si>
    <t>10/06/19</t>
  </si>
  <si>
    <t>11/06/19</t>
  </si>
  <si>
    <t>12/06/19</t>
  </si>
  <si>
    <t>13/06/19</t>
  </si>
  <si>
    <t>14/06/19</t>
  </si>
  <si>
    <t>15/06/19</t>
  </si>
  <si>
    <t>16/06/19</t>
  </si>
  <si>
    <t>17/06/19</t>
  </si>
  <si>
    <t xml:space="preserve">10 mg efedryny </t>
  </si>
  <si>
    <t>11:59-&gt;11.04</t>
  </si>
  <si>
    <t>start 5 ml bolus</t>
  </si>
  <si>
    <t>2-3.08.</t>
  </si>
  <si>
    <t>3.08.</t>
  </si>
  <si>
    <t>SUFPRZYB7</t>
  </si>
  <si>
    <t>14.08.</t>
  </si>
  <si>
    <t>14:26</t>
  </si>
  <si>
    <t>0/07/19</t>
  </si>
  <si>
    <t>1/07/19</t>
  </si>
  <si>
    <t>2/07/19</t>
  </si>
  <si>
    <t>3/07/19</t>
  </si>
  <si>
    <t>4/07/19</t>
  </si>
  <si>
    <t>5/07/19</t>
  </si>
  <si>
    <t>6/07/19</t>
  </si>
  <si>
    <t>7/07/19</t>
  </si>
  <si>
    <t>8/07/19</t>
  </si>
  <si>
    <t>9/07/19</t>
  </si>
  <si>
    <t>10/07/19</t>
  </si>
  <si>
    <t>11/07/19</t>
  </si>
  <si>
    <t>12/07/19</t>
  </si>
  <si>
    <t>13/07/19</t>
  </si>
  <si>
    <t>14/07/19</t>
  </si>
  <si>
    <t>15/07/19</t>
  </si>
  <si>
    <t>16/07/19</t>
  </si>
  <si>
    <t>17/07/19</t>
  </si>
  <si>
    <t>18/07/19</t>
  </si>
  <si>
    <t>19/07/19</t>
  </si>
  <si>
    <t>1--2</t>
  </si>
  <si>
    <t>2--3</t>
  </si>
  <si>
    <t>levonor 0,06 mcg/kg/min</t>
  </si>
  <si>
    <t>sama ropi 0,2%</t>
  </si>
  <si>
    <t>16.08.</t>
  </si>
  <si>
    <t>14-15.08.</t>
  </si>
  <si>
    <t>15-16.08.</t>
  </si>
  <si>
    <t xml:space="preserve">4 ml </t>
  </si>
  <si>
    <t xml:space="preserve">zmiany godzin dawkowania samej ropiwakainy </t>
  </si>
  <si>
    <t>SUFPRZYB8</t>
  </si>
  <si>
    <t>2.10.19.</t>
  </si>
  <si>
    <t>18/08/19</t>
  </si>
  <si>
    <t>0/08/19</t>
  </si>
  <si>
    <t>1/08/19</t>
  </si>
  <si>
    <t>2/08/19</t>
  </si>
  <si>
    <t>3/08/19</t>
  </si>
  <si>
    <t>4/08/19</t>
  </si>
  <si>
    <t>5/08/19</t>
  </si>
  <si>
    <t>6/08/19</t>
  </si>
  <si>
    <t>7/08/19</t>
  </si>
  <si>
    <t>8/08/19</t>
  </si>
  <si>
    <t>9/08/19</t>
  </si>
  <si>
    <t>10/08/19</t>
  </si>
  <si>
    <t>11/08/19</t>
  </si>
  <si>
    <t>12/08/19</t>
  </si>
  <si>
    <t>13/08/19</t>
  </si>
  <si>
    <t>14/08/19</t>
  </si>
  <si>
    <t>15/08/19</t>
  </si>
  <si>
    <t>16/08/19</t>
  </si>
  <si>
    <t>17/08/19</t>
  </si>
  <si>
    <t>start 6</t>
  </si>
  <si>
    <t>2.10.</t>
  </si>
  <si>
    <t>4.10.</t>
  </si>
  <si>
    <t>2-3.10.</t>
  </si>
  <si>
    <t>3-4.10.</t>
  </si>
  <si>
    <t>SUFPRZYB9</t>
  </si>
  <si>
    <t>0/09/19</t>
  </si>
  <si>
    <t>1/09/19</t>
  </si>
  <si>
    <t>2/09/19</t>
  </si>
  <si>
    <t>3/09/19</t>
  </si>
  <si>
    <t>4/09/19</t>
  </si>
  <si>
    <t>5/09/19</t>
  </si>
  <si>
    <t>6/09/19</t>
  </si>
  <si>
    <t>7/09/19</t>
  </si>
  <si>
    <t>8/09/19</t>
  </si>
  <si>
    <t>9/09/19</t>
  </si>
  <si>
    <t>10/09/19</t>
  </si>
  <si>
    <t>11/09/19</t>
  </si>
  <si>
    <t>12/09/19</t>
  </si>
  <si>
    <t>13/09/19</t>
  </si>
  <si>
    <t>14/09/19</t>
  </si>
  <si>
    <t>15/09/19</t>
  </si>
  <si>
    <t>7.10.19.</t>
  </si>
  <si>
    <t>7.10.</t>
  </si>
  <si>
    <t>12.10.</t>
  </si>
  <si>
    <t>SVV/SVI/CI</t>
  </si>
  <si>
    <t>12/23/2,0</t>
  </si>
  <si>
    <t>17/31/3,12</t>
  </si>
  <si>
    <t>26/35/3,49</t>
  </si>
  <si>
    <t>paracetamol 1g</t>
  </si>
  <si>
    <t>6/-/2,6</t>
  </si>
  <si>
    <t>12/-/2,6</t>
  </si>
  <si>
    <t>levonor 0,05 mcg/kg/min od 10</t>
  </si>
  <si>
    <t>levonor 0,1 mcg/kg/min</t>
  </si>
  <si>
    <t>levonor 0,08 mcg/kg/min</t>
  </si>
  <si>
    <t>levonor 0,2 mcg/kg/min</t>
  </si>
  <si>
    <t>levonor 0,16 mcg/kg/min</t>
  </si>
  <si>
    <t>7-8.10.</t>
  </si>
  <si>
    <t>8.10.</t>
  </si>
  <si>
    <t>8-10.10.</t>
  </si>
  <si>
    <t>10-11.10.</t>
  </si>
  <si>
    <t>11.10.</t>
  </si>
  <si>
    <t>11-12.10.</t>
  </si>
  <si>
    <t>SUFPRZYB10</t>
  </si>
  <si>
    <t>9.10.19.</t>
  </si>
  <si>
    <t>9.10.</t>
  </si>
  <si>
    <t>0/10/19</t>
  </si>
  <si>
    <t>1/10/19</t>
  </si>
  <si>
    <t>2/10/19</t>
  </si>
  <si>
    <t>3/10/19</t>
  </si>
  <si>
    <t>4/10/19</t>
  </si>
  <si>
    <t>5/10/19</t>
  </si>
  <si>
    <t>6/10/19</t>
  </si>
  <si>
    <t>8/10/19</t>
  </si>
  <si>
    <t>10/10/19</t>
  </si>
  <si>
    <t>14/10/19</t>
  </si>
  <si>
    <t>15/10/19</t>
  </si>
  <si>
    <t>17/10/19</t>
  </si>
  <si>
    <t>18/10/19</t>
  </si>
  <si>
    <t>19/10/19</t>
  </si>
  <si>
    <t>pyralgina</t>
  </si>
  <si>
    <t>levonor 0,04 mcg/kg/min, KKCz</t>
  </si>
  <si>
    <t>10-12.10.</t>
  </si>
  <si>
    <t>2 ml</t>
  </si>
  <si>
    <t>SUFPRZYB11</t>
  </si>
  <si>
    <t>0/11/19</t>
  </si>
  <si>
    <t>1/11/19</t>
  </si>
  <si>
    <t>2/11/19</t>
  </si>
  <si>
    <t>5/11/19</t>
  </si>
  <si>
    <t>6/11/19</t>
  </si>
  <si>
    <t>7/11/19</t>
  </si>
  <si>
    <t>8/11/19</t>
  </si>
  <si>
    <t>9/11/19</t>
  </si>
  <si>
    <t>10/11/19</t>
  </si>
  <si>
    <t>start 7</t>
  </si>
  <si>
    <t>start 0,2%</t>
  </si>
  <si>
    <t>Levonor 0,02 mcg/kg/min</t>
  </si>
  <si>
    <t>L 0,01 mcg/kg/min</t>
  </si>
  <si>
    <t>L 0,05 mcg/kg/min</t>
  </si>
  <si>
    <t>L 0,03 mcg/kg/min</t>
  </si>
  <si>
    <t xml:space="preserve">bez levonoru </t>
  </si>
  <si>
    <t>do kiedy ropi?</t>
  </si>
  <si>
    <t>9-10.10.</t>
  </si>
  <si>
    <t>6 ml</t>
  </si>
  <si>
    <t>10.10.</t>
  </si>
  <si>
    <t>SUFPRZYB12</t>
  </si>
  <si>
    <t>11.10.19.</t>
  </si>
  <si>
    <t>0/12/19</t>
  </si>
  <si>
    <t>1/12/19</t>
  </si>
  <si>
    <t>2/12/19</t>
  </si>
  <si>
    <t>3/12/19</t>
  </si>
  <si>
    <t>4/12/19</t>
  </si>
  <si>
    <t>5/12/19</t>
  </si>
  <si>
    <t>6/12/19</t>
  </si>
  <si>
    <t>7/12/19</t>
  </si>
  <si>
    <t>8/12/19</t>
  </si>
  <si>
    <t>12/12/19</t>
  </si>
  <si>
    <t>13/12/19</t>
  </si>
  <si>
    <t>14/12/19</t>
  </si>
  <si>
    <t>15/12/19</t>
  </si>
  <si>
    <t>16/12/19</t>
  </si>
  <si>
    <t>17/12/19</t>
  </si>
  <si>
    <t>19/12/19</t>
  </si>
  <si>
    <t>3 ml - 3 min</t>
  </si>
  <si>
    <t>start</t>
  </si>
  <si>
    <t>14.10.</t>
  </si>
  <si>
    <t>12-13.10.</t>
  </si>
  <si>
    <t>13-14.10.</t>
  </si>
  <si>
    <t>13.10.</t>
  </si>
  <si>
    <t>zno</t>
  </si>
  <si>
    <t>SUFPRZYB13</t>
  </si>
  <si>
    <t>0/13/19</t>
  </si>
  <si>
    <t>1/13/19</t>
  </si>
  <si>
    <t>2/13/19</t>
  </si>
  <si>
    <t>3/13/19</t>
  </si>
  <si>
    <t>4/13/19</t>
  </si>
  <si>
    <t>5/13/19</t>
  </si>
  <si>
    <t>6/13/19</t>
  </si>
  <si>
    <t>7/13/19</t>
  </si>
  <si>
    <t>8/13/19</t>
  </si>
  <si>
    <t>9/13/19</t>
  </si>
  <si>
    <t>10/13/19</t>
  </si>
  <si>
    <t>11/13/19</t>
  </si>
  <si>
    <t>25.10.19.</t>
  </si>
  <si>
    <t>25.10.</t>
  </si>
  <si>
    <t>29.10.</t>
  </si>
  <si>
    <t>levonor 0,01 mcg/kg/min</t>
  </si>
  <si>
    <t>sala budzeń</t>
  </si>
  <si>
    <t xml:space="preserve">start 8 </t>
  </si>
  <si>
    <t>brak dokładnych godzin zmian dawkowania SFN</t>
  </si>
  <si>
    <t>SUFPRZYB14</t>
  </si>
  <si>
    <t>0/14/19</t>
  </si>
  <si>
    <t>1/14/19</t>
  </si>
  <si>
    <t>2/14/19</t>
  </si>
  <si>
    <t>3/14/19</t>
  </si>
  <si>
    <t>4/14/19</t>
  </si>
  <si>
    <t>7/14/19</t>
  </si>
  <si>
    <t>8/14/19</t>
  </si>
  <si>
    <t>9/14/19</t>
  </si>
  <si>
    <t>10/14/19</t>
  </si>
  <si>
    <t>11/14/19</t>
  </si>
  <si>
    <t>12/14/19</t>
  </si>
  <si>
    <t>13/14/19</t>
  </si>
  <si>
    <t>14/14/19</t>
  </si>
  <si>
    <t>15/14/19</t>
  </si>
  <si>
    <t>16/14/19</t>
  </si>
  <si>
    <t>28.10.</t>
  </si>
  <si>
    <t>30.10.</t>
  </si>
  <si>
    <t xml:space="preserve">start </t>
  </si>
  <si>
    <t>4 ml - 2min</t>
  </si>
  <si>
    <t>levonor 0,05 mcg/kg/min</t>
  </si>
  <si>
    <t>28-30.10.</t>
  </si>
  <si>
    <t>SUFPRZYB15</t>
  </si>
  <si>
    <t>4.11.</t>
  </si>
  <si>
    <t>0/15/19</t>
  </si>
  <si>
    <t>1/15/19</t>
  </si>
  <si>
    <t>2/15/19</t>
  </si>
  <si>
    <t>3/15/19</t>
  </si>
  <si>
    <t>4/15/19</t>
  </si>
  <si>
    <t>5/15/19</t>
  </si>
  <si>
    <t>6/15/19</t>
  </si>
  <si>
    <t>7/15/19</t>
  </si>
  <si>
    <t>13/15/19</t>
  </si>
  <si>
    <t>14/15/19</t>
  </si>
  <si>
    <t>15/15/19</t>
  </si>
  <si>
    <t>16/15/19</t>
  </si>
  <si>
    <t xml:space="preserve">5ml </t>
  </si>
  <si>
    <t>start 3</t>
  </si>
  <si>
    <t>hipotensja z powodu zzo</t>
  </si>
  <si>
    <t>5.11.</t>
  </si>
  <si>
    <t>4-5.11.</t>
  </si>
  <si>
    <t>SUFPRZYB16</t>
  </si>
  <si>
    <t>12.11.19.</t>
  </si>
  <si>
    <t>0/16/19</t>
  </si>
  <si>
    <t>1/16/19</t>
  </si>
  <si>
    <t>2/16/19</t>
  </si>
  <si>
    <t>3/16/19</t>
  </si>
  <si>
    <t>4/16/19</t>
  </si>
  <si>
    <t>5/16/19</t>
  </si>
  <si>
    <t>6/16/19</t>
  </si>
  <si>
    <t>7/16/19</t>
  </si>
  <si>
    <t>15/16/19</t>
  </si>
  <si>
    <t>17/16/19</t>
  </si>
  <si>
    <t>18/16/19</t>
  </si>
  <si>
    <t>19/16/19</t>
  </si>
  <si>
    <t>do 12:53</t>
  </si>
  <si>
    <t>12.11.</t>
  </si>
  <si>
    <t>14.11.</t>
  </si>
  <si>
    <t>12-13.11.</t>
  </si>
  <si>
    <t>13-14.11.</t>
  </si>
  <si>
    <t>levonor 0,03 mcg/kg/min</t>
  </si>
  <si>
    <t>SUFPRZYB17</t>
  </si>
  <si>
    <t>18.11.19.</t>
  </si>
  <si>
    <t>18.11.</t>
  </si>
  <si>
    <t>0/17/19</t>
  </si>
  <si>
    <t>1/17/19</t>
  </si>
  <si>
    <t>2/17/19</t>
  </si>
  <si>
    <t>3/17/19</t>
  </si>
  <si>
    <t>4/17/19</t>
  </si>
  <si>
    <t>5/17/19</t>
  </si>
  <si>
    <t>6/17/19</t>
  </si>
  <si>
    <t>7/17/19</t>
  </si>
  <si>
    <t>15/17/19</t>
  </si>
  <si>
    <t>16/17/19</t>
  </si>
  <si>
    <t>17/17/19</t>
  </si>
  <si>
    <t>18/17/19</t>
  </si>
  <si>
    <t>19/17/19</t>
  </si>
  <si>
    <t>5 min</t>
  </si>
  <si>
    <t>16.30-18.30 wlew bez SFN</t>
  </si>
  <si>
    <t>0,2% ropi</t>
  </si>
  <si>
    <t>2 mg/ml</t>
  </si>
  <si>
    <t>20.11.</t>
  </si>
  <si>
    <t>18-19.11.</t>
  </si>
  <si>
    <t>19-20.11.</t>
  </si>
  <si>
    <t>SUFPRZYB18</t>
  </si>
  <si>
    <t>27.11.19.</t>
  </si>
  <si>
    <t>0/18/19</t>
  </si>
  <si>
    <t>1/18/19</t>
  </si>
  <si>
    <t>2/18/19</t>
  </si>
  <si>
    <t>3/18/19</t>
  </si>
  <si>
    <t>4/18/19</t>
  </si>
  <si>
    <t>5/18/19</t>
  </si>
  <si>
    <t>6/18/19</t>
  </si>
  <si>
    <t>7/18/19</t>
  </si>
  <si>
    <t>8/18/19</t>
  </si>
  <si>
    <t>18/18/19</t>
  </si>
  <si>
    <t>19/18/19</t>
  </si>
  <si>
    <t>1--3</t>
  </si>
  <si>
    <t>3 min</t>
  </si>
  <si>
    <t>7--8</t>
  </si>
  <si>
    <t>3 min - 10 minut od ekstubacji, po wybudzeniu, morfina 2 mg zo, 1 mg midanium, duży stres pacjenta</t>
  </si>
  <si>
    <t>2 min</t>
  </si>
  <si>
    <t>start 13</t>
  </si>
  <si>
    <t xml:space="preserve">start 10 </t>
  </si>
  <si>
    <t>27-28.11.</t>
  </si>
  <si>
    <t>27.11.</t>
  </si>
  <si>
    <t>30.11.</t>
  </si>
  <si>
    <t>28.11.</t>
  </si>
  <si>
    <t>28-29.11.</t>
  </si>
  <si>
    <t>29-30.11.</t>
  </si>
  <si>
    <t>SUFPRZYB19</t>
  </si>
  <si>
    <t>16.12.</t>
  </si>
  <si>
    <t>16.12.19.</t>
  </si>
  <si>
    <t>18:42</t>
  </si>
  <si>
    <t>0/19/19</t>
  </si>
  <si>
    <t>1/19/19</t>
  </si>
  <si>
    <t>2/19/19</t>
  </si>
  <si>
    <t>3/19/19</t>
  </si>
  <si>
    <t>4/19/19</t>
  </si>
  <si>
    <t>5/19/19</t>
  </si>
  <si>
    <t>6/19/19</t>
  </si>
  <si>
    <t>7/19/19</t>
  </si>
  <si>
    <t>8/19/19</t>
  </si>
  <si>
    <t>9/19/19</t>
  </si>
  <si>
    <t>10/19/19</t>
  </si>
  <si>
    <t>11/19/19</t>
  </si>
  <si>
    <t>12/19/19</t>
  </si>
  <si>
    <t>13/19/19</t>
  </si>
  <si>
    <t>14/19/19</t>
  </si>
  <si>
    <t>15/19/19</t>
  </si>
  <si>
    <t>16/19/19</t>
  </si>
  <si>
    <t>17/19/19</t>
  </si>
  <si>
    <t>18/19/19</t>
  </si>
  <si>
    <t>19/19/19</t>
  </si>
  <si>
    <t>19.12.</t>
  </si>
  <si>
    <t>efedryna 10 mg</t>
  </si>
  <si>
    <t>lev 0,05</t>
  </si>
  <si>
    <t>lev 0,12</t>
  </si>
  <si>
    <t>lev 0 0,7</t>
  </si>
  <si>
    <t>lev 0,08</t>
  </si>
  <si>
    <t>16-18.12.</t>
  </si>
  <si>
    <t>18-19.12.</t>
  </si>
  <si>
    <t>19-</t>
  </si>
  <si>
    <t>SUFPRZYB20</t>
  </si>
  <si>
    <t>15:48</t>
  </si>
  <si>
    <t>0/20/19</t>
  </si>
  <si>
    <t>1/20/19</t>
  </si>
  <si>
    <t>2/20/19</t>
  </si>
  <si>
    <t>3/20/19</t>
  </si>
  <si>
    <t>4/20/19</t>
  </si>
  <si>
    <t>5/20/19</t>
  </si>
  <si>
    <t>6/20/19</t>
  </si>
  <si>
    <t>7/20/19</t>
  </si>
  <si>
    <t>8/20/19</t>
  </si>
  <si>
    <t>9/20/19</t>
  </si>
  <si>
    <t>10/20/19</t>
  </si>
  <si>
    <t>11/20/19</t>
  </si>
  <si>
    <t>12/20/19</t>
  </si>
  <si>
    <t>13/20/19</t>
  </si>
  <si>
    <t>14/20/19</t>
  </si>
  <si>
    <t>15/20/19</t>
  </si>
  <si>
    <t>16/20/19</t>
  </si>
  <si>
    <t>17/20/19</t>
  </si>
  <si>
    <t>18/20/19</t>
  </si>
  <si>
    <t>0--1</t>
  </si>
  <si>
    <t>z 5, kiedy było?</t>
  </si>
  <si>
    <t>18.12.</t>
  </si>
  <si>
    <t>SUFPRZYB21</t>
  </si>
  <si>
    <t>stężenie B</t>
  </si>
  <si>
    <t>bupiwakaina</t>
  </si>
  <si>
    <t>18:28</t>
  </si>
  <si>
    <t>17.01.20.</t>
  </si>
  <si>
    <t>0/21/20</t>
  </si>
  <si>
    <t>1/21/20</t>
  </si>
  <si>
    <t>2/21/20</t>
  </si>
  <si>
    <t>3/21/20</t>
  </si>
  <si>
    <t>4/21/20</t>
  </si>
  <si>
    <t>7/21/20</t>
  </si>
  <si>
    <t>9/21/20</t>
  </si>
  <si>
    <t>10/21/20</t>
  </si>
  <si>
    <t>11/21/20</t>
  </si>
  <si>
    <t>12/21/20</t>
  </si>
  <si>
    <t>13/21/20</t>
  </si>
  <si>
    <t>14/21/20</t>
  </si>
  <si>
    <t>15/21/20</t>
  </si>
  <si>
    <t>16/21/20</t>
  </si>
  <si>
    <t>17/21/20</t>
  </si>
  <si>
    <t>18/21/20</t>
  </si>
  <si>
    <t>19/21/20</t>
  </si>
  <si>
    <t>6/21/20</t>
  </si>
  <si>
    <t>CI/SVV</t>
  </si>
  <si>
    <t>3,3/6</t>
  </si>
  <si>
    <t>3,9/8</t>
  </si>
  <si>
    <t>3,1/17</t>
  </si>
  <si>
    <t>3,3/11</t>
  </si>
  <si>
    <t>2,8/17</t>
  </si>
  <si>
    <t>3,5/40</t>
  </si>
  <si>
    <t>2,8/24</t>
  </si>
  <si>
    <t>4,2/8</t>
  </si>
  <si>
    <t>B</t>
  </si>
  <si>
    <t>17.01.</t>
  </si>
  <si>
    <t>17-18.01.</t>
  </si>
  <si>
    <t>18.01.</t>
  </si>
  <si>
    <t>18-19.01.</t>
  </si>
  <si>
    <t>19.01.</t>
  </si>
  <si>
    <t>SUFPRZYB22</t>
  </si>
  <si>
    <t>0/22/20</t>
  </si>
  <si>
    <t>1/22/20</t>
  </si>
  <si>
    <t>2/22/20</t>
  </si>
  <si>
    <t>3/22/20</t>
  </si>
  <si>
    <t>4/22/20</t>
  </si>
  <si>
    <t>5/22/20</t>
  </si>
  <si>
    <t>6/22/20</t>
  </si>
  <si>
    <t>7/22/20</t>
  </si>
  <si>
    <t>17/22/20</t>
  </si>
  <si>
    <t>21.01.20.</t>
  </si>
  <si>
    <t>lev 0,1 mcg/kg/min</t>
  </si>
  <si>
    <t>bez lev</t>
  </si>
  <si>
    <t>pacjentka uszkodziła cewnik z-o</t>
  </si>
  <si>
    <t>21.01.</t>
  </si>
  <si>
    <t>SUFPRZYB23</t>
  </si>
  <si>
    <t>3.02.20.</t>
  </si>
  <si>
    <t>25 mcg SFN (5 ml) + 20 ml 1% ROPI + 75 ml NaCl</t>
  </si>
  <si>
    <t>1 mg</t>
  </si>
  <si>
    <t>100 mg</t>
  </si>
  <si>
    <t>1000 ml</t>
  </si>
  <si>
    <t>10 mg</t>
  </si>
  <si>
    <t>20 ml</t>
  </si>
  <si>
    <t>200 mg</t>
  </si>
  <si>
    <t>19:20</t>
  </si>
  <si>
    <t>0/23/20</t>
  </si>
  <si>
    <t>1/23/20</t>
  </si>
  <si>
    <t>2/23/20</t>
  </si>
  <si>
    <t>3/23/20</t>
  </si>
  <si>
    <t>4/23/20</t>
  </si>
  <si>
    <t>5/23/20</t>
  </si>
  <si>
    <t>6/23/20</t>
  </si>
  <si>
    <t>7/23/20</t>
  </si>
  <si>
    <t>9/23/20</t>
  </si>
  <si>
    <t>10/23/20</t>
  </si>
  <si>
    <t>11/23/20</t>
  </si>
  <si>
    <t>12/23/20</t>
  </si>
  <si>
    <t>13/23/20</t>
  </si>
  <si>
    <t>14/23/20</t>
  </si>
  <si>
    <t>15/23/20</t>
  </si>
  <si>
    <t>16/23/20</t>
  </si>
  <si>
    <t>19/23/20</t>
  </si>
  <si>
    <t>18/23/20</t>
  </si>
  <si>
    <t>lev 0,15</t>
  </si>
  <si>
    <t>3.02.</t>
  </si>
  <si>
    <t>5.02.</t>
  </si>
  <si>
    <t xml:space="preserve">10 mcg SFN (2 ml) + 38 ml NaCl + 10 ml 0,5% BUPI (20 mcg SFN + 20 ml 0,5%) na 100 ml </t>
  </si>
  <si>
    <t>0,2 mcg/ml</t>
  </si>
  <si>
    <t>1 mg/ml</t>
  </si>
  <si>
    <t>9/01/19?</t>
  </si>
  <si>
    <t>8/01/19?</t>
  </si>
  <si>
    <t>9 (była jako 8 oznaczona pierwotnie)- opisana jako 23.06 12.45 czyli nie 11:17? - raczej 12.35</t>
  </si>
  <si>
    <t>8 niejako jest 7 z protokołu (zmazanie 8 i wpisanie 7)- pobranie po 24 h</t>
  </si>
  <si>
    <t>1 - 13.39</t>
  </si>
  <si>
    <t>2 - 16.20</t>
  </si>
  <si>
    <t>3 - 18.40</t>
  </si>
  <si>
    <t>4 - 12.27</t>
  </si>
  <si>
    <t>5 - 13.03</t>
  </si>
  <si>
    <t>czy dalej była sama ropi?</t>
  </si>
  <si>
    <t>3.10.</t>
  </si>
  <si>
    <t>20:40 lub 23:17</t>
  </si>
  <si>
    <t>nacięcie skóry</t>
  </si>
  <si>
    <t>10 ml</t>
  </si>
  <si>
    <t>szycie skóry</t>
  </si>
  <si>
    <t xml:space="preserve">założenie haków </t>
  </si>
  <si>
    <t>rozcięcie powłok brzusznych</t>
  </si>
  <si>
    <t>efedryna 12:28 10 mg</t>
  </si>
  <si>
    <t>efedryna 13:02 5 mg</t>
  </si>
  <si>
    <t>5 ml - 5 min</t>
  </si>
  <si>
    <t>nacięcie powłok</t>
  </si>
  <si>
    <t>7 czy 17 próbka?</t>
  </si>
  <si>
    <t>wg protokoły powinna być 17 - spr stężenie</t>
  </si>
  <si>
    <t xml:space="preserve">nacięcie skóry </t>
  </si>
  <si>
    <t>3-4.02.</t>
  </si>
  <si>
    <t>4-5.02.</t>
  </si>
  <si>
    <t>C [pg/ml]</t>
  </si>
  <si>
    <t>BRAK STĘŻEŃ - poniżej oznaczalności</t>
  </si>
  <si>
    <t xml:space="preserve">brak podanych godzin zmian dawkowania </t>
  </si>
  <si>
    <t>TIME</t>
  </si>
  <si>
    <t>h</t>
  </si>
  <si>
    <t xml:space="preserve">AMT </t>
  </si>
  <si>
    <t>BUPI</t>
  </si>
  <si>
    <t>RATE</t>
  </si>
  <si>
    <t>CMT</t>
  </si>
  <si>
    <t>stężenie SFN [pg/ml]</t>
  </si>
  <si>
    <t>dawka SFN</t>
  </si>
  <si>
    <t>dawka ROPI</t>
  </si>
  <si>
    <t>dawka BUPI</t>
  </si>
  <si>
    <t>DV</t>
  </si>
  <si>
    <t xml:space="preserve">stężenia SFN </t>
  </si>
  <si>
    <t>SEX</t>
  </si>
  <si>
    <t>1 -male</t>
  </si>
  <si>
    <t>2 - female</t>
  </si>
  <si>
    <t>AGE</t>
  </si>
  <si>
    <t>years</t>
  </si>
  <si>
    <t>WT</t>
  </si>
  <si>
    <t>kg</t>
  </si>
  <si>
    <t>HEIGHT</t>
  </si>
  <si>
    <t>cm</t>
  </si>
  <si>
    <t>TINFS</t>
  </si>
  <si>
    <t>całkowity czas podaży SFN w godz</t>
  </si>
  <si>
    <t>TINFR</t>
  </si>
  <si>
    <t>całkowity czas podaży ROPI w godz</t>
  </si>
  <si>
    <t>DOSES</t>
  </si>
  <si>
    <t>całkowita dawka SFN [mcg]</t>
  </si>
  <si>
    <t>DOSER</t>
  </si>
  <si>
    <t>całkowita dawka ROPI [mg]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</si>
</sst>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8"/>
      <name val="Microsoft Sans Serif"/>
      <family val="2"/>
    </font>
    <font>
      <b/>
      <sz val="8"/>
      <color rgb="FFFF0000"/>
      <name val="Microsoft Sans Serif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3" xfId="0" applyBorder="1"/>
    <xf numFmtId="20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0" fillId="6" borderId="3" xfId="0" applyFill="1" applyBorder="1"/>
    <xf numFmtId="0" fontId="0" fillId="2" borderId="3" xfId="0" applyFill="1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0" fontId="0" fillId="2" borderId="3" xfId="0" applyNumberFormat="1" applyFont="1" applyFill="1" applyBorder="1" applyAlignment="1">
      <alignment horizontal="left"/>
    </xf>
    <xf numFmtId="14" fontId="0" fillId="2" borderId="3" xfId="0" applyNumberFormat="1" applyFont="1" applyFill="1" applyBorder="1" applyAlignment="1">
      <alignment horizontal="left"/>
    </xf>
    <xf numFmtId="49" fontId="0" fillId="0" borderId="0" xfId="0" applyNumberFormat="1"/>
    <xf numFmtId="14" fontId="0" fillId="0" borderId="3" xfId="0" applyNumberFormat="1" applyFill="1" applyBorder="1" applyAlignment="1">
      <alignment horizontal="center" vertical="center" wrapText="1"/>
    </xf>
    <xf numFmtId="20" fontId="5" fillId="2" borderId="3" xfId="0" applyNumberFormat="1" applyFont="1" applyFill="1" applyBorder="1" applyAlignment="1">
      <alignment horizontal="left"/>
    </xf>
    <xf numFmtId="20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3" xfId="0" applyFill="1" applyBorder="1"/>
    <xf numFmtId="20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3" xfId="0" applyFill="1" applyBorder="1"/>
    <xf numFmtId="14" fontId="1" fillId="4" borderId="3" xfId="0" applyNumberFormat="1" applyFont="1" applyFill="1" applyBorder="1" applyAlignment="1">
      <alignment horizontal="center" vertical="center" wrapText="1"/>
    </xf>
    <xf numFmtId="14" fontId="1" fillId="4" borderId="3" xfId="0" applyNumberFormat="1" applyFont="1" applyFill="1" applyBorder="1" applyAlignment="1">
      <alignment horizontal="center" vertical="center"/>
    </xf>
    <xf numFmtId="16" fontId="0" fillId="0" borderId="0" xfId="0" applyNumberFormat="1"/>
    <xf numFmtId="14" fontId="0" fillId="0" borderId="3" xfId="0" applyNumberFormat="1" applyBorder="1" applyAlignment="1">
      <alignment horizontal="center"/>
    </xf>
    <xf numFmtId="0" fontId="0" fillId="2" borderId="3" xfId="0" applyFill="1" applyBorder="1" applyAlignment="1">
      <alignment horizontal="left"/>
    </xf>
    <xf numFmtId="20" fontId="0" fillId="2" borderId="3" xfId="0" applyNumberFormat="1" applyFill="1" applyBorder="1" applyAlignment="1">
      <alignment horizontal="left"/>
    </xf>
    <xf numFmtId="16" fontId="1" fillId="4" borderId="3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6" borderId="3" xfId="0" applyFill="1" applyBorder="1" applyAlignment="1">
      <alignment horizontal="center"/>
    </xf>
    <xf numFmtId="0" fontId="0" fillId="2" borderId="3" xfId="0" applyNumberFormat="1" applyFont="1" applyFill="1" applyBorder="1" applyAlignment="1">
      <alignment horizontal="left"/>
    </xf>
    <xf numFmtId="14" fontId="0" fillId="5" borderId="3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4" fontId="0" fillId="0" borderId="3" xfId="0" applyNumberForma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6" fontId="0" fillId="2" borderId="3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5" fillId="0" borderId="0" xfId="0" applyFont="1"/>
    <xf numFmtId="0" fontId="0" fillId="8" borderId="3" xfId="0" applyFill="1" applyBorder="1" applyAlignment="1">
      <alignment horizontal="center"/>
    </xf>
    <xf numFmtId="14" fontId="0" fillId="0" borderId="3" xfId="0" applyNumberForma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0" fillId="0" borderId="7" xfId="0" applyFill="1" applyBorder="1"/>
    <xf numFmtId="0" fontId="5" fillId="2" borderId="3" xfId="0" applyFont="1" applyFill="1" applyBorder="1" applyAlignment="1">
      <alignment horizontal="left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0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" xfId="0" applyBorder="1" applyAlignment="1">
      <alignment horizontal="center"/>
    </xf>
    <xf numFmtId="20" fontId="0" fillId="0" borderId="0" xfId="0" applyNumberFormat="1"/>
    <xf numFmtId="49" fontId="0" fillId="0" borderId="3" xfId="0" applyNumberFormat="1" applyBorder="1"/>
    <xf numFmtId="14" fontId="0" fillId="0" borderId="3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/>
    </xf>
    <xf numFmtId="49" fontId="0" fillId="7" borderId="3" xfId="0" applyNumberFormat="1" applyFill="1" applyBorder="1"/>
    <xf numFmtId="49" fontId="0" fillId="5" borderId="3" xfId="0" applyNumberFormat="1" applyFill="1" applyBorder="1"/>
    <xf numFmtId="16" fontId="0" fillId="5" borderId="3" xfId="0" applyNumberForma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0" fillId="9" borderId="3" xfId="0" applyFill="1" applyBorder="1"/>
    <xf numFmtId="0" fontId="5" fillId="9" borderId="3" xfId="0" applyFont="1" applyFill="1" applyBorder="1"/>
    <xf numFmtId="0" fontId="1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/>
    </xf>
    <xf numFmtId="20" fontId="5" fillId="0" borderId="3" xfId="0" applyNumberFormat="1" applyFont="1" applyBorder="1" applyAlignment="1">
      <alignment horizontal="center" vertical="center"/>
    </xf>
    <xf numFmtId="0" fontId="0" fillId="7" borderId="0" xfId="0" applyFill="1"/>
    <xf numFmtId="14" fontId="0" fillId="0" borderId="3" xfId="0" applyNumberForma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46" fontId="0" fillId="0" borderId="3" xfId="0" applyNumberFormat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 wrapText="1"/>
    </xf>
    <xf numFmtId="0" fontId="5" fillId="10" borderId="3" xfId="0" applyFont="1" applyFill="1" applyBorder="1"/>
    <xf numFmtId="0" fontId="1" fillId="4" borderId="3" xfId="0" applyFont="1" applyFill="1" applyBorder="1" applyAlignment="1">
      <alignment vertical="center"/>
    </xf>
    <xf numFmtId="0" fontId="0" fillId="5" borderId="0" xfId="0" applyFill="1"/>
    <xf numFmtId="14" fontId="0" fillId="0" borderId="3" xfId="0" applyNumberForma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/>
    <xf numFmtId="14" fontId="0" fillId="0" borderId="3" xfId="0" applyNumberForma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5" fillId="0" borderId="3" xfId="0" applyFont="1" applyBorder="1"/>
    <xf numFmtId="0" fontId="6" fillId="5" borderId="3" xfId="0" applyFont="1" applyFill="1" applyBorder="1"/>
    <xf numFmtId="20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10" fontId="0" fillId="0" borderId="0" xfId="0" applyNumberFormat="1"/>
    <xf numFmtId="16" fontId="1" fillId="4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0" fontId="0" fillId="12" borderId="3" xfId="0" applyNumberFormat="1" applyFill="1" applyBorder="1" applyAlignment="1">
      <alignment horizontal="center" vertical="center"/>
    </xf>
    <xf numFmtId="0" fontId="0" fillId="0" borderId="0" xfId="0" applyFill="1"/>
    <xf numFmtId="10" fontId="0" fillId="0" borderId="3" xfId="0" applyNumberFormat="1" applyBorder="1" applyAlignment="1">
      <alignment horizontal="center"/>
    </xf>
    <xf numFmtId="0" fontId="8" fillId="0" borderId="3" xfId="0" applyFont="1" applyBorder="1" applyAlignment="1">
      <alignment horizontal="right" vertical="top"/>
    </xf>
    <xf numFmtId="14" fontId="0" fillId="0" borderId="1" xfId="0" applyNumberFormat="1" applyFill="1" applyBorder="1" applyAlignment="1">
      <alignment horizontal="center" vertical="center" wrapText="1"/>
    </xf>
    <xf numFmtId="14" fontId="0" fillId="0" borderId="7" xfId="0" applyNumberFormat="1" applyFill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14" fontId="0" fillId="0" borderId="3" xfId="0" applyNumberFormat="1" applyFill="1" applyBorder="1" applyAlignment="1">
      <alignment horizontal="center" vertical="center" wrapText="1"/>
    </xf>
    <xf numFmtId="49" fontId="0" fillId="0" borderId="1" xfId="0" applyNumberFormat="1" applyBorder="1"/>
    <xf numFmtId="0" fontId="8" fillId="0" borderId="3" xfId="0" applyFont="1" applyFill="1" applyBorder="1" applyAlignment="1">
      <alignment horizontal="center" vertical="top"/>
    </xf>
    <xf numFmtId="0" fontId="9" fillId="0" borderId="3" xfId="0" applyFont="1" applyBorder="1" applyAlignment="1">
      <alignment horizontal="right" vertical="top"/>
    </xf>
    <xf numFmtId="0" fontId="1" fillId="4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top"/>
    </xf>
    <xf numFmtId="14" fontId="1" fillId="4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4" fontId="1" fillId="4" borderId="13" xfId="0" applyNumberFormat="1" applyFont="1" applyFill="1" applyBorder="1" applyAlignment="1">
      <alignment horizontal="center" vertical="center"/>
    </xf>
    <xf numFmtId="14" fontId="1" fillId="4" borderId="15" xfId="0" applyNumberFormat="1" applyFont="1" applyFill="1" applyBorder="1" applyAlignment="1">
      <alignment horizontal="center" vertical="center"/>
    </xf>
    <xf numFmtId="2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7" xfId="0" applyBorder="1"/>
    <xf numFmtId="20" fontId="0" fillId="6" borderId="3" xfId="0" applyNumberFormat="1" applyFill="1" applyBorder="1" applyAlignment="1">
      <alignment horizontal="center" vertical="center"/>
    </xf>
    <xf numFmtId="0" fontId="1" fillId="6" borderId="7" xfId="0" applyFont="1" applyFill="1" applyBorder="1" applyAlignment="1">
      <alignment vertical="center"/>
    </xf>
    <xf numFmtId="0" fontId="0" fillId="6" borderId="3" xfId="0" applyFill="1" applyBorder="1" applyAlignment="1">
      <alignment horizontal="center" vertical="center"/>
    </xf>
    <xf numFmtId="20" fontId="0" fillId="13" borderId="3" xfId="0" applyNumberForma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0" fillId="0" borderId="7" xfId="0" applyNumberFormat="1" applyFill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" fontId="1" fillId="4" borderId="3" xfId="0" applyNumberFormat="1" applyFont="1" applyFill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14" fontId="0" fillId="0" borderId="3" xfId="0" applyNumberFormat="1" applyFill="1" applyBorder="1" applyAlignment="1">
      <alignment horizontal="center" vertical="center" wrapText="1"/>
    </xf>
    <xf numFmtId="14" fontId="1" fillId="4" borderId="13" xfId="0" applyNumberFormat="1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  <xf numFmtId="14" fontId="1" fillId="4" borderId="15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6" fontId="1" fillId="4" borderId="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wrapText="1"/>
    </xf>
    <xf numFmtId="14" fontId="1" fillId="4" borderId="3" xfId="0" applyNumberFormat="1" applyFont="1" applyFill="1" applyBorder="1" applyAlignment="1">
      <alignment horizontal="center" vertical="center"/>
    </xf>
    <xf numFmtId="20" fontId="0" fillId="6" borderId="4" xfId="0" applyNumberFormat="1" applyFill="1" applyBorder="1" applyAlignment="1">
      <alignment horizontal="center" vertical="center"/>
    </xf>
    <xf numFmtId="20" fontId="0" fillId="6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wrapText="1"/>
    </xf>
    <xf numFmtId="0" fontId="0" fillId="10" borderId="0" xfId="0" applyFill="1"/>
  </cellXfs>
  <cellStyles count="1">
    <cellStyle name="Normalny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K16" sqref="K16"/>
    </sheetView>
  </sheetViews>
  <sheetFormatPr defaultRowHeight="14.4"/>
  <sheetData>
    <row r="1" spans="1:3">
      <c r="A1" t="s">
        <v>674</v>
      </c>
      <c r="B1" t="s">
        <v>675</v>
      </c>
    </row>
    <row r="2" spans="1:3">
      <c r="A2" t="s">
        <v>676</v>
      </c>
      <c r="B2" t="s">
        <v>63</v>
      </c>
      <c r="C2" t="s">
        <v>35</v>
      </c>
    </row>
    <row r="3" spans="1:3">
      <c r="B3" t="s">
        <v>62</v>
      </c>
      <c r="C3" t="s">
        <v>37</v>
      </c>
    </row>
    <row r="4" spans="1:3">
      <c r="A4" s="102"/>
      <c r="B4" s="102" t="s">
        <v>677</v>
      </c>
      <c r="C4" s="102" t="s">
        <v>37</v>
      </c>
    </row>
    <row r="5" spans="1:3">
      <c r="A5" t="s">
        <v>678</v>
      </c>
      <c r="B5" t="s">
        <v>63</v>
      </c>
      <c r="C5" t="s">
        <v>15</v>
      </c>
    </row>
    <row r="6" spans="1:3">
      <c r="B6" t="s">
        <v>62</v>
      </c>
      <c r="C6" t="s">
        <v>36</v>
      </c>
    </row>
    <row r="7" spans="1:3">
      <c r="A7" t="s">
        <v>679</v>
      </c>
      <c r="B7">
        <v>1</v>
      </c>
      <c r="C7" t="s">
        <v>680</v>
      </c>
    </row>
    <row r="8" spans="1:3">
      <c r="B8">
        <v>11</v>
      </c>
      <c r="C8" t="s">
        <v>681</v>
      </c>
    </row>
    <row r="9" spans="1:3">
      <c r="B9">
        <v>22</v>
      </c>
      <c r="C9" t="s">
        <v>682</v>
      </c>
    </row>
    <row r="10" spans="1:3">
      <c r="A10" s="102"/>
      <c r="B10" s="102">
        <v>33</v>
      </c>
      <c r="C10" s="102" t="s">
        <v>683</v>
      </c>
    </row>
    <row r="11" spans="1:3">
      <c r="A11" t="s">
        <v>684</v>
      </c>
      <c r="B11" t="s">
        <v>685</v>
      </c>
    </row>
    <row r="12" spans="1:3">
      <c r="A12" s="216" t="s">
        <v>686</v>
      </c>
      <c r="B12" t="s">
        <v>687</v>
      </c>
      <c r="C12" t="s">
        <v>688</v>
      </c>
    </row>
    <row r="13" spans="1:3">
      <c r="A13" s="216" t="s">
        <v>689</v>
      </c>
      <c r="B13" t="s">
        <v>690</v>
      </c>
    </row>
    <row r="14" spans="1:3">
      <c r="A14" s="216" t="s">
        <v>691</v>
      </c>
      <c r="B14" t="s">
        <v>692</v>
      </c>
    </row>
    <row r="15" spans="1:3">
      <c r="A15" s="216" t="s">
        <v>693</v>
      </c>
      <c r="B15" t="s">
        <v>694</v>
      </c>
    </row>
    <row r="16" spans="1:3">
      <c r="A16" s="216" t="s">
        <v>695</v>
      </c>
      <c r="B16" t="s">
        <v>696</v>
      </c>
    </row>
    <row r="17" spans="1:2">
      <c r="A17" s="216" t="s">
        <v>697</v>
      </c>
      <c r="B17" t="s">
        <v>698</v>
      </c>
    </row>
    <row r="18" spans="1:2">
      <c r="A18" s="216" t="s">
        <v>699</v>
      </c>
      <c r="B18" t="s">
        <v>700</v>
      </c>
    </row>
    <row r="19" spans="1:2">
      <c r="A19" s="216" t="s">
        <v>701</v>
      </c>
      <c r="B19" t="s">
        <v>702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7"/>
  <sheetViews>
    <sheetView zoomScale="90" zoomScaleNormal="90" workbookViewId="0">
      <selection sqref="A1:C1"/>
    </sheetView>
  </sheetViews>
  <sheetFormatPr defaultRowHeight="14.4"/>
  <cols>
    <col min="1" max="1" width="4" customWidth="1"/>
    <col min="2" max="2" width="11.44140625" bestFit="1" customWidth="1"/>
    <col min="3" max="3" width="14.6640625" customWidth="1"/>
    <col min="4" max="4" width="9.77734375" customWidth="1"/>
    <col min="5" max="5" width="8.109375" customWidth="1"/>
    <col min="6" max="6" width="11.33203125" customWidth="1"/>
    <col min="7" max="7" width="8.21875" bestFit="1" customWidth="1"/>
    <col min="8" max="8" width="7.77734375" customWidth="1"/>
    <col min="9" max="9" width="11.109375" bestFit="1" customWidth="1"/>
    <col min="10" max="10" width="7.44140625" customWidth="1"/>
    <col min="11" max="11" width="6.44140625" customWidth="1"/>
    <col min="12" max="13" width="7.33203125" customWidth="1"/>
    <col min="14" max="14" width="14.21875" customWidth="1"/>
    <col min="15" max="15" width="6.5546875" customWidth="1"/>
    <col min="16" max="16" width="6.44140625" customWidth="1"/>
    <col min="17" max="17" width="9.109375" customWidth="1"/>
    <col min="18" max="18" width="10.44140625" customWidth="1"/>
    <col min="22" max="22" width="7.44140625" customWidth="1"/>
    <col min="23" max="23" width="7.88671875" customWidth="1"/>
    <col min="24" max="24" width="7.109375" customWidth="1"/>
    <col min="25" max="25" width="7.6640625" customWidth="1"/>
    <col min="26" max="26" width="7.5546875" customWidth="1"/>
    <col min="27" max="27" width="7.109375" customWidth="1"/>
  </cols>
  <sheetData>
    <row r="1" spans="1:26" ht="30.6" customHeight="1">
      <c r="A1" s="207" t="s">
        <v>672</v>
      </c>
      <c r="B1" s="207"/>
      <c r="C1" s="207"/>
    </row>
    <row r="2" spans="1:26">
      <c r="B2" s="170" t="s">
        <v>0</v>
      </c>
      <c r="C2" s="172" t="s">
        <v>266</v>
      </c>
      <c r="F2" s="175" t="s">
        <v>24</v>
      </c>
      <c r="G2" s="175"/>
      <c r="H2" s="175"/>
      <c r="J2" s="161" t="s">
        <v>32</v>
      </c>
      <c r="K2" s="162"/>
      <c r="P2" s="159" t="s">
        <v>33</v>
      </c>
      <c r="Q2" s="160"/>
      <c r="R2" s="17" t="s">
        <v>129</v>
      </c>
    </row>
    <row r="3" spans="1:26">
      <c r="B3" s="171"/>
      <c r="C3" s="173"/>
      <c r="F3" s="176" t="s">
        <v>38</v>
      </c>
      <c r="G3" s="176"/>
      <c r="H3" s="176"/>
      <c r="J3" s="194" t="s">
        <v>128</v>
      </c>
      <c r="K3" s="194"/>
      <c r="L3" s="194"/>
      <c r="M3" s="194"/>
      <c r="N3" s="194"/>
      <c r="P3" s="159" t="s">
        <v>34</v>
      </c>
      <c r="Q3" s="160"/>
      <c r="R3" s="17" t="s">
        <v>130</v>
      </c>
    </row>
    <row r="4" spans="1:26" ht="21">
      <c r="B4" s="48" t="s">
        <v>23</v>
      </c>
      <c r="C4" s="49">
        <v>1009</v>
      </c>
      <c r="F4" s="174" t="s">
        <v>19</v>
      </c>
      <c r="G4" s="174"/>
      <c r="J4" s="194"/>
      <c r="K4" s="194"/>
      <c r="L4" s="194"/>
      <c r="M4" s="194"/>
      <c r="N4" s="194"/>
    </row>
    <row r="5" spans="1:26">
      <c r="B5" s="6" t="s">
        <v>1</v>
      </c>
      <c r="C5" s="7">
        <v>80</v>
      </c>
      <c r="F5" s="9" t="s">
        <v>25</v>
      </c>
      <c r="G5" s="25">
        <v>0.36805555555555558</v>
      </c>
      <c r="H5" t="s">
        <v>283</v>
      </c>
      <c r="J5" s="157" t="s">
        <v>25</v>
      </c>
      <c r="K5" s="158"/>
      <c r="L5" s="40" t="s">
        <v>284</v>
      </c>
      <c r="M5" s="25">
        <v>0.38958333333333334</v>
      </c>
      <c r="N5">
        <f>39+(14+4*24+10)*60+15</f>
        <v>7254</v>
      </c>
      <c r="O5">
        <f>N5-192</f>
        <v>7062</v>
      </c>
    </row>
    <row r="6" spans="1:26">
      <c r="B6" s="6" t="s">
        <v>2</v>
      </c>
      <c r="C6" s="8">
        <v>172</v>
      </c>
      <c r="F6" s="9" t="s">
        <v>26</v>
      </c>
      <c r="G6" s="25">
        <v>0.61458333333333337</v>
      </c>
      <c r="J6" s="157" t="s">
        <v>26</v>
      </c>
      <c r="K6" s="158"/>
      <c r="L6" s="40" t="s">
        <v>285</v>
      </c>
      <c r="M6" s="25">
        <v>0.42708333333333331</v>
      </c>
    </row>
    <row r="7" spans="1:26">
      <c r="B7" s="6" t="s">
        <v>3</v>
      </c>
      <c r="C7" s="8" t="s">
        <v>18</v>
      </c>
    </row>
    <row r="8" spans="1:26">
      <c r="B8" s="6" t="s">
        <v>8</v>
      </c>
      <c r="C8" s="8">
        <v>56</v>
      </c>
    </row>
    <row r="10" spans="1:26" ht="15" thickBot="1">
      <c r="U10" s="154" t="s">
        <v>63</v>
      </c>
      <c r="V10" s="155"/>
      <c r="W10" s="156"/>
      <c r="X10" s="154" t="s">
        <v>62</v>
      </c>
      <c r="Y10" s="155"/>
      <c r="Z10" s="156"/>
    </row>
    <row r="11" spans="1:26" ht="15" customHeight="1">
      <c r="B11" s="165" t="s">
        <v>4</v>
      </c>
      <c r="C11" s="165" t="s">
        <v>5</v>
      </c>
      <c r="D11" s="165" t="s">
        <v>6</v>
      </c>
      <c r="E11" s="165" t="s">
        <v>28</v>
      </c>
      <c r="F11" s="177" t="s">
        <v>7</v>
      </c>
      <c r="G11" s="178"/>
      <c r="H11" s="165" t="s">
        <v>9</v>
      </c>
      <c r="I11" s="165" t="s">
        <v>286</v>
      </c>
      <c r="J11" s="177" t="s">
        <v>27</v>
      </c>
      <c r="K11" s="178"/>
      <c r="L11" s="177" t="s">
        <v>31</v>
      </c>
      <c r="M11" s="178"/>
      <c r="N11" s="165" t="s">
        <v>30</v>
      </c>
      <c r="Q11" s="10" t="s">
        <v>10</v>
      </c>
      <c r="R11" s="10" t="s">
        <v>11</v>
      </c>
      <c r="S11" s="10" t="s">
        <v>12</v>
      </c>
      <c r="T11" s="10" t="s">
        <v>13</v>
      </c>
      <c r="U11" s="23" t="s">
        <v>14</v>
      </c>
      <c r="V11" s="22" t="s">
        <v>15</v>
      </c>
      <c r="W11" s="22" t="s">
        <v>35</v>
      </c>
      <c r="X11" s="24" t="s">
        <v>14</v>
      </c>
      <c r="Y11" s="24" t="s">
        <v>36</v>
      </c>
      <c r="Z11" s="24" t="s">
        <v>37</v>
      </c>
    </row>
    <row r="12" spans="1:26">
      <c r="B12" s="166"/>
      <c r="C12" s="166"/>
      <c r="D12" s="166"/>
      <c r="E12" s="166"/>
      <c r="F12" s="47" t="s">
        <v>16</v>
      </c>
      <c r="G12" s="19" t="s">
        <v>17</v>
      </c>
      <c r="H12" s="166"/>
      <c r="I12" s="166"/>
      <c r="J12" s="20" t="s">
        <v>63</v>
      </c>
      <c r="K12" s="21" t="s">
        <v>87</v>
      </c>
      <c r="L12" s="20" t="s">
        <v>63</v>
      </c>
      <c r="M12" s="21" t="s">
        <v>87</v>
      </c>
      <c r="N12" s="166"/>
      <c r="Q12" s="197" t="s">
        <v>284</v>
      </c>
      <c r="R12" s="2">
        <v>0.38958333333333334</v>
      </c>
      <c r="S12" s="2">
        <v>0.39999999999999997</v>
      </c>
      <c r="T12" s="11">
        <v>15</v>
      </c>
      <c r="U12" s="11">
        <v>5</v>
      </c>
      <c r="V12" s="1">
        <f>U12*0.25</f>
        <v>1.25</v>
      </c>
      <c r="W12" s="1">
        <f>V12*T12/60</f>
        <v>0.3125</v>
      </c>
      <c r="X12" s="11">
        <v>5</v>
      </c>
      <c r="Y12" s="1">
        <f>X12*1.9</f>
        <v>9.5</v>
      </c>
      <c r="Z12" s="1">
        <f>Y12*T12/60</f>
        <v>2.375</v>
      </c>
    </row>
    <row r="13" spans="1:26">
      <c r="B13" s="167">
        <v>43745</v>
      </c>
      <c r="C13" s="2">
        <v>0.38125000000000003</v>
      </c>
      <c r="D13" s="3" t="s">
        <v>267</v>
      </c>
      <c r="E13" s="3">
        <v>0</v>
      </c>
      <c r="F13" s="3">
        <v>125</v>
      </c>
      <c r="G13" s="3">
        <v>56</v>
      </c>
      <c r="H13" s="3">
        <v>52</v>
      </c>
      <c r="I13" s="3"/>
      <c r="J13" s="1"/>
      <c r="K13" s="3"/>
      <c r="L13" s="3"/>
      <c r="M13" s="3"/>
      <c r="N13" s="3"/>
      <c r="Q13" s="197"/>
      <c r="R13" s="2">
        <v>0.39999999999999997</v>
      </c>
      <c r="S13" s="2">
        <v>0.40902777777777777</v>
      </c>
      <c r="T13" s="11">
        <v>13</v>
      </c>
      <c r="U13" s="11">
        <v>7</v>
      </c>
      <c r="V13" s="1">
        <f>U13*0.25</f>
        <v>1.75</v>
      </c>
      <c r="W13" s="1">
        <f>V13*T13/60</f>
        <v>0.37916666666666665</v>
      </c>
      <c r="X13" s="11">
        <v>7</v>
      </c>
      <c r="Y13" s="1">
        <f>X13*1.9</f>
        <v>13.299999999999999</v>
      </c>
      <c r="Z13" s="1">
        <f>Y13*T13/60</f>
        <v>2.8816666666666664</v>
      </c>
    </row>
    <row r="14" spans="1:26">
      <c r="B14" s="168"/>
      <c r="C14" s="33">
        <v>0.38958333333333334</v>
      </c>
      <c r="D14" s="34"/>
      <c r="E14" s="34"/>
      <c r="F14" s="34"/>
      <c r="G14" s="34"/>
      <c r="H14" s="34"/>
      <c r="I14" s="34"/>
      <c r="J14" s="35" t="s">
        <v>58</v>
      </c>
      <c r="K14" s="34" t="s">
        <v>58</v>
      </c>
      <c r="L14" s="3"/>
      <c r="M14" s="3"/>
      <c r="N14" s="3"/>
      <c r="Q14" s="197"/>
      <c r="R14" s="2">
        <v>0.40902777777777777</v>
      </c>
      <c r="S14" s="2">
        <v>0.49791666666666662</v>
      </c>
      <c r="T14" s="11">
        <f>11+120-3</f>
        <v>128</v>
      </c>
      <c r="U14" s="11">
        <v>8</v>
      </c>
      <c r="V14" s="1">
        <f>U14*0.25</f>
        <v>2</v>
      </c>
      <c r="W14" s="1">
        <f>V14*T14/60</f>
        <v>4.2666666666666666</v>
      </c>
      <c r="X14" s="11">
        <v>8</v>
      </c>
      <c r="Y14" s="1">
        <f>X14*1.9</f>
        <v>15.2</v>
      </c>
      <c r="Z14" s="1">
        <f>Y14*T14/60</f>
        <v>32.426666666666662</v>
      </c>
    </row>
    <row r="15" spans="1:26" ht="13.8" customHeight="1">
      <c r="B15" s="168"/>
      <c r="C15" s="2">
        <v>0.39305555555555555</v>
      </c>
      <c r="D15" s="3" t="s">
        <v>268</v>
      </c>
      <c r="E15" s="3" t="s">
        <v>370</v>
      </c>
      <c r="F15" s="3">
        <v>122</v>
      </c>
      <c r="G15" s="3">
        <v>62</v>
      </c>
      <c r="H15" s="3">
        <v>75</v>
      </c>
      <c r="I15" s="3"/>
      <c r="J15" s="1">
        <v>5</v>
      </c>
      <c r="K15" s="1">
        <v>5</v>
      </c>
      <c r="L15" s="3"/>
      <c r="M15" s="3"/>
      <c r="N15" s="3"/>
      <c r="Q15" s="197"/>
      <c r="R15" s="2">
        <v>0.49791666666666662</v>
      </c>
      <c r="S15" s="2">
        <v>0.57638888888888895</v>
      </c>
      <c r="T15" s="11">
        <f>3+110</f>
        <v>113</v>
      </c>
      <c r="U15" s="11">
        <v>6</v>
      </c>
      <c r="V15" s="1">
        <f t="shared" ref="V15:V25" si="0">U15*0.25</f>
        <v>1.5</v>
      </c>
      <c r="W15" s="1">
        <f t="shared" ref="W15:W25" si="1">V15*T15/60</f>
        <v>2.8250000000000002</v>
      </c>
      <c r="X15" s="11">
        <v>6</v>
      </c>
      <c r="Y15" s="1">
        <f t="shared" ref="Y15:Y25" si="2">X15*1.9</f>
        <v>11.399999999999999</v>
      </c>
      <c r="Z15" s="1">
        <f t="shared" ref="Z15:Z25" si="3">Y15*T15/60</f>
        <v>21.469999999999995</v>
      </c>
    </row>
    <row r="16" spans="1:26">
      <c r="B16" s="168"/>
      <c r="C16" s="2">
        <v>0.39930555555555558</v>
      </c>
      <c r="D16" s="3"/>
      <c r="E16" s="3" t="s">
        <v>370</v>
      </c>
      <c r="F16" s="3">
        <v>121</v>
      </c>
      <c r="G16" s="3">
        <v>61</v>
      </c>
      <c r="H16" s="3">
        <v>76</v>
      </c>
      <c r="I16" s="3"/>
      <c r="J16" s="1">
        <v>5</v>
      </c>
      <c r="K16" s="1">
        <v>5</v>
      </c>
      <c r="L16" s="3">
        <v>5</v>
      </c>
      <c r="M16" s="3">
        <v>5</v>
      </c>
      <c r="N16" s="3"/>
      <c r="Q16" s="197"/>
      <c r="R16" s="2">
        <v>0.57638888888888895</v>
      </c>
      <c r="S16" s="2">
        <v>0.62847222222222221</v>
      </c>
      <c r="T16" s="11">
        <f>10+60+5</f>
        <v>75</v>
      </c>
      <c r="U16" s="11">
        <v>5</v>
      </c>
      <c r="V16" s="1">
        <f t="shared" si="0"/>
        <v>1.25</v>
      </c>
      <c r="W16" s="1">
        <f t="shared" si="1"/>
        <v>1.5625</v>
      </c>
      <c r="X16" s="11">
        <v>5</v>
      </c>
      <c r="Y16" s="1">
        <f t="shared" si="2"/>
        <v>9.5</v>
      </c>
      <c r="Z16" s="1">
        <f t="shared" si="3"/>
        <v>11.875</v>
      </c>
    </row>
    <row r="17" spans="2:26">
      <c r="B17" s="168"/>
      <c r="C17" s="2">
        <v>0.39999999999999997</v>
      </c>
      <c r="D17" s="3"/>
      <c r="E17" s="3" t="s">
        <v>370</v>
      </c>
      <c r="F17" s="3">
        <v>125</v>
      </c>
      <c r="G17" s="3">
        <v>64</v>
      </c>
      <c r="H17" s="3">
        <v>77</v>
      </c>
      <c r="I17" s="3"/>
      <c r="J17" s="85">
        <v>7</v>
      </c>
      <c r="K17" s="85">
        <v>7</v>
      </c>
      <c r="L17" s="3"/>
      <c r="M17" s="3"/>
      <c r="N17" s="3"/>
      <c r="Q17" s="197"/>
      <c r="R17" s="2">
        <v>0.65763888888888888</v>
      </c>
      <c r="S17" s="2">
        <v>0.99305555555555547</v>
      </c>
      <c r="T17" s="11">
        <f>13+8*60-10</f>
        <v>483</v>
      </c>
      <c r="U17" s="11">
        <v>5</v>
      </c>
      <c r="V17" s="1">
        <f t="shared" si="0"/>
        <v>1.25</v>
      </c>
      <c r="W17" s="1">
        <f t="shared" si="1"/>
        <v>10.0625</v>
      </c>
      <c r="X17" s="11">
        <v>5</v>
      </c>
      <c r="Y17" s="1">
        <f t="shared" si="2"/>
        <v>9.5</v>
      </c>
      <c r="Z17" s="1">
        <f t="shared" si="3"/>
        <v>76.474999999999994</v>
      </c>
    </row>
    <row r="18" spans="2:26">
      <c r="B18" s="168"/>
      <c r="C18" s="2">
        <v>0.40833333333333338</v>
      </c>
      <c r="D18" s="3"/>
      <c r="E18" s="3" t="s">
        <v>370</v>
      </c>
      <c r="F18" s="3">
        <v>134</v>
      </c>
      <c r="G18" s="3">
        <v>68</v>
      </c>
      <c r="H18" s="3">
        <v>72</v>
      </c>
      <c r="I18" s="3"/>
      <c r="J18" s="1">
        <v>7</v>
      </c>
      <c r="K18" s="1">
        <v>7</v>
      </c>
      <c r="L18" s="3">
        <v>4</v>
      </c>
      <c r="M18" s="3">
        <v>4</v>
      </c>
      <c r="N18" s="3"/>
      <c r="Q18" s="84" t="s">
        <v>298</v>
      </c>
      <c r="R18" s="2">
        <v>0.99305555555555547</v>
      </c>
      <c r="S18" s="2">
        <v>8.3333333333333329E-2</v>
      </c>
      <c r="T18" s="11">
        <v>130</v>
      </c>
      <c r="U18" s="11">
        <v>3.5</v>
      </c>
      <c r="V18" s="1">
        <f t="shared" si="0"/>
        <v>0.875</v>
      </c>
      <c r="W18" s="1">
        <f t="shared" si="1"/>
        <v>1.8958333333333333</v>
      </c>
      <c r="X18" s="11">
        <v>3.5</v>
      </c>
      <c r="Y18" s="1">
        <f t="shared" si="2"/>
        <v>6.6499999999999995</v>
      </c>
      <c r="Z18" s="1">
        <f t="shared" si="3"/>
        <v>14.408333333333331</v>
      </c>
    </row>
    <row r="19" spans="2:26">
      <c r="B19" s="168"/>
      <c r="C19" s="2">
        <v>0.40902777777777777</v>
      </c>
      <c r="D19" s="3"/>
      <c r="E19" s="3" t="s">
        <v>370</v>
      </c>
      <c r="F19" s="3">
        <v>124</v>
      </c>
      <c r="G19" s="3">
        <v>63</v>
      </c>
      <c r="H19" s="3">
        <v>72</v>
      </c>
      <c r="I19" s="3"/>
      <c r="J19" s="85">
        <v>8</v>
      </c>
      <c r="K19" s="85">
        <v>8</v>
      </c>
      <c r="L19" s="3"/>
      <c r="M19" s="3"/>
      <c r="N19" s="3"/>
      <c r="Q19" s="84" t="s">
        <v>299</v>
      </c>
      <c r="R19" s="2">
        <v>8.3333333333333329E-2</v>
      </c>
      <c r="S19" s="2">
        <v>0.2673611111111111</v>
      </c>
      <c r="T19" s="11">
        <f>240+25</f>
        <v>265</v>
      </c>
      <c r="U19" s="11">
        <v>6</v>
      </c>
      <c r="V19" s="1">
        <f t="shared" si="0"/>
        <v>1.5</v>
      </c>
      <c r="W19" s="1">
        <f t="shared" si="1"/>
        <v>6.625</v>
      </c>
      <c r="X19" s="11">
        <v>6</v>
      </c>
      <c r="Y19" s="1">
        <f t="shared" si="2"/>
        <v>11.399999999999999</v>
      </c>
      <c r="Z19" s="1">
        <f t="shared" si="3"/>
        <v>50.349999999999994</v>
      </c>
    </row>
    <row r="20" spans="2:26">
      <c r="B20" s="168"/>
      <c r="C20" s="2">
        <v>0.41041666666666665</v>
      </c>
      <c r="D20" s="3" t="s">
        <v>269</v>
      </c>
      <c r="E20" s="3" t="s">
        <v>370</v>
      </c>
      <c r="F20" s="3">
        <v>121</v>
      </c>
      <c r="G20" s="3">
        <v>62</v>
      </c>
      <c r="H20" s="3">
        <v>70</v>
      </c>
      <c r="I20" s="3"/>
      <c r="J20" s="1">
        <v>8</v>
      </c>
      <c r="K20" s="1">
        <v>8</v>
      </c>
      <c r="L20" s="3"/>
      <c r="M20" s="3"/>
      <c r="N20" s="3" t="s">
        <v>293</v>
      </c>
      <c r="Q20" s="84" t="s">
        <v>300</v>
      </c>
      <c r="R20" s="2">
        <v>0.2673611111111111</v>
      </c>
      <c r="S20" s="2">
        <v>0.43055555555555558</v>
      </c>
      <c r="T20" s="11">
        <f>35+51*60+20</f>
        <v>3115</v>
      </c>
      <c r="U20" s="11">
        <v>4</v>
      </c>
      <c r="V20" s="1">
        <f t="shared" si="0"/>
        <v>1</v>
      </c>
      <c r="W20" s="1">
        <f t="shared" si="1"/>
        <v>51.916666666666664</v>
      </c>
      <c r="X20" s="11">
        <v>4</v>
      </c>
      <c r="Y20" s="1">
        <f t="shared" si="2"/>
        <v>7.6</v>
      </c>
      <c r="Z20" s="1">
        <f t="shared" si="3"/>
        <v>394.56666666666666</v>
      </c>
    </row>
    <row r="21" spans="2:26">
      <c r="B21" s="168"/>
      <c r="C21" s="2">
        <v>0.41319444444444442</v>
      </c>
      <c r="D21" s="3"/>
      <c r="E21" s="3" t="s">
        <v>370</v>
      </c>
      <c r="F21" s="3">
        <v>122</v>
      </c>
      <c r="G21" s="3">
        <v>63</v>
      </c>
      <c r="H21" s="3"/>
      <c r="I21" s="3"/>
      <c r="J21" s="1">
        <v>8</v>
      </c>
      <c r="K21" s="1">
        <v>8</v>
      </c>
      <c r="L21" s="3"/>
      <c r="M21" s="3"/>
      <c r="N21" s="3" t="s">
        <v>290</v>
      </c>
      <c r="Q21" s="82" t="s">
        <v>301</v>
      </c>
      <c r="R21" s="2">
        <v>0.43055555555555558</v>
      </c>
      <c r="S21" s="2">
        <v>0.2986111111111111</v>
      </c>
      <c r="T21" s="11">
        <f>40+20*60+10</f>
        <v>1250</v>
      </c>
      <c r="U21" s="11">
        <v>6</v>
      </c>
      <c r="V21" s="1">
        <f t="shared" si="0"/>
        <v>1.5</v>
      </c>
      <c r="W21" s="1">
        <f t="shared" si="1"/>
        <v>31.25</v>
      </c>
      <c r="X21" s="11">
        <v>6</v>
      </c>
      <c r="Y21" s="1">
        <f t="shared" si="2"/>
        <v>11.399999999999999</v>
      </c>
      <c r="Z21" s="1">
        <f t="shared" si="3"/>
        <v>237.49999999999997</v>
      </c>
    </row>
    <row r="22" spans="2:26">
      <c r="B22" s="168"/>
      <c r="C22" s="2">
        <v>0.4368055555555555</v>
      </c>
      <c r="D22" s="3" t="s">
        <v>270</v>
      </c>
      <c r="E22" s="3" t="s">
        <v>370</v>
      </c>
      <c r="F22" s="3">
        <v>114</v>
      </c>
      <c r="G22" s="3">
        <v>57</v>
      </c>
      <c r="H22" s="3">
        <v>66</v>
      </c>
      <c r="I22" s="3"/>
      <c r="J22" s="1">
        <v>8</v>
      </c>
      <c r="K22" s="1">
        <v>8</v>
      </c>
      <c r="L22" s="3"/>
      <c r="M22" s="3"/>
      <c r="N22" s="3"/>
      <c r="Q22" s="197" t="s">
        <v>302</v>
      </c>
      <c r="R22" s="2">
        <v>0.2986111111111111</v>
      </c>
      <c r="S22" s="2">
        <v>0.58333333333333337</v>
      </c>
      <c r="T22" s="11">
        <f>50+6*60</f>
        <v>410</v>
      </c>
      <c r="U22" s="11">
        <v>10</v>
      </c>
      <c r="V22" s="1">
        <f t="shared" si="0"/>
        <v>2.5</v>
      </c>
      <c r="W22" s="1">
        <f t="shared" si="1"/>
        <v>17.083333333333332</v>
      </c>
      <c r="X22" s="11">
        <v>10</v>
      </c>
      <c r="Y22" s="1">
        <f t="shared" si="2"/>
        <v>19</v>
      </c>
      <c r="Z22" s="1">
        <f t="shared" si="3"/>
        <v>129.83333333333334</v>
      </c>
    </row>
    <row r="23" spans="2:26">
      <c r="B23" s="168"/>
      <c r="C23" s="2">
        <v>0.4777777777777778</v>
      </c>
      <c r="D23" s="3" t="s">
        <v>271</v>
      </c>
      <c r="E23" s="3" t="s">
        <v>370</v>
      </c>
      <c r="F23" s="3">
        <v>114</v>
      </c>
      <c r="G23" s="3">
        <v>55</v>
      </c>
      <c r="H23" s="3">
        <v>70</v>
      </c>
      <c r="I23" s="3"/>
      <c r="J23" s="1">
        <v>8</v>
      </c>
      <c r="K23" s="1">
        <v>8</v>
      </c>
      <c r="L23" s="3"/>
      <c r="M23" s="3"/>
      <c r="N23" s="3"/>
      <c r="Q23" s="197"/>
      <c r="R23" s="2">
        <v>0.58333333333333337</v>
      </c>
      <c r="S23" s="2">
        <v>0.66249999999999998</v>
      </c>
      <c r="T23" s="11">
        <v>114</v>
      </c>
      <c r="U23" s="11">
        <v>8</v>
      </c>
      <c r="V23" s="1">
        <f t="shared" si="0"/>
        <v>2</v>
      </c>
      <c r="W23" s="1">
        <f t="shared" si="1"/>
        <v>3.8</v>
      </c>
      <c r="X23" s="11">
        <v>8</v>
      </c>
      <c r="Y23" s="1">
        <f t="shared" si="2"/>
        <v>15.2</v>
      </c>
      <c r="Z23" s="1">
        <f t="shared" si="3"/>
        <v>28.88</v>
      </c>
    </row>
    <row r="24" spans="2:26">
      <c r="B24" s="168"/>
      <c r="C24" s="2">
        <v>0.49791666666666662</v>
      </c>
      <c r="D24" s="3"/>
      <c r="E24" s="3" t="s">
        <v>370</v>
      </c>
      <c r="F24" s="3">
        <v>103</v>
      </c>
      <c r="G24" s="3">
        <v>52</v>
      </c>
      <c r="H24" s="3">
        <v>70</v>
      </c>
      <c r="I24" s="3"/>
      <c r="J24" s="85">
        <v>6</v>
      </c>
      <c r="K24" s="85">
        <v>6</v>
      </c>
      <c r="L24" s="3"/>
      <c r="M24" s="3"/>
      <c r="N24" s="3"/>
      <c r="Q24" s="197"/>
      <c r="R24" s="2">
        <v>0.66249999999999998</v>
      </c>
      <c r="S24" s="2">
        <v>0.85416666666666663</v>
      </c>
      <c r="T24" s="11">
        <f>6+4.5*60</f>
        <v>276</v>
      </c>
      <c r="U24" s="11">
        <v>10</v>
      </c>
      <c r="V24" s="1">
        <f t="shared" si="0"/>
        <v>2.5</v>
      </c>
      <c r="W24" s="1">
        <f t="shared" si="1"/>
        <v>11.5</v>
      </c>
      <c r="X24" s="11">
        <v>10</v>
      </c>
      <c r="Y24" s="1">
        <f t="shared" si="2"/>
        <v>19</v>
      </c>
      <c r="Z24" s="1">
        <f t="shared" si="3"/>
        <v>87.4</v>
      </c>
    </row>
    <row r="25" spans="2:26">
      <c r="B25" s="168"/>
      <c r="C25" s="2">
        <v>0.57638888888888895</v>
      </c>
      <c r="D25" s="3"/>
      <c r="E25" s="3" t="s">
        <v>370</v>
      </c>
      <c r="F25" s="3">
        <v>115</v>
      </c>
      <c r="G25" s="3">
        <v>57</v>
      </c>
      <c r="H25" s="3">
        <v>82</v>
      </c>
      <c r="I25" s="3" t="s">
        <v>291</v>
      </c>
      <c r="J25" s="85">
        <v>5</v>
      </c>
      <c r="K25" s="85">
        <v>5</v>
      </c>
      <c r="L25" s="3"/>
      <c r="M25" s="3"/>
      <c r="N25" s="3"/>
      <c r="Q25" s="84" t="s">
        <v>303</v>
      </c>
      <c r="R25" s="2">
        <v>0.95833333333333337</v>
      </c>
      <c r="S25" s="2">
        <v>0.42708333333333331</v>
      </c>
      <c r="T25" s="11">
        <f>11*60+15</f>
        <v>675</v>
      </c>
      <c r="U25" s="11">
        <v>5</v>
      </c>
      <c r="V25" s="1">
        <f t="shared" si="0"/>
        <v>1.25</v>
      </c>
      <c r="W25" s="1">
        <f t="shared" si="1"/>
        <v>14.0625</v>
      </c>
      <c r="X25" s="11">
        <v>5</v>
      </c>
      <c r="Y25" s="1">
        <f t="shared" si="2"/>
        <v>9.5</v>
      </c>
      <c r="Z25" s="1">
        <f t="shared" si="3"/>
        <v>106.875</v>
      </c>
    </row>
    <row r="26" spans="2:26">
      <c r="B26" s="168"/>
      <c r="C26" s="30">
        <v>0.62847222222222221</v>
      </c>
      <c r="D26" s="31"/>
      <c r="E26" s="31"/>
      <c r="F26" s="31"/>
      <c r="G26" s="31"/>
      <c r="H26" s="31"/>
      <c r="I26" s="31"/>
      <c r="J26" s="32" t="s">
        <v>20</v>
      </c>
      <c r="K26" s="32" t="s">
        <v>20</v>
      </c>
      <c r="L26" s="3"/>
      <c r="M26" s="3"/>
      <c r="N26" s="3"/>
      <c r="O26">
        <v>42</v>
      </c>
      <c r="Q26" s="197" t="s">
        <v>284</v>
      </c>
      <c r="R26" s="2">
        <v>0.39930555555555558</v>
      </c>
      <c r="S26" s="11"/>
      <c r="T26" s="11"/>
      <c r="U26" s="11" t="s">
        <v>91</v>
      </c>
      <c r="V26" s="1"/>
      <c r="W26" s="1">
        <f>5*0.25</f>
        <v>1.25</v>
      </c>
      <c r="X26" s="11" t="s">
        <v>91</v>
      </c>
      <c r="Y26" s="1"/>
      <c r="Z26" s="1">
        <v>9.5</v>
      </c>
    </row>
    <row r="27" spans="2:26">
      <c r="B27" s="168"/>
      <c r="C27" s="33">
        <v>0.65763888888888888</v>
      </c>
      <c r="D27" s="34"/>
      <c r="E27" s="34"/>
      <c r="F27" s="34"/>
      <c r="G27" s="34"/>
      <c r="H27" s="34"/>
      <c r="I27" s="34"/>
      <c r="J27" s="35" t="s">
        <v>58</v>
      </c>
      <c r="K27" s="35" t="s">
        <v>58</v>
      </c>
      <c r="L27" s="3"/>
      <c r="M27" s="3"/>
      <c r="N27" s="3"/>
      <c r="Q27" s="197"/>
      <c r="R27" s="2">
        <v>0.40833333333333338</v>
      </c>
      <c r="S27" s="11"/>
      <c r="T27" s="11"/>
      <c r="U27" s="11" t="s">
        <v>122</v>
      </c>
      <c r="V27" s="1"/>
      <c r="W27" s="1">
        <v>1</v>
      </c>
      <c r="X27" s="11" t="s">
        <v>122</v>
      </c>
      <c r="Y27" s="1"/>
      <c r="Z27" s="1">
        <f>4*1.9</f>
        <v>7.6</v>
      </c>
    </row>
    <row r="28" spans="2:26">
      <c r="B28" s="168"/>
      <c r="C28" s="2">
        <v>0.73749999999999993</v>
      </c>
      <c r="D28" s="3" t="s">
        <v>272</v>
      </c>
      <c r="E28" s="3">
        <v>0</v>
      </c>
      <c r="F28" s="3">
        <v>128</v>
      </c>
      <c r="G28" s="3">
        <v>76</v>
      </c>
      <c r="H28" s="3">
        <v>86</v>
      </c>
      <c r="I28" s="3" t="s">
        <v>287</v>
      </c>
      <c r="J28" s="1">
        <v>5</v>
      </c>
      <c r="K28" s="1">
        <v>5</v>
      </c>
      <c r="L28" s="3"/>
      <c r="M28" s="3"/>
      <c r="N28" s="3" t="s">
        <v>294</v>
      </c>
      <c r="Q28" s="84" t="s">
        <v>299</v>
      </c>
      <c r="R28" s="2">
        <v>8.3333333333333329E-2</v>
      </c>
      <c r="S28" s="11"/>
      <c r="T28" s="11"/>
      <c r="U28" s="11" t="s">
        <v>91</v>
      </c>
      <c r="V28" s="1"/>
      <c r="W28" s="1">
        <v>1.25</v>
      </c>
      <c r="X28" s="1"/>
      <c r="Y28" s="1"/>
      <c r="Z28" s="1">
        <v>9.5</v>
      </c>
    </row>
    <row r="29" spans="2:26">
      <c r="B29" s="168"/>
      <c r="C29" s="2">
        <v>0.8930555555555556</v>
      </c>
      <c r="D29" s="3" t="s">
        <v>273</v>
      </c>
      <c r="E29" s="3">
        <v>0</v>
      </c>
      <c r="F29" s="3">
        <v>104</v>
      </c>
      <c r="G29" s="3">
        <v>63</v>
      </c>
      <c r="H29" s="3">
        <v>100</v>
      </c>
      <c r="I29" s="3" t="s">
        <v>288</v>
      </c>
      <c r="J29" s="1">
        <v>5</v>
      </c>
      <c r="K29" s="1">
        <v>5</v>
      </c>
      <c r="L29" s="3"/>
      <c r="M29" s="3"/>
      <c r="N29" s="3" t="s">
        <v>295</v>
      </c>
      <c r="Q29" s="10" t="s">
        <v>21</v>
      </c>
      <c r="R29" s="11"/>
      <c r="S29" s="11"/>
      <c r="T29" s="10">
        <f>SUM(T12:T28)</f>
        <v>7062</v>
      </c>
      <c r="W29" s="10">
        <f>SUM(W12:W28)</f>
        <v>161.04166666666669</v>
      </c>
      <c r="Z29" s="10">
        <f>SUM(Z12:Z28)</f>
        <v>1223.9166666666667</v>
      </c>
    </row>
    <row r="30" spans="2:26">
      <c r="B30" s="169"/>
      <c r="C30" s="2">
        <v>0.99305555555555547</v>
      </c>
      <c r="D30" s="3"/>
      <c r="E30" s="3">
        <v>0</v>
      </c>
      <c r="F30" s="3">
        <v>90</v>
      </c>
      <c r="G30" s="3">
        <v>60</v>
      </c>
      <c r="H30" s="3">
        <v>100</v>
      </c>
      <c r="I30" s="3" t="s">
        <v>292</v>
      </c>
      <c r="J30" s="85">
        <v>3.5</v>
      </c>
      <c r="K30" s="85">
        <v>3.5</v>
      </c>
      <c r="L30" s="3"/>
      <c r="M30" s="3"/>
      <c r="N30" s="3"/>
    </row>
    <row r="31" spans="2:26">
      <c r="B31" s="167">
        <v>43746</v>
      </c>
      <c r="C31" s="2">
        <v>8.3333333333333329E-2</v>
      </c>
      <c r="D31" s="3"/>
      <c r="E31" s="3"/>
      <c r="F31" s="3">
        <v>100</v>
      </c>
      <c r="G31" s="3">
        <v>60</v>
      </c>
      <c r="H31" s="3">
        <v>100</v>
      </c>
      <c r="I31" s="3"/>
      <c r="J31" s="85">
        <v>6</v>
      </c>
      <c r="K31" s="85">
        <v>6</v>
      </c>
      <c r="L31" s="3">
        <v>5</v>
      </c>
      <c r="M31" s="3"/>
      <c r="N31" s="3"/>
    </row>
    <row r="32" spans="2:26">
      <c r="B32" s="168"/>
      <c r="C32" s="2">
        <v>0.2673611111111111</v>
      </c>
      <c r="D32" s="3"/>
      <c r="E32" s="3">
        <v>0</v>
      </c>
      <c r="F32" s="93">
        <v>105</v>
      </c>
      <c r="G32" s="3">
        <v>72</v>
      </c>
      <c r="H32" s="3">
        <v>102</v>
      </c>
      <c r="I32" s="3"/>
      <c r="J32" s="85">
        <v>4</v>
      </c>
      <c r="K32" s="85">
        <v>4</v>
      </c>
      <c r="L32" s="3"/>
      <c r="M32" s="3"/>
      <c r="N32" s="3"/>
    </row>
    <row r="33" spans="2:15">
      <c r="B33" s="169"/>
      <c r="C33" s="2">
        <v>0.38819444444444445</v>
      </c>
      <c r="D33" s="3" t="s">
        <v>274</v>
      </c>
      <c r="E33" s="3">
        <v>4</v>
      </c>
      <c r="F33" s="3">
        <v>118</v>
      </c>
      <c r="G33" s="3">
        <v>73</v>
      </c>
      <c r="H33" s="3">
        <v>120</v>
      </c>
      <c r="I33" s="3"/>
      <c r="J33" s="1">
        <v>4</v>
      </c>
      <c r="K33" s="1">
        <v>4</v>
      </c>
      <c r="L33" s="3"/>
      <c r="M33" s="3"/>
      <c r="N33" s="3" t="s">
        <v>296</v>
      </c>
    </row>
    <row r="34" spans="2:15">
      <c r="B34" s="83">
        <v>43747</v>
      </c>
      <c r="C34" s="2">
        <v>0.39583333333333331</v>
      </c>
      <c r="D34" s="3" t="s">
        <v>275</v>
      </c>
      <c r="E34" s="3">
        <v>4</v>
      </c>
      <c r="F34" s="3">
        <v>125</v>
      </c>
      <c r="G34" s="3">
        <v>58</v>
      </c>
      <c r="H34" s="3">
        <v>101</v>
      </c>
      <c r="I34" s="3" t="s">
        <v>289</v>
      </c>
      <c r="J34" s="1">
        <v>4</v>
      </c>
      <c r="K34" s="1">
        <v>4</v>
      </c>
      <c r="L34" s="3"/>
      <c r="M34" s="3"/>
      <c r="N34" s="3" t="s">
        <v>297</v>
      </c>
    </row>
    <row r="35" spans="2:15">
      <c r="B35" s="83">
        <v>43748</v>
      </c>
      <c r="C35" s="2">
        <v>0.43055555555555558</v>
      </c>
      <c r="D35" s="3"/>
      <c r="E35" s="3">
        <v>2</v>
      </c>
      <c r="F35" s="3">
        <v>110</v>
      </c>
      <c r="G35" s="3">
        <v>60</v>
      </c>
      <c r="H35" s="3">
        <v>79</v>
      </c>
      <c r="I35" s="3"/>
      <c r="J35" s="85">
        <v>6</v>
      </c>
      <c r="K35" s="85">
        <v>6</v>
      </c>
      <c r="L35" s="3"/>
      <c r="M35" s="3"/>
      <c r="N35" s="3"/>
    </row>
    <row r="36" spans="2:15">
      <c r="B36" s="167">
        <v>43749</v>
      </c>
      <c r="C36" s="2">
        <v>0.2986111111111111</v>
      </c>
      <c r="D36" s="3"/>
      <c r="E36" s="3">
        <v>4</v>
      </c>
      <c r="F36" s="3">
        <v>140</v>
      </c>
      <c r="G36" s="3">
        <v>62</v>
      </c>
      <c r="H36" s="3">
        <v>82</v>
      </c>
      <c r="I36" s="3"/>
      <c r="J36" s="85">
        <v>10</v>
      </c>
      <c r="K36" s="85">
        <v>10</v>
      </c>
      <c r="L36" s="3"/>
      <c r="M36" s="3"/>
      <c r="N36" s="3"/>
    </row>
    <row r="37" spans="2:15">
      <c r="B37" s="168"/>
      <c r="C37" s="2">
        <v>0.58333333333333337</v>
      </c>
      <c r="D37" s="3"/>
      <c r="E37" s="3">
        <v>3</v>
      </c>
      <c r="F37" s="3">
        <v>140</v>
      </c>
      <c r="G37" s="3">
        <v>89</v>
      </c>
      <c r="H37" s="3">
        <v>82</v>
      </c>
      <c r="I37" s="3"/>
      <c r="J37" s="85">
        <v>8</v>
      </c>
      <c r="K37" s="85">
        <v>8</v>
      </c>
      <c r="L37" s="3"/>
      <c r="M37" s="3"/>
      <c r="N37" s="3"/>
    </row>
    <row r="38" spans="2:15">
      <c r="B38" s="168"/>
      <c r="C38" s="2">
        <v>0.66249999999999998</v>
      </c>
      <c r="D38" s="3"/>
      <c r="E38" s="3">
        <v>3</v>
      </c>
      <c r="F38" s="3">
        <v>140</v>
      </c>
      <c r="G38" s="3">
        <v>78</v>
      </c>
      <c r="H38" s="3">
        <v>85</v>
      </c>
      <c r="I38" s="3"/>
      <c r="J38" s="85">
        <v>10</v>
      </c>
      <c r="K38" s="85">
        <v>10</v>
      </c>
      <c r="L38" s="3"/>
      <c r="M38" s="3"/>
      <c r="N38" s="3"/>
    </row>
    <row r="39" spans="2:15">
      <c r="B39" s="168"/>
      <c r="C39" s="30">
        <v>0.85416666666666663</v>
      </c>
      <c r="D39" s="31"/>
      <c r="E39" s="31"/>
      <c r="F39" s="31"/>
      <c r="G39" s="31"/>
      <c r="H39" s="31"/>
      <c r="I39" s="31"/>
      <c r="J39" s="32" t="s">
        <v>20</v>
      </c>
      <c r="K39" s="32" t="s">
        <v>20</v>
      </c>
      <c r="L39" s="3"/>
      <c r="M39" s="3"/>
      <c r="N39" s="3"/>
      <c r="O39">
        <v>150</v>
      </c>
    </row>
    <row r="40" spans="2:15">
      <c r="B40" s="169"/>
      <c r="C40" s="33">
        <v>0.95833333333333337</v>
      </c>
      <c r="D40" s="34"/>
      <c r="E40" s="34"/>
      <c r="F40" s="34"/>
      <c r="G40" s="34"/>
      <c r="H40" s="34"/>
      <c r="I40" s="34"/>
      <c r="J40" s="35" t="s">
        <v>58</v>
      </c>
      <c r="K40" s="35" t="s">
        <v>58</v>
      </c>
      <c r="L40" s="3"/>
      <c r="M40" s="3"/>
      <c r="N40" s="3"/>
    </row>
    <row r="41" spans="2:15">
      <c r="B41" s="167">
        <v>43750</v>
      </c>
      <c r="C41" s="30">
        <v>0.42708333333333331</v>
      </c>
      <c r="D41" s="31" t="s">
        <v>276</v>
      </c>
      <c r="E41" s="31">
        <v>2</v>
      </c>
      <c r="F41" s="31">
        <v>101</v>
      </c>
      <c r="G41" s="31">
        <v>76</v>
      </c>
      <c r="H41" s="31">
        <v>73</v>
      </c>
      <c r="I41" s="31"/>
      <c r="J41" s="32" t="s">
        <v>20</v>
      </c>
      <c r="K41" s="32" t="s">
        <v>20</v>
      </c>
      <c r="L41" s="3"/>
      <c r="M41" s="3"/>
      <c r="N41" s="3"/>
    </row>
    <row r="42" spans="2:15">
      <c r="B42" s="168"/>
      <c r="C42" s="2">
        <v>0.4291666666666667</v>
      </c>
      <c r="D42" s="3" t="s">
        <v>277</v>
      </c>
      <c r="E42" s="3">
        <v>2</v>
      </c>
      <c r="F42" s="3">
        <v>149</v>
      </c>
      <c r="G42" s="3">
        <v>90</v>
      </c>
      <c r="H42" s="3">
        <v>69</v>
      </c>
      <c r="I42" s="3"/>
      <c r="J42" s="1"/>
      <c r="K42" s="3"/>
      <c r="L42" s="3"/>
      <c r="M42" s="3"/>
      <c r="N42" s="3"/>
    </row>
    <row r="43" spans="2:15">
      <c r="B43" s="168"/>
      <c r="C43" s="2">
        <v>0.43055555555555558</v>
      </c>
      <c r="D43" s="3" t="s">
        <v>278</v>
      </c>
      <c r="E43" s="3">
        <v>2</v>
      </c>
      <c r="F43" s="3">
        <v>152</v>
      </c>
      <c r="G43" s="3">
        <v>81</v>
      </c>
      <c r="H43" s="3">
        <v>73</v>
      </c>
      <c r="I43" s="3"/>
      <c r="J43" s="1"/>
      <c r="K43" s="3"/>
      <c r="L43" s="3"/>
      <c r="M43" s="3"/>
      <c r="N43" s="3"/>
    </row>
    <row r="44" spans="2:15">
      <c r="B44" s="168"/>
      <c r="C44" s="2">
        <v>0.44097222222222227</v>
      </c>
      <c r="D44" s="3" t="s">
        <v>279</v>
      </c>
      <c r="E44" s="3">
        <v>2</v>
      </c>
      <c r="F44" s="3">
        <v>148</v>
      </c>
      <c r="G44" s="3">
        <v>86</v>
      </c>
      <c r="H44" s="3">
        <v>74</v>
      </c>
      <c r="I44" s="3"/>
      <c r="J44" s="1"/>
      <c r="K44" s="3"/>
      <c r="L44" s="3"/>
      <c r="M44" s="3"/>
      <c r="N44" s="3"/>
    </row>
    <row r="45" spans="2:15">
      <c r="B45" s="168"/>
      <c r="C45" s="2">
        <v>0.4548611111111111</v>
      </c>
      <c r="D45" s="3" t="s">
        <v>280</v>
      </c>
      <c r="E45" s="3">
        <v>2</v>
      </c>
      <c r="F45" s="3">
        <v>157</v>
      </c>
      <c r="G45" s="3">
        <v>79</v>
      </c>
      <c r="H45" s="3">
        <v>71</v>
      </c>
      <c r="I45" s="3"/>
      <c r="J45" s="1"/>
      <c r="K45" s="3"/>
      <c r="L45" s="3"/>
      <c r="M45" s="3"/>
      <c r="N45" s="3"/>
    </row>
    <row r="46" spans="2:15">
      <c r="B46" s="168"/>
      <c r="C46" s="2">
        <v>0.58333333333333337</v>
      </c>
      <c r="D46" s="3" t="s">
        <v>281</v>
      </c>
      <c r="E46" s="3">
        <v>2</v>
      </c>
      <c r="F46" s="3">
        <v>127</v>
      </c>
      <c r="G46" s="3">
        <v>71</v>
      </c>
      <c r="H46" s="3">
        <v>69</v>
      </c>
      <c r="I46" s="3"/>
      <c r="J46" s="1"/>
      <c r="K46" s="3"/>
      <c r="L46" s="3"/>
      <c r="M46" s="3"/>
      <c r="N46" s="3"/>
    </row>
    <row r="47" spans="2:15">
      <c r="B47" s="169"/>
      <c r="C47" s="2">
        <v>0.92361111111111116</v>
      </c>
      <c r="D47" s="3" t="s">
        <v>282</v>
      </c>
      <c r="E47" s="3">
        <v>3</v>
      </c>
      <c r="F47" s="3">
        <v>134</v>
      </c>
      <c r="G47" s="3">
        <v>71</v>
      </c>
      <c r="H47" s="3">
        <v>98</v>
      </c>
      <c r="I47" s="3"/>
      <c r="J47" s="1"/>
      <c r="K47" s="3"/>
      <c r="L47" s="3"/>
      <c r="M47" s="3"/>
      <c r="N47" s="3"/>
    </row>
  </sheetData>
  <mergeCells count="31">
    <mergeCell ref="P2:Q2"/>
    <mergeCell ref="P3:Q3"/>
    <mergeCell ref="F4:G4"/>
    <mergeCell ref="B2:B3"/>
    <mergeCell ref="B11:B12"/>
    <mergeCell ref="C11:C12"/>
    <mergeCell ref="D11:D12"/>
    <mergeCell ref="H11:H12"/>
    <mergeCell ref="C2:C3"/>
    <mergeCell ref="F2:H2"/>
    <mergeCell ref="J5:K5"/>
    <mergeCell ref="J6:K6"/>
    <mergeCell ref="J2:K2"/>
    <mergeCell ref="F3:H3"/>
    <mergeCell ref="J3:N4"/>
    <mergeCell ref="N11:N12"/>
    <mergeCell ref="E11:E12"/>
    <mergeCell ref="F11:G11"/>
    <mergeCell ref="I11:I12"/>
    <mergeCell ref="J11:K11"/>
    <mergeCell ref="L11:M11"/>
    <mergeCell ref="Q12:Q17"/>
    <mergeCell ref="Q22:Q24"/>
    <mergeCell ref="Q26:Q27"/>
    <mergeCell ref="U10:W10"/>
    <mergeCell ref="X10:Z10"/>
    <mergeCell ref="A1:C1"/>
    <mergeCell ref="B13:B30"/>
    <mergeCell ref="B31:B33"/>
    <mergeCell ref="B36:B40"/>
    <mergeCell ref="B41:B4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2"/>
  <sheetViews>
    <sheetView zoomScale="90" zoomScaleNormal="90" workbookViewId="0">
      <selection activeCell="C4" sqref="C4"/>
    </sheetView>
  </sheetViews>
  <sheetFormatPr defaultRowHeight="14.4"/>
  <cols>
    <col min="1" max="1" width="4" customWidth="1"/>
    <col min="2" max="2" width="11.44140625" bestFit="1" customWidth="1"/>
    <col min="3" max="3" width="16.44140625" customWidth="1"/>
    <col min="4" max="4" width="9.77734375" customWidth="1"/>
    <col min="5" max="5" width="8.109375" customWidth="1"/>
    <col min="6" max="6" width="11.33203125" customWidth="1"/>
    <col min="7" max="7" width="8.21875" bestFit="1" customWidth="1"/>
    <col min="8" max="8" width="7.77734375" customWidth="1"/>
    <col min="9" max="9" width="8.5546875" customWidth="1"/>
    <col min="10" max="10" width="7.44140625" customWidth="1"/>
    <col min="11" max="11" width="6.44140625" customWidth="1"/>
    <col min="12" max="13" width="7.33203125" customWidth="1"/>
    <col min="14" max="14" width="14.21875" customWidth="1"/>
    <col min="15" max="15" width="6.5546875" customWidth="1"/>
    <col min="16" max="16" width="6.44140625" customWidth="1"/>
    <col min="17" max="17" width="8.88671875" customWidth="1"/>
    <col min="18" max="18" width="10.44140625" customWidth="1"/>
    <col min="22" max="22" width="7.44140625" customWidth="1"/>
    <col min="23" max="23" width="7.88671875" customWidth="1"/>
    <col min="24" max="24" width="7.109375" customWidth="1"/>
    <col min="25" max="25" width="7.6640625" customWidth="1"/>
    <col min="26" max="26" width="7.5546875" customWidth="1"/>
    <col min="27" max="27" width="7.109375" customWidth="1"/>
  </cols>
  <sheetData>
    <row r="1" spans="1:26" ht="33.6" customHeight="1">
      <c r="A1" s="207" t="s">
        <v>672</v>
      </c>
      <c r="B1" s="207"/>
      <c r="C1" s="207"/>
    </row>
    <row r="2" spans="1:26">
      <c r="B2" s="170" t="s">
        <v>0</v>
      </c>
      <c r="C2" s="172" t="s">
        <v>304</v>
      </c>
      <c r="F2" s="175" t="s">
        <v>24</v>
      </c>
      <c r="G2" s="175"/>
      <c r="H2" s="175"/>
      <c r="J2" s="161" t="s">
        <v>32</v>
      </c>
      <c r="K2" s="162"/>
      <c r="P2" s="159" t="s">
        <v>33</v>
      </c>
      <c r="Q2" s="160"/>
      <c r="R2" s="17" t="s">
        <v>129</v>
      </c>
    </row>
    <row r="3" spans="1:26">
      <c r="B3" s="171"/>
      <c r="C3" s="173"/>
      <c r="F3" s="176" t="s">
        <v>38</v>
      </c>
      <c r="G3" s="176"/>
      <c r="H3" s="176"/>
      <c r="J3" s="194" t="s">
        <v>128</v>
      </c>
      <c r="K3" s="194"/>
      <c r="L3" s="194"/>
      <c r="M3" s="194"/>
      <c r="N3" s="194"/>
      <c r="P3" s="159" t="s">
        <v>34</v>
      </c>
      <c r="Q3" s="160"/>
      <c r="R3" s="17" t="s">
        <v>130</v>
      </c>
    </row>
    <row r="4" spans="1:26" ht="21">
      <c r="B4" s="48" t="s">
        <v>23</v>
      </c>
      <c r="C4" s="49">
        <v>1010</v>
      </c>
      <c r="F4" s="174" t="s">
        <v>19</v>
      </c>
      <c r="G4" s="174"/>
      <c r="J4" s="194"/>
      <c r="K4" s="194"/>
      <c r="L4" s="194"/>
      <c r="M4" s="194"/>
      <c r="N4" s="194"/>
    </row>
    <row r="5" spans="1:26">
      <c r="B5" s="6" t="s">
        <v>1</v>
      </c>
      <c r="C5" s="7">
        <v>73</v>
      </c>
      <c r="F5" s="9" t="s">
        <v>25</v>
      </c>
      <c r="G5" s="25">
        <v>0.36458333333333331</v>
      </c>
      <c r="H5" t="s">
        <v>305</v>
      </c>
      <c r="J5" s="157" t="s">
        <v>25</v>
      </c>
      <c r="K5" s="158"/>
      <c r="L5" s="40" t="s">
        <v>306</v>
      </c>
      <c r="M5" s="25">
        <v>0.3923611111111111</v>
      </c>
      <c r="N5">
        <f>35+(14+48+9)*60</f>
        <v>4295</v>
      </c>
    </row>
    <row r="6" spans="1:26">
      <c r="B6" s="6" t="s">
        <v>2</v>
      </c>
      <c r="C6" s="8">
        <v>168</v>
      </c>
      <c r="F6" s="9" t="s">
        <v>26</v>
      </c>
      <c r="G6" s="25">
        <v>0.45833333333333331</v>
      </c>
      <c r="J6" s="157" t="s">
        <v>26</v>
      </c>
      <c r="K6" s="158"/>
      <c r="L6" s="40" t="s">
        <v>285</v>
      </c>
      <c r="M6" s="25">
        <v>0.375</v>
      </c>
    </row>
    <row r="7" spans="1:26">
      <c r="B7" s="6" t="s">
        <v>3</v>
      </c>
      <c r="C7" s="8" t="s">
        <v>102</v>
      </c>
    </row>
    <row r="8" spans="1:26">
      <c r="B8" s="6" t="s">
        <v>8</v>
      </c>
      <c r="C8" s="8">
        <v>58</v>
      </c>
    </row>
    <row r="10" spans="1:26" ht="15" thickBot="1">
      <c r="U10" s="154" t="s">
        <v>63</v>
      </c>
      <c r="V10" s="155"/>
      <c r="W10" s="156"/>
      <c r="X10" s="154" t="s">
        <v>62</v>
      </c>
      <c r="Y10" s="155"/>
      <c r="Z10" s="156"/>
    </row>
    <row r="11" spans="1:26" ht="15" customHeight="1">
      <c r="B11" s="165" t="s">
        <v>4</v>
      </c>
      <c r="C11" s="165" t="s">
        <v>5</v>
      </c>
      <c r="D11" s="165" t="s">
        <v>6</v>
      </c>
      <c r="E11" s="165" t="s">
        <v>28</v>
      </c>
      <c r="F11" s="177" t="s">
        <v>7</v>
      </c>
      <c r="G11" s="178"/>
      <c r="H11" s="165" t="s">
        <v>9</v>
      </c>
      <c r="I11" s="165" t="s">
        <v>29</v>
      </c>
      <c r="J11" s="177" t="s">
        <v>27</v>
      </c>
      <c r="K11" s="178"/>
      <c r="L11" s="177" t="s">
        <v>31</v>
      </c>
      <c r="M11" s="178"/>
      <c r="N11" s="165" t="s">
        <v>30</v>
      </c>
      <c r="Q11" s="10" t="s">
        <v>10</v>
      </c>
      <c r="R11" s="10" t="s">
        <v>11</v>
      </c>
      <c r="S11" s="10" t="s">
        <v>12</v>
      </c>
      <c r="T11" s="10" t="s">
        <v>13</v>
      </c>
      <c r="U11" s="23" t="s">
        <v>14</v>
      </c>
      <c r="V11" s="22" t="s">
        <v>15</v>
      </c>
      <c r="W11" s="22" t="s">
        <v>35</v>
      </c>
      <c r="X11" s="24" t="s">
        <v>14</v>
      </c>
      <c r="Y11" s="24" t="s">
        <v>36</v>
      </c>
      <c r="Z11" s="24" t="s">
        <v>37</v>
      </c>
    </row>
    <row r="12" spans="1:26">
      <c r="B12" s="166"/>
      <c r="C12" s="166"/>
      <c r="D12" s="166"/>
      <c r="E12" s="166"/>
      <c r="F12" s="47" t="s">
        <v>16</v>
      </c>
      <c r="G12" s="19" t="s">
        <v>17</v>
      </c>
      <c r="H12" s="166"/>
      <c r="I12" s="166"/>
      <c r="J12" s="20" t="s">
        <v>63</v>
      </c>
      <c r="K12" s="21" t="s">
        <v>87</v>
      </c>
      <c r="L12" s="20" t="s">
        <v>63</v>
      </c>
      <c r="M12" s="21" t="s">
        <v>87</v>
      </c>
      <c r="N12" s="166"/>
      <c r="Q12" s="208" t="s">
        <v>305</v>
      </c>
      <c r="R12" s="2">
        <v>0.3923611111111111</v>
      </c>
      <c r="S12" s="2">
        <v>0.49305555555555558</v>
      </c>
      <c r="T12" s="11">
        <f>35+110</f>
        <v>145</v>
      </c>
      <c r="U12" s="11">
        <v>5</v>
      </c>
      <c r="V12" s="1">
        <f>U12*0.25</f>
        <v>1.25</v>
      </c>
      <c r="W12" s="1">
        <f>V12*T12/60</f>
        <v>3.0208333333333335</v>
      </c>
      <c r="X12" s="11">
        <v>5</v>
      </c>
      <c r="Y12" s="1">
        <f>X12*1.9</f>
        <v>9.5</v>
      </c>
      <c r="Z12" s="1">
        <f>Y12*T12/60</f>
        <v>22.958333333333332</v>
      </c>
    </row>
    <row r="13" spans="1:26">
      <c r="B13" s="167">
        <v>43747</v>
      </c>
      <c r="C13" s="2">
        <v>0.39097222222222222</v>
      </c>
      <c r="D13" s="3" t="s">
        <v>307</v>
      </c>
      <c r="E13" s="3"/>
      <c r="F13" s="3">
        <v>90</v>
      </c>
      <c r="G13" s="3">
        <v>40</v>
      </c>
      <c r="H13" s="3">
        <v>68</v>
      </c>
      <c r="I13" s="3"/>
      <c r="J13" s="1"/>
      <c r="K13" s="3"/>
      <c r="L13" s="3"/>
      <c r="M13" s="3"/>
      <c r="N13" s="3"/>
      <c r="Q13" s="208"/>
      <c r="R13" s="2">
        <v>0.49305555555555558</v>
      </c>
      <c r="S13" s="2">
        <v>0.67708333333333337</v>
      </c>
      <c r="T13" s="11">
        <f>25+240</f>
        <v>265</v>
      </c>
      <c r="U13" s="11">
        <v>8</v>
      </c>
      <c r="V13" s="1">
        <f>U13*0.25</f>
        <v>2</v>
      </c>
      <c r="W13" s="1">
        <f>V13*T13/60</f>
        <v>8.8333333333333339</v>
      </c>
      <c r="X13" s="11">
        <v>8</v>
      </c>
      <c r="Y13" s="1">
        <f>X13*1.9</f>
        <v>15.2</v>
      </c>
      <c r="Z13" s="1">
        <f>Y13*T13/60</f>
        <v>67.13333333333334</v>
      </c>
    </row>
    <row r="14" spans="1:26">
      <c r="B14" s="168"/>
      <c r="C14" s="33">
        <v>0.3923611111111111</v>
      </c>
      <c r="D14" s="34"/>
      <c r="E14" s="34"/>
      <c r="F14" s="34"/>
      <c r="G14" s="34"/>
      <c r="H14" s="34"/>
      <c r="I14" s="34"/>
      <c r="J14" s="35" t="s">
        <v>58</v>
      </c>
      <c r="K14" s="35" t="s">
        <v>58</v>
      </c>
      <c r="L14" s="3"/>
      <c r="M14" s="3"/>
      <c r="N14" s="3"/>
      <c r="Q14" s="208"/>
      <c r="R14" s="2">
        <v>0.67708333333333337</v>
      </c>
      <c r="S14" s="2">
        <v>0.97222222222222221</v>
      </c>
      <c r="T14" s="11">
        <f>45+6*60+20</f>
        <v>425</v>
      </c>
      <c r="U14" s="11">
        <v>3</v>
      </c>
      <c r="V14" s="1">
        <f>U14*0.25</f>
        <v>0.75</v>
      </c>
      <c r="W14" s="1">
        <f>V14*T14/60</f>
        <v>5.3125</v>
      </c>
      <c r="X14" s="11">
        <v>3</v>
      </c>
      <c r="Y14" s="1">
        <f>X14*1.9</f>
        <v>5.6999999999999993</v>
      </c>
      <c r="Z14" s="1">
        <f>Y14*T14/60</f>
        <v>40.374999999999993</v>
      </c>
    </row>
    <row r="15" spans="1:26">
      <c r="B15" s="168"/>
      <c r="C15" s="2">
        <v>0.39583333333333331</v>
      </c>
      <c r="D15" s="3" t="s">
        <v>308</v>
      </c>
      <c r="E15" s="3" t="s">
        <v>370</v>
      </c>
      <c r="F15" s="3">
        <v>120</v>
      </c>
      <c r="G15" s="3">
        <v>50</v>
      </c>
      <c r="H15" s="3">
        <v>68</v>
      </c>
      <c r="I15" s="3"/>
      <c r="J15" s="1">
        <v>5</v>
      </c>
      <c r="K15" s="1">
        <v>5</v>
      </c>
      <c r="L15" s="3"/>
      <c r="M15" s="3"/>
      <c r="N15" s="3"/>
      <c r="Q15" s="208"/>
      <c r="R15" s="2">
        <v>0.97222222222222221</v>
      </c>
      <c r="S15" s="2">
        <v>0</v>
      </c>
      <c r="T15" s="11">
        <v>40</v>
      </c>
      <c r="U15" s="11">
        <v>2</v>
      </c>
      <c r="V15" s="1">
        <f>U15*0.25</f>
        <v>0.5</v>
      </c>
      <c r="W15" s="1">
        <f>V15*T15/60</f>
        <v>0.33333333333333331</v>
      </c>
      <c r="X15" s="11">
        <v>2</v>
      </c>
      <c r="Y15" s="1">
        <f>X15*1.9</f>
        <v>3.8</v>
      </c>
      <c r="Z15" s="1">
        <f>Y15*T15/60</f>
        <v>2.5333333333333332</v>
      </c>
    </row>
    <row r="16" spans="1:26">
      <c r="B16" s="168"/>
      <c r="C16" s="2">
        <v>0.41666666666666669</v>
      </c>
      <c r="D16" s="3" t="s">
        <v>309</v>
      </c>
      <c r="E16" s="3" t="s">
        <v>370</v>
      </c>
      <c r="F16" s="3">
        <v>120</v>
      </c>
      <c r="G16" s="3">
        <v>50</v>
      </c>
      <c r="H16" s="3">
        <v>57</v>
      </c>
      <c r="I16" s="3"/>
      <c r="J16" s="1">
        <v>5</v>
      </c>
      <c r="K16" s="1">
        <v>5</v>
      </c>
      <c r="L16" s="3"/>
      <c r="M16" s="3"/>
      <c r="N16" s="3"/>
      <c r="Q16" s="84" t="s">
        <v>323</v>
      </c>
      <c r="R16" s="2">
        <v>0</v>
      </c>
      <c r="S16" s="2">
        <v>0.375</v>
      </c>
      <c r="T16" s="11">
        <f>57*60</f>
        <v>3420</v>
      </c>
      <c r="U16" s="11">
        <v>3</v>
      </c>
      <c r="V16" s="1">
        <f>U16*0.25</f>
        <v>0.75</v>
      </c>
      <c r="W16" s="1">
        <f>V16*T16/60</f>
        <v>42.75</v>
      </c>
      <c r="X16" s="11">
        <v>3</v>
      </c>
      <c r="Y16" s="1">
        <f>X16*1.9</f>
        <v>5.6999999999999993</v>
      </c>
      <c r="Z16" s="1">
        <f>Y16*T16/60</f>
        <v>324.89999999999992</v>
      </c>
    </row>
    <row r="17" spans="2:26">
      <c r="B17" s="168"/>
      <c r="C17" s="2">
        <v>0.4375</v>
      </c>
      <c r="D17" s="3"/>
      <c r="E17" s="3" t="s">
        <v>370</v>
      </c>
      <c r="F17" s="3"/>
      <c r="G17" s="3"/>
      <c r="H17" s="3"/>
      <c r="I17" s="3"/>
      <c r="J17" s="1">
        <v>5</v>
      </c>
      <c r="K17" s="1">
        <v>5</v>
      </c>
      <c r="L17" s="3"/>
      <c r="M17" s="3"/>
      <c r="N17" s="3" t="s">
        <v>321</v>
      </c>
      <c r="Q17" s="84" t="s">
        <v>306</v>
      </c>
      <c r="R17" s="2">
        <v>0.48333333333333334</v>
      </c>
      <c r="S17" s="11"/>
      <c r="T17" s="11"/>
      <c r="U17" s="11" t="s">
        <v>324</v>
      </c>
      <c r="V17" s="1"/>
      <c r="W17" s="1">
        <v>0.5</v>
      </c>
      <c r="X17" s="11" t="s">
        <v>324</v>
      </c>
      <c r="Y17" s="1"/>
      <c r="Z17" s="1">
        <v>2.8</v>
      </c>
    </row>
    <row r="18" spans="2:26">
      <c r="B18" s="168"/>
      <c r="C18" s="2">
        <v>0.45833333333333331</v>
      </c>
      <c r="D18" s="3" t="s">
        <v>310</v>
      </c>
      <c r="E18" s="3" t="s">
        <v>370</v>
      </c>
      <c r="F18" s="3">
        <v>135</v>
      </c>
      <c r="G18" s="3">
        <v>60</v>
      </c>
      <c r="H18" s="3">
        <v>51</v>
      </c>
      <c r="I18" s="3"/>
      <c r="J18" s="1">
        <v>5</v>
      </c>
      <c r="K18" s="1">
        <v>5</v>
      </c>
      <c r="L18" s="3"/>
      <c r="M18" s="3"/>
      <c r="N18" s="3"/>
      <c r="Q18" s="10" t="s">
        <v>21</v>
      </c>
      <c r="R18" s="11"/>
      <c r="S18" s="11"/>
      <c r="T18" s="10">
        <f>SUM(T12:T17)</f>
        <v>4295</v>
      </c>
      <c r="W18" s="10">
        <f>SUM(W12:W17)</f>
        <v>60.75</v>
      </c>
      <c r="Z18" s="10">
        <f>SUM(Z12:Z17)</f>
        <v>460.69999999999993</v>
      </c>
    </row>
    <row r="19" spans="2:26">
      <c r="B19" s="168"/>
      <c r="C19" s="2">
        <v>0.48333333333333334</v>
      </c>
      <c r="D19" s="3"/>
      <c r="E19" s="3">
        <v>6</v>
      </c>
      <c r="F19" s="3">
        <v>117</v>
      </c>
      <c r="G19" s="3">
        <v>50</v>
      </c>
      <c r="H19" s="3">
        <v>65</v>
      </c>
      <c r="I19" s="3"/>
      <c r="J19" s="1">
        <v>5</v>
      </c>
      <c r="K19" s="1">
        <v>5</v>
      </c>
      <c r="L19" s="3">
        <v>2</v>
      </c>
      <c r="M19" s="3">
        <v>2</v>
      </c>
      <c r="N19" s="3"/>
    </row>
    <row r="20" spans="2:26">
      <c r="B20" s="168"/>
      <c r="C20" s="2">
        <v>0.49305555555555558</v>
      </c>
      <c r="D20" s="3"/>
      <c r="E20" s="3">
        <v>6</v>
      </c>
      <c r="F20" s="3">
        <v>119</v>
      </c>
      <c r="G20" s="3">
        <v>50</v>
      </c>
      <c r="H20" s="3">
        <v>66</v>
      </c>
      <c r="I20" s="3"/>
      <c r="J20" s="85">
        <v>8</v>
      </c>
      <c r="K20" s="85">
        <v>8</v>
      </c>
      <c r="L20" s="3"/>
      <c r="M20" s="3"/>
      <c r="N20" s="3"/>
      <c r="W20">
        <f>W18/T18*60</f>
        <v>0.84866123399301518</v>
      </c>
      <c r="Z20">
        <f>Z18/T18*60</f>
        <v>6.4358556461001157</v>
      </c>
    </row>
    <row r="21" spans="2:26">
      <c r="B21" s="168"/>
      <c r="C21" s="2">
        <v>0.5</v>
      </c>
      <c r="D21" s="3" t="s">
        <v>311</v>
      </c>
      <c r="E21" s="3"/>
      <c r="F21" s="3">
        <v>110</v>
      </c>
      <c r="G21" s="3">
        <v>42</v>
      </c>
      <c r="H21" s="3">
        <v>60</v>
      </c>
      <c r="I21" s="3"/>
      <c r="J21" s="1">
        <v>8</v>
      </c>
      <c r="K21" s="1">
        <v>8</v>
      </c>
      <c r="L21" s="3"/>
      <c r="M21" s="3"/>
      <c r="N21" s="3" t="s">
        <v>322</v>
      </c>
    </row>
    <row r="22" spans="2:26">
      <c r="B22" s="168"/>
      <c r="C22" s="2">
        <v>0.67708333333333337</v>
      </c>
      <c r="D22" s="3" t="s">
        <v>312</v>
      </c>
      <c r="E22" s="3">
        <v>0</v>
      </c>
      <c r="F22" s="3">
        <v>140</v>
      </c>
      <c r="G22" s="3">
        <v>70</v>
      </c>
      <c r="H22" s="3">
        <v>50</v>
      </c>
      <c r="I22" s="3"/>
      <c r="J22" s="85">
        <v>3</v>
      </c>
      <c r="K22" s="85">
        <v>3</v>
      </c>
      <c r="L22" s="3"/>
      <c r="M22" s="3"/>
      <c r="N22" s="3"/>
    </row>
    <row r="23" spans="2:26">
      <c r="B23" s="169"/>
      <c r="C23" s="2">
        <v>0.97222222222222221</v>
      </c>
      <c r="D23" s="3" t="s">
        <v>313</v>
      </c>
      <c r="E23" s="3">
        <v>0</v>
      </c>
      <c r="F23" s="3">
        <v>100</v>
      </c>
      <c r="G23" s="3">
        <v>55</v>
      </c>
      <c r="H23" s="3">
        <v>54</v>
      </c>
      <c r="I23" s="3"/>
      <c r="J23" s="85">
        <v>2</v>
      </c>
      <c r="K23" s="85">
        <v>2</v>
      </c>
      <c r="L23" s="3"/>
      <c r="M23" s="3"/>
      <c r="N23" s="3"/>
    </row>
    <row r="24" spans="2:26">
      <c r="B24" s="83">
        <v>43748</v>
      </c>
      <c r="C24" s="2">
        <v>0</v>
      </c>
      <c r="D24" s="3"/>
      <c r="E24" s="3"/>
      <c r="F24" s="3"/>
      <c r="G24" s="3"/>
      <c r="H24" s="3"/>
      <c r="I24" s="3"/>
      <c r="J24" s="85">
        <v>3</v>
      </c>
      <c r="K24" s="85">
        <v>3</v>
      </c>
      <c r="L24" s="3"/>
      <c r="M24" s="3"/>
      <c r="N24" s="3"/>
    </row>
    <row r="25" spans="2:26">
      <c r="B25" s="83">
        <v>43749</v>
      </c>
      <c r="C25" s="2">
        <v>0.37847222222222227</v>
      </c>
      <c r="D25" s="3" t="s">
        <v>314</v>
      </c>
      <c r="E25" s="3">
        <v>0</v>
      </c>
      <c r="F25" s="3">
        <v>121</v>
      </c>
      <c r="G25" s="3">
        <v>65</v>
      </c>
      <c r="H25" s="3">
        <v>69</v>
      </c>
      <c r="I25" s="3"/>
      <c r="J25" s="1">
        <v>3</v>
      </c>
      <c r="K25" s="1">
        <v>3</v>
      </c>
      <c r="L25" s="3"/>
      <c r="M25" s="3"/>
      <c r="N25" s="3"/>
    </row>
    <row r="26" spans="2:26">
      <c r="B26" s="167">
        <v>43750</v>
      </c>
      <c r="C26" s="30">
        <v>0.375</v>
      </c>
      <c r="D26" s="31"/>
      <c r="E26" s="31"/>
      <c r="F26" s="31"/>
      <c r="G26" s="31"/>
      <c r="H26" s="31"/>
      <c r="I26" s="31"/>
      <c r="J26" s="32" t="s">
        <v>20</v>
      </c>
      <c r="K26" s="32" t="s">
        <v>20</v>
      </c>
      <c r="L26" s="3"/>
      <c r="M26" s="3"/>
      <c r="N26" s="3"/>
    </row>
    <row r="27" spans="2:26">
      <c r="B27" s="168"/>
      <c r="C27" s="94">
        <v>0.37708333333333338</v>
      </c>
      <c r="D27" s="3" t="s">
        <v>315</v>
      </c>
      <c r="E27" s="3"/>
      <c r="F27" s="3"/>
      <c r="G27" s="3"/>
      <c r="H27" s="3"/>
      <c r="I27" s="3"/>
      <c r="J27" s="1"/>
      <c r="K27" s="3"/>
      <c r="L27" s="3"/>
      <c r="M27" s="3"/>
      <c r="N27" s="3"/>
    </row>
    <row r="28" spans="2:26">
      <c r="B28" s="168"/>
      <c r="C28" s="2">
        <v>0.4375</v>
      </c>
      <c r="D28" s="3" t="s">
        <v>316</v>
      </c>
      <c r="E28" s="3">
        <v>0</v>
      </c>
      <c r="F28" s="3">
        <v>124</v>
      </c>
      <c r="G28" s="3">
        <v>60</v>
      </c>
      <c r="H28" s="3">
        <v>61</v>
      </c>
      <c r="I28" s="3"/>
      <c r="J28" s="1"/>
      <c r="K28" s="3"/>
      <c r="L28" s="3"/>
      <c r="M28" s="3"/>
      <c r="N28" s="3"/>
    </row>
    <row r="29" spans="2:26">
      <c r="B29" s="168"/>
      <c r="C29" s="2">
        <v>0.45833333333333331</v>
      </c>
      <c r="D29" s="3" t="s">
        <v>317</v>
      </c>
      <c r="E29" s="3">
        <v>0</v>
      </c>
      <c r="F29" s="3">
        <v>149</v>
      </c>
      <c r="G29" s="3">
        <v>67</v>
      </c>
      <c r="H29" s="3">
        <v>62</v>
      </c>
      <c r="I29" s="3"/>
      <c r="J29" s="1"/>
      <c r="K29" s="3"/>
      <c r="L29" s="3"/>
      <c r="M29" s="3"/>
      <c r="N29" s="3"/>
    </row>
    <row r="30" spans="2:26">
      <c r="B30" s="169"/>
      <c r="C30" s="2">
        <v>0.92013888888888884</v>
      </c>
      <c r="D30" s="3" t="s">
        <v>318</v>
      </c>
      <c r="E30" s="3">
        <v>0</v>
      </c>
      <c r="F30" s="3">
        <v>145</v>
      </c>
      <c r="G30" s="3">
        <v>76</v>
      </c>
      <c r="H30" s="3">
        <v>74</v>
      </c>
      <c r="I30" s="3"/>
      <c r="J30" s="1"/>
      <c r="K30" s="3"/>
      <c r="L30" s="3"/>
      <c r="M30" s="3"/>
      <c r="N30" s="3"/>
    </row>
    <row r="31" spans="2:26">
      <c r="B31" s="83">
        <v>43751</v>
      </c>
      <c r="C31" s="2">
        <v>0.96458333333333324</v>
      </c>
      <c r="D31" s="3" t="s">
        <v>319</v>
      </c>
      <c r="E31" s="3">
        <v>0</v>
      </c>
      <c r="F31" s="3">
        <v>141</v>
      </c>
      <c r="G31" s="3">
        <v>74</v>
      </c>
      <c r="H31" s="3">
        <v>57</v>
      </c>
      <c r="I31" s="3"/>
      <c r="J31" s="1"/>
      <c r="K31" s="3"/>
      <c r="L31" s="3"/>
      <c r="M31" s="3"/>
      <c r="N31" s="3"/>
    </row>
    <row r="32" spans="2:26">
      <c r="B32" s="83">
        <v>43753</v>
      </c>
      <c r="C32" s="2">
        <v>0.46736111111111112</v>
      </c>
      <c r="D32" s="3" t="s">
        <v>320</v>
      </c>
      <c r="E32" s="3">
        <v>0</v>
      </c>
      <c r="F32" s="3">
        <v>143</v>
      </c>
      <c r="G32" s="3">
        <v>82</v>
      </c>
      <c r="H32" s="3">
        <v>58</v>
      </c>
      <c r="I32" s="3"/>
      <c r="J32" s="1"/>
      <c r="K32" s="3"/>
      <c r="L32" s="3"/>
      <c r="M32" s="3"/>
      <c r="N32" s="3"/>
    </row>
  </sheetData>
  <mergeCells count="27">
    <mergeCell ref="J2:K2"/>
    <mergeCell ref="F3:H3"/>
    <mergeCell ref="J3:N4"/>
    <mergeCell ref="X10:Z10"/>
    <mergeCell ref="N11:N12"/>
    <mergeCell ref="E11:E12"/>
    <mergeCell ref="F11:G11"/>
    <mergeCell ref="I11:I12"/>
    <mergeCell ref="J11:K11"/>
    <mergeCell ref="L11:M11"/>
    <mergeCell ref="H11:H12"/>
    <mergeCell ref="A1:C1"/>
    <mergeCell ref="B13:B23"/>
    <mergeCell ref="B26:B30"/>
    <mergeCell ref="Q12:Q15"/>
    <mergeCell ref="U10:W10"/>
    <mergeCell ref="P2:Q2"/>
    <mergeCell ref="P3:Q3"/>
    <mergeCell ref="F4:G4"/>
    <mergeCell ref="B2:B3"/>
    <mergeCell ref="B11:B12"/>
    <mergeCell ref="C11:C12"/>
    <mergeCell ref="D11:D12"/>
    <mergeCell ref="C2:C3"/>
    <mergeCell ref="F2:H2"/>
    <mergeCell ref="J5:K5"/>
    <mergeCell ref="J6:K6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AB34"/>
  <sheetViews>
    <sheetView zoomScale="90" zoomScaleNormal="90" workbookViewId="0">
      <selection activeCell="AA12" sqref="AA12:AA15"/>
    </sheetView>
  </sheetViews>
  <sheetFormatPr defaultRowHeight="14.4"/>
  <cols>
    <col min="1" max="1" width="4" customWidth="1"/>
    <col min="2" max="2" width="11.44140625" bestFit="1" customWidth="1"/>
    <col min="3" max="3" width="16.109375" customWidth="1"/>
    <col min="4" max="5" width="9.77734375" customWidth="1"/>
    <col min="6" max="6" width="8.109375" customWidth="1"/>
    <col min="7" max="7" width="11.33203125" customWidth="1"/>
    <col min="8" max="8" width="8.21875" bestFit="1" customWidth="1"/>
    <col min="9" max="9" width="7.77734375" customWidth="1"/>
    <col min="10" max="10" width="8.5546875" customWidth="1"/>
    <col min="11" max="11" width="7.44140625" customWidth="1"/>
    <col min="12" max="12" width="6.44140625" customWidth="1"/>
    <col min="13" max="14" width="7.33203125" customWidth="1"/>
    <col min="15" max="15" width="14.21875" customWidth="1"/>
    <col min="16" max="16" width="6.5546875" customWidth="1"/>
    <col min="17" max="17" width="6.44140625" customWidth="1"/>
    <col min="18" max="18" width="8.5546875" customWidth="1"/>
    <col min="19" max="19" width="10.44140625" customWidth="1"/>
    <col min="21" max="22" width="5.5546875" bestFit="1" customWidth="1"/>
    <col min="23" max="23" width="5.33203125" bestFit="1" customWidth="1"/>
    <col min="24" max="24" width="6.6640625" bestFit="1" customWidth="1"/>
    <col min="25" max="25" width="7.88671875" customWidth="1"/>
    <col min="26" max="26" width="5.33203125" bestFit="1" customWidth="1"/>
    <col min="27" max="27" width="5.77734375" bestFit="1" customWidth="1"/>
    <col min="28" max="28" width="7.5546875" customWidth="1"/>
    <col min="29" max="29" width="7.109375" customWidth="1"/>
  </cols>
  <sheetData>
    <row r="2" spans="2:28">
      <c r="B2" s="170" t="s">
        <v>0</v>
      </c>
      <c r="C2" s="172" t="s">
        <v>325</v>
      </c>
      <c r="G2" s="175" t="s">
        <v>24</v>
      </c>
      <c r="H2" s="175"/>
      <c r="I2" s="175"/>
      <c r="K2" s="161" t="s">
        <v>32</v>
      </c>
      <c r="L2" s="162"/>
      <c r="Q2" s="159" t="s">
        <v>33</v>
      </c>
      <c r="R2" s="160"/>
      <c r="S2" s="17" t="s">
        <v>129</v>
      </c>
    </row>
    <row r="3" spans="2:28">
      <c r="B3" s="171"/>
      <c r="C3" s="173"/>
      <c r="G3" s="176" t="s">
        <v>38</v>
      </c>
      <c r="H3" s="176"/>
      <c r="I3" s="176"/>
      <c r="K3" s="194" t="s">
        <v>128</v>
      </c>
      <c r="L3" s="194"/>
      <c r="M3" s="194"/>
      <c r="N3" s="194"/>
      <c r="O3" s="194"/>
      <c r="Q3" s="159" t="s">
        <v>34</v>
      </c>
      <c r="R3" s="160"/>
      <c r="S3" s="17" t="s">
        <v>130</v>
      </c>
      <c r="T3" t="s">
        <v>471</v>
      </c>
    </row>
    <row r="4" spans="2:28" ht="21">
      <c r="B4" s="48" t="s">
        <v>23</v>
      </c>
      <c r="C4" s="49">
        <v>1011</v>
      </c>
      <c r="G4" s="174" t="s">
        <v>19</v>
      </c>
      <c r="H4" s="174"/>
      <c r="K4" s="194"/>
      <c r="L4" s="194"/>
      <c r="M4" s="194"/>
      <c r="N4" s="194"/>
      <c r="O4" s="194"/>
    </row>
    <row r="5" spans="2:28">
      <c r="B5" s="6" t="s">
        <v>1</v>
      </c>
      <c r="C5" s="7">
        <v>71</v>
      </c>
      <c r="G5" s="9" t="s">
        <v>25</v>
      </c>
      <c r="H5" s="25">
        <v>0.4201388888888889</v>
      </c>
      <c r="I5" t="s">
        <v>305</v>
      </c>
      <c r="K5" s="157" t="s">
        <v>25</v>
      </c>
      <c r="L5" s="158"/>
      <c r="M5" s="40" t="s">
        <v>306</v>
      </c>
      <c r="N5" s="25">
        <v>0.43124999999999997</v>
      </c>
      <c r="O5">
        <f>39+33.5*60</f>
        <v>2049</v>
      </c>
    </row>
    <row r="6" spans="2:28">
      <c r="B6" s="6" t="s">
        <v>2</v>
      </c>
      <c r="C6" s="8">
        <v>160</v>
      </c>
      <c r="G6" s="9" t="s">
        <v>26</v>
      </c>
      <c r="H6" s="25">
        <v>0.56597222222222221</v>
      </c>
      <c r="K6" s="157" t="s">
        <v>26</v>
      </c>
      <c r="L6" s="158"/>
      <c r="M6" s="40" t="s">
        <v>345</v>
      </c>
      <c r="N6" s="25">
        <v>0.85416666666666663</v>
      </c>
    </row>
    <row r="7" spans="2:28">
      <c r="B7" s="6" t="s">
        <v>3</v>
      </c>
      <c r="C7" s="8" t="s">
        <v>102</v>
      </c>
    </row>
    <row r="8" spans="2:28">
      <c r="B8" s="6" t="s">
        <v>8</v>
      </c>
      <c r="C8" s="8">
        <v>64</v>
      </c>
    </row>
    <row r="10" spans="2:28" ht="15" thickBot="1">
      <c r="U10" s="106" t="s">
        <v>63</v>
      </c>
      <c r="V10" s="106" t="s">
        <v>62</v>
      </c>
      <c r="W10" s="154" t="s">
        <v>63</v>
      </c>
      <c r="X10" s="155"/>
      <c r="Y10" s="156"/>
      <c r="Z10" s="154" t="s">
        <v>62</v>
      </c>
      <c r="AA10" s="155"/>
      <c r="AB10" s="156"/>
    </row>
    <row r="11" spans="2:28" ht="15" customHeight="1">
      <c r="B11" s="165" t="s">
        <v>4</v>
      </c>
      <c r="C11" s="165" t="s">
        <v>5</v>
      </c>
      <c r="D11" s="165" t="s">
        <v>6</v>
      </c>
      <c r="E11" s="165" t="s">
        <v>671</v>
      </c>
      <c r="F11" s="165" t="s">
        <v>28</v>
      </c>
      <c r="G11" s="177" t="s">
        <v>7</v>
      </c>
      <c r="H11" s="178"/>
      <c r="I11" s="165" t="s">
        <v>9</v>
      </c>
      <c r="J11" s="165" t="s">
        <v>29</v>
      </c>
      <c r="K11" s="177" t="s">
        <v>27</v>
      </c>
      <c r="L11" s="178"/>
      <c r="M11" s="177" t="s">
        <v>31</v>
      </c>
      <c r="N11" s="178"/>
      <c r="O11" s="165" t="s">
        <v>30</v>
      </c>
      <c r="R11" s="10" t="s">
        <v>10</v>
      </c>
      <c r="S11" s="10" t="s">
        <v>11</v>
      </c>
      <c r="T11" s="10" t="s">
        <v>12</v>
      </c>
      <c r="U11" s="202" t="s">
        <v>13</v>
      </c>
      <c r="V11" s="203"/>
      <c r="W11" s="23" t="s">
        <v>14</v>
      </c>
      <c r="X11" s="22" t="s">
        <v>15</v>
      </c>
      <c r="Y11" s="22" t="s">
        <v>35</v>
      </c>
      <c r="Z11" s="24" t="s">
        <v>14</v>
      </c>
      <c r="AA11" s="24" t="s">
        <v>36</v>
      </c>
      <c r="AB11" s="24" t="s">
        <v>37</v>
      </c>
    </row>
    <row r="12" spans="2:28">
      <c r="B12" s="166"/>
      <c r="C12" s="166"/>
      <c r="D12" s="166"/>
      <c r="E12" s="166"/>
      <c r="F12" s="166"/>
      <c r="G12" s="47" t="s">
        <v>16</v>
      </c>
      <c r="H12" s="19" t="s">
        <v>17</v>
      </c>
      <c r="I12" s="166"/>
      <c r="J12" s="166"/>
      <c r="K12" s="20" t="s">
        <v>63</v>
      </c>
      <c r="L12" s="21" t="s">
        <v>87</v>
      </c>
      <c r="M12" s="20" t="s">
        <v>63</v>
      </c>
      <c r="N12" s="21" t="s">
        <v>87</v>
      </c>
      <c r="O12" s="166"/>
      <c r="R12" s="90" t="s">
        <v>306</v>
      </c>
      <c r="S12" s="2">
        <v>0.43124999999999997</v>
      </c>
      <c r="T12" s="2">
        <v>0.43402777777777773</v>
      </c>
      <c r="U12" s="11">
        <v>4</v>
      </c>
      <c r="V12" s="11">
        <v>4</v>
      </c>
      <c r="W12" s="11">
        <v>7</v>
      </c>
      <c r="X12" s="1">
        <f>W12*0.25</f>
        <v>1.75</v>
      </c>
      <c r="Y12" s="1">
        <f>X12*U12/60</f>
        <v>0.11666666666666667</v>
      </c>
      <c r="Z12" s="11">
        <v>7</v>
      </c>
      <c r="AA12" s="1">
        <f>Z12*1.9</f>
        <v>13.299999999999999</v>
      </c>
      <c r="AB12" s="1">
        <f>AA12*V12/60</f>
        <v>0.8866666666666666</v>
      </c>
    </row>
    <row r="13" spans="2:28">
      <c r="B13" s="167">
        <v>43747</v>
      </c>
      <c r="C13" s="2">
        <v>0.42986111111111108</v>
      </c>
      <c r="D13" s="3" t="s">
        <v>326</v>
      </c>
      <c r="E13" s="127">
        <v>2.09121045408921</v>
      </c>
      <c r="F13" s="3"/>
      <c r="G13" s="3">
        <v>123</v>
      </c>
      <c r="H13" s="3">
        <v>72</v>
      </c>
      <c r="I13" s="3">
        <v>74</v>
      </c>
      <c r="J13" s="3"/>
      <c r="K13" s="1"/>
      <c r="L13" s="3"/>
      <c r="M13" s="3"/>
      <c r="N13" s="3"/>
      <c r="O13" s="3"/>
      <c r="R13" s="147"/>
      <c r="S13" s="180">
        <v>0.43402777777777773</v>
      </c>
      <c r="T13" s="181"/>
      <c r="U13" s="11">
        <v>1</v>
      </c>
      <c r="V13" s="11">
        <v>1</v>
      </c>
      <c r="W13" s="11" t="s">
        <v>344</v>
      </c>
      <c r="X13" s="1">
        <f>Y13*60</f>
        <v>90</v>
      </c>
      <c r="Y13" s="1">
        <v>1.5</v>
      </c>
      <c r="Z13" s="11" t="s">
        <v>344</v>
      </c>
      <c r="AA13" s="1">
        <f>AB13*60</f>
        <v>683.99999999999989</v>
      </c>
      <c r="AB13" s="1">
        <f>6*1.9</f>
        <v>11.399999999999999</v>
      </c>
    </row>
    <row r="14" spans="2:28">
      <c r="B14" s="168"/>
      <c r="C14" s="33">
        <v>0.43124999999999997</v>
      </c>
      <c r="D14" s="34"/>
      <c r="E14" s="34"/>
      <c r="F14" s="34"/>
      <c r="G14" s="34"/>
      <c r="H14" s="34"/>
      <c r="I14" s="34"/>
      <c r="J14" s="34"/>
      <c r="K14" s="35" t="s">
        <v>335</v>
      </c>
      <c r="L14" s="35" t="s">
        <v>335</v>
      </c>
      <c r="M14" s="3"/>
      <c r="N14" s="3"/>
      <c r="O14" s="3"/>
      <c r="R14" s="147"/>
      <c r="S14" s="2">
        <v>0.43472222222222223</v>
      </c>
      <c r="T14" s="2">
        <v>0.56944444444444442</v>
      </c>
      <c r="U14" s="11">
        <f>180+14</f>
        <v>194</v>
      </c>
      <c r="V14" s="11">
        <v>194</v>
      </c>
      <c r="W14" s="11">
        <v>7</v>
      </c>
      <c r="X14" s="1">
        <f>W14*0.25</f>
        <v>1.75</v>
      </c>
      <c r="Y14" s="1">
        <f>X14*U14/60</f>
        <v>5.6583333333333332</v>
      </c>
      <c r="Z14" s="11">
        <v>7</v>
      </c>
      <c r="AA14" s="1">
        <f>Z14*1.9</f>
        <v>13.299999999999999</v>
      </c>
      <c r="AB14" s="1">
        <f>AA14*V14/60</f>
        <v>43.00333333333333</v>
      </c>
    </row>
    <row r="15" spans="2:28">
      <c r="B15" s="168"/>
      <c r="C15" s="2">
        <v>0.43402777777777773</v>
      </c>
      <c r="D15" s="3"/>
      <c r="E15" s="3"/>
      <c r="F15" s="3" t="s">
        <v>370</v>
      </c>
      <c r="G15" s="3">
        <v>160</v>
      </c>
      <c r="H15" s="3">
        <v>78</v>
      </c>
      <c r="I15" s="3">
        <v>74</v>
      </c>
      <c r="J15" s="3"/>
      <c r="K15" s="1">
        <v>7</v>
      </c>
      <c r="L15" s="1">
        <v>7</v>
      </c>
      <c r="M15" s="3">
        <v>6</v>
      </c>
      <c r="N15" s="3">
        <v>6</v>
      </c>
      <c r="O15" s="3" t="s">
        <v>657</v>
      </c>
      <c r="R15" s="92" t="s">
        <v>343</v>
      </c>
      <c r="S15" s="2">
        <v>0.56944444444444442</v>
      </c>
      <c r="T15" s="2">
        <v>0.85416666666666663</v>
      </c>
      <c r="U15" s="11">
        <f>20+30.5*60</f>
        <v>1850</v>
      </c>
      <c r="V15" s="11">
        <f>20+30.5*60</f>
        <v>1850</v>
      </c>
      <c r="W15" s="11">
        <v>5</v>
      </c>
      <c r="X15" s="1">
        <f>W15*0.25</f>
        <v>1.25</v>
      </c>
      <c r="Y15" s="1">
        <f>X15*U15/60</f>
        <v>38.541666666666664</v>
      </c>
      <c r="Z15" s="11">
        <v>5</v>
      </c>
      <c r="AA15" s="1">
        <f>Z15*1.9</f>
        <v>9.5</v>
      </c>
      <c r="AB15" s="1">
        <f>AA15*V15/60</f>
        <v>292.91666666666669</v>
      </c>
    </row>
    <row r="16" spans="2:28">
      <c r="B16" s="168"/>
      <c r="C16" s="2">
        <v>0.4368055555555555</v>
      </c>
      <c r="D16" s="3" t="s">
        <v>327</v>
      </c>
      <c r="E16" s="127">
        <v>17.721913189430399</v>
      </c>
      <c r="F16" s="3" t="s">
        <v>370</v>
      </c>
      <c r="G16" s="3">
        <v>166</v>
      </c>
      <c r="H16" s="3">
        <v>79</v>
      </c>
      <c r="I16" s="3">
        <v>75</v>
      </c>
      <c r="J16" s="3"/>
      <c r="K16" s="1">
        <v>7</v>
      </c>
      <c r="L16" s="1">
        <v>7</v>
      </c>
      <c r="M16" s="3"/>
      <c r="N16" s="3"/>
      <c r="O16" s="3"/>
      <c r="R16" s="151" t="s">
        <v>345</v>
      </c>
      <c r="S16" s="209">
        <v>0.92708333333333337</v>
      </c>
      <c r="T16" s="210"/>
      <c r="U16" s="152">
        <v>0</v>
      </c>
      <c r="V16" s="152"/>
      <c r="W16" s="152" t="s">
        <v>99</v>
      </c>
      <c r="X16" s="16" t="s">
        <v>99</v>
      </c>
      <c r="Y16" s="16"/>
      <c r="Z16" s="16" t="s">
        <v>658</v>
      </c>
      <c r="AA16" s="16"/>
      <c r="AB16" s="16"/>
    </row>
    <row r="17" spans="2:28">
      <c r="B17" s="168"/>
      <c r="C17" s="2">
        <v>0.45277777777777778</v>
      </c>
      <c r="D17" s="3" t="s">
        <v>328</v>
      </c>
      <c r="E17" s="127">
        <v>3.7213775748716098</v>
      </c>
      <c r="F17" s="3" t="s">
        <v>370</v>
      </c>
      <c r="G17" s="3">
        <v>114</v>
      </c>
      <c r="H17" s="3">
        <v>63</v>
      </c>
      <c r="I17" s="3">
        <v>87</v>
      </c>
      <c r="J17" s="3"/>
      <c r="K17" s="1">
        <v>7</v>
      </c>
      <c r="L17" s="1">
        <v>7</v>
      </c>
      <c r="M17" s="3"/>
      <c r="N17" s="3"/>
      <c r="O17" s="3" t="s">
        <v>337</v>
      </c>
      <c r="R17" s="151"/>
      <c r="S17" s="150">
        <v>0.9375</v>
      </c>
      <c r="T17" s="152" t="s">
        <v>180</v>
      </c>
      <c r="U17" s="152">
        <v>0</v>
      </c>
      <c r="V17" s="152"/>
      <c r="W17" s="152" t="s">
        <v>99</v>
      </c>
      <c r="X17" s="16" t="s">
        <v>99</v>
      </c>
      <c r="Y17" s="16"/>
      <c r="Z17" s="16"/>
      <c r="AA17" s="16"/>
      <c r="AB17" s="16"/>
    </row>
    <row r="18" spans="2:28">
      <c r="B18" s="168"/>
      <c r="C18" s="2">
        <v>0.47291666666666665</v>
      </c>
      <c r="D18" s="3"/>
      <c r="E18" s="3"/>
      <c r="F18" s="3" t="s">
        <v>370</v>
      </c>
      <c r="G18" s="3">
        <v>118</v>
      </c>
      <c r="H18" s="3">
        <v>64</v>
      </c>
      <c r="I18" s="3">
        <v>77</v>
      </c>
      <c r="J18" s="3"/>
      <c r="K18" s="1">
        <v>7</v>
      </c>
      <c r="L18" s="1">
        <v>7</v>
      </c>
      <c r="M18" s="3"/>
      <c r="N18" s="3"/>
      <c r="O18" s="3" t="s">
        <v>338</v>
      </c>
      <c r="R18" s="10" t="s">
        <v>21</v>
      </c>
      <c r="S18" s="11"/>
      <c r="T18" s="11"/>
      <c r="U18" s="10">
        <f>SUM(U12:U17)</f>
        <v>2049</v>
      </c>
      <c r="V18" s="10">
        <f>SUM(V12:V17)</f>
        <v>2049</v>
      </c>
      <c r="Y18" s="10">
        <f>SUM(Y12:Y17)</f>
        <v>45.816666666666663</v>
      </c>
      <c r="AB18" s="10">
        <f>SUM(AB12:AB17)</f>
        <v>348.20666666666671</v>
      </c>
    </row>
    <row r="19" spans="2:28">
      <c r="B19" s="168"/>
      <c r="C19" s="2">
        <v>0.54097222222222219</v>
      </c>
      <c r="D19" s="3"/>
      <c r="E19" s="3"/>
      <c r="F19" s="3" t="s">
        <v>370</v>
      </c>
      <c r="G19" s="3">
        <v>128</v>
      </c>
      <c r="H19" s="3">
        <v>68</v>
      </c>
      <c r="I19" s="3">
        <v>82</v>
      </c>
      <c r="J19" s="3"/>
      <c r="K19" s="1">
        <v>7</v>
      </c>
      <c r="L19" s="1">
        <v>7</v>
      </c>
      <c r="M19" s="3"/>
      <c r="N19" s="3"/>
      <c r="O19" s="3" t="s">
        <v>339</v>
      </c>
      <c r="U19">
        <f>U18/60</f>
        <v>34.15</v>
      </c>
    </row>
    <row r="20" spans="2:28">
      <c r="B20" s="168"/>
      <c r="C20" s="2">
        <v>0.56944444444444442</v>
      </c>
      <c r="D20" s="3"/>
      <c r="E20" s="3"/>
      <c r="F20" s="3"/>
      <c r="G20" s="3">
        <v>100</v>
      </c>
      <c r="H20" s="3">
        <v>58</v>
      </c>
      <c r="I20" s="3">
        <v>85</v>
      </c>
      <c r="J20" s="3"/>
      <c r="K20" s="16">
        <v>5</v>
      </c>
      <c r="L20" s="16">
        <v>5</v>
      </c>
      <c r="M20" s="3"/>
      <c r="N20" s="3"/>
    </row>
    <row r="21" spans="2:28">
      <c r="B21" s="168"/>
      <c r="C21" s="2">
        <v>0.68125000000000002</v>
      </c>
      <c r="D21" s="3" t="s">
        <v>329</v>
      </c>
      <c r="E21" s="127">
        <v>6.3757207258068798</v>
      </c>
      <c r="F21" s="3">
        <v>0</v>
      </c>
      <c r="G21" s="3">
        <v>139</v>
      </c>
      <c r="H21" s="3">
        <v>70</v>
      </c>
      <c r="I21" s="3">
        <v>84</v>
      </c>
      <c r="J21" s="3"/>
      <c r="K21" s="1">
        <v>5</v>
      </c>
      <c r="L21" s="1">
        <v>5</v>
      </c>
      <c r="M21" s="3"/>
      <c r="N21" s="3"/>
      <c r="O21" s="3" t="s">
        <v>340</v>
      </c>
    </row>
    <row r="22" spans="2:28">
      <c r="B22" s="169"/>
      <c r="C22" s="2">
        <v>0.96527777777777779</v>
      </c>
      <c r="D22" s="3" t="s">
        <v>330</v>
      </c>
      <c r="E22" s="127">
        <v>5.9614963383005399</v>
      </c>
      <c r="F22" s="3">
        <v>0</v>
      </c>
      <c r="G22" s="3">
        <v>126</v>
      </c>
      <c r="H22" s="3">
        <v>63</v>
      </c>
      <c r="I22" s="3">
        <v>70</v>
      </c>
      <c r="J22" s="3"/>
      <c r="K22" s="1">
        <v>5</v>
      </c>
      <c r="L22" s="1">
        <v>5</v>
      </c>
      <c r="M22" s="3"/>
      <c r="N22" s="3"/>
      <c r="O22" s="3" t="s">
        <v>341</v>
      </c>
    </row>
    <row r="23" spans="2:28">
      <c r="B23" s="167">
        <v>43748</v>
      </c>
      <c r="C23" s="2">
        <v>0.46597222222222223</v>
      </c>
      <c r="D23" s="3" t="s">
        <v>331</v>
      </c>
      <c r="E23" s="127">
        <v>11.3643520859898</v>
      </c>
      <c r="F23" s="3">
        <v>0</v>
      </c>
      <c r="G23" s="3">
        <v>136</v>
      </c>
      <c r="H23" s="3">
        <v>68</v>
      </c>
      <c r="I23" s="3">
        <v>79</v>
      </c>
      <c r="J23" s="3"/>
      <c r="K23" s="1">
        <v>5</v>
      </c>
      <c r="L23" s="1">
        <v>5</v>
      </c>
      <c r="M23" s="3"/>
      <c r="N23" s="3"/>
      <c r="O23" s="3"/>
    </row>
    <row r="24" spans="2:28">
      <c r="B24" s="168"/>
      <c r="C24" s="30">
        <v>0.85416666666666663</v>
      </c>
      <c r="D24" s="31"/>
      <c r="E24" s="31"/>
      <c r="F24" s="31"/>
      <c r="G24" s="31"/>
      <c r="H24" s="31"/>
      <c r="I24" s="31"/>
      <c r="J24" s="31"/>
      <c r="K24" s="32" t="s">
        <v>20</v>
      </c>
      <c r="L24" s="31" t="s">
        <v>20</v>
      </c>
      <c r="M24" s="3"/>
      <c r="N24" s="3"/>
      <c r="O24" s="3"/>
    </row>
    <row r="25" spans="2:28">
      <c r="B25" s="169"/>
      <c r="C25" s="113">
        <v>0.92708333333333337</v>
      </c>
      <c r="D25" s="114"/>
      <c r="E25" s="114"/>
      <c r="F25" s="114"/>
      <c r="G25" s="114"/>
      <c r="H25" s="114"/>
      <c r="I25" s="114"/>
      <c r="J25" s="114"/>
      <c r="K25" s="125"/>
      <c r="L25" s="114"/>
      <c r="M25" s="3"/>
      <c r="N25" s="3" t="s">
        <v>658</v>
      </c>
      <c r="O25" s="126">
        <v>2E-3</v>
      </c>
    </row>
    <row r="26" spans="2:28">
      <c r="B26" s="119"/>
      <c r="C26" s="33">
        <v>0.9375</v>
      </c>
      <c r="D26" s="34"/>
      <c r="E26" s="34"/>
      <c r="F26" s="34"/>
      <c r="G26" s="34"/>
      <c r="H26" s="34"/>
      <c r="I26" s="34"/>
      <c r="J26" s="34"/>
      <c r="K26" s="95"/>
      <c r="L26" s="34" t="s">
        <v>336</v>
      </c>
      <c r="M26" s="3"/>
      <c r="N26" s="3"/>
      <c r="O26" s="3"/>
    </row>
    <row r="27" spans="2:28">
      <c r="B27" s="83">
        <v>43749</v>
      </c>
      <c r="C27" s="2">
        <v>0.50208333333333333</v>
      </c>
      <c r="D27" s="3" t="s">
        <v>332</v>
      </c>
      <c r="E27" s="127">
        <v>10.750870543191001</v>
      </c>
      <c r="F27" s="3">
        <v>0</v>
      </c>
      <c r="G27" s="3">
        <v>132</v>
      </c>
      <c r="H27" s="3">
        <v>65</v>
      </c>
      <c r="I27" s="3">
        <v>72</v>
      </c>
      <c r="J27" s="3"/>
      <c r="K27" s="1"/>
      <c r="L27" s="3"/>
      <c r="M27" s="3"/>
      <c r="N27" s="3"/>
      <c r="O27" s="3"/>
    </row>
    <row r="28" spans="2:28">
      <c r="B28" s="83">
        <v>43750</v>
      </c>
      <c r="C28" s="2">
        <v>0.42499999999999999</v>
      </c>
      <c r="D28" s="3" t="s">
        <v>333</v>
      </c>
      <c r="E28" s="127">
        <v>8.71288803758525</v>
      </c>
      <c r="F28" s="3"/>
      <c r="G28" s="3"/>
      <c r="H28" s="3"/>
      <c r="I28" s="3"/>
      <c r="J28" s="3"/>
      <c r="K28" s="1"/>
      <c r="L28" s="3"/>
      <c r="M28" s="3"/>
      <c r="N28" s="3"/>
      <c r="O28" s="3"/>
    </row>
    <row r="29" spans="2:28">
      <c r="B29" s="83">
        <v>43751</v>
      </c>
      <c r="C29" s="124" t="s">
        <v>656</v>
      </c>
      <c r="D29" s="3" t="s">
        <v>334</v>
      </c>
      <c r="E29" s="127">
        <v>7.1644767898247901</v>
      </c>
      <c r="F29" s="3"/>
      <c r="G29" s="3"/>
      <c r="H29" s="3"/>
      <c r="I29" s="3"/>
      <c r="J29" s="3"/>
      <c r="K29" s="1"/>
      <c r="L29" s="3"/>
      <c r="M29" s="3"/>
      <c r="N29" s="3"/>
      <c r="O29" s="3"/>
    </row>
    <row r="34" spans="17:17">
      <c r="Q34" s="59" t="s">
        <v>342</v>
      </c>
    </row>
  </sheetData>
  <mergeCells count="29">
    <mergeCell ref="Q2:R2"/>
    <mergeCell ref="Q3:R3"/>
    <mergeCell ref="G4:H4"/>
    <mergeCell ref="B2:B3"/>
    <mergeCell ref="B11:B12"/>
    <mergeCell ref="C11:C12"/>
    <mergeCell ref="D11:D12"/>
    <mergeCell ref="I11:I12"/>
    <mergeCell ref="C2:C3"/>
    <mergeCell ref="G2:I2"/>
    <mergeCell ref="K5:L5"/>
    <mergeCell ref="K6:L6"/>
    <mergeCell ref="K2:L2"/>
    <mergeCell ref="G3:I3"/>
    <mergeCell ref="K3:O4"/>
    <mergeCell ref="B13:B22"/>
    <mergeCell ref="B23:B25"/>
    <mergeCell ref="W10:Y10"/>
    <mergeCell ref="Z10:AB10"/>
    <mergeCell ref="O11:O12"/>
    <mergeCell ref="F11:F12"/>
    <mergeCell ref="G11:H11"/>
    <mergeCell ref="J11:J12"/>
    <mergeCell ref="K11:L11"/>
    <mergeCell ref="M11:N11"/>
    <mergeCell ref="U11:V11"/>
    <mergeCell ref="S16:T16"/>
    <mergeCell ref="E11:E12"/>
    <mergeCell ref="S13:T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1"/>
  <sheetViews>
    <sheetView zoomScale="90" zoomScaleNormal="90" workbookViewId="0">
      <selection activeCell="F14" sqref="F14"/>
    </sheetView>
  </sheetViews>
  <sheetFormatPr defaultRowHeight="14.4"/>
  <cols>
    <col min="1" max="1" width="4" customWidth="1"/>
    <col min="2" max="2" width="11.44140625" bestFit="1" customWidth="1"/>
    <col min="3" max="3" width="15.88671875" customWidth="1"/>
    <col min="4" max="4" width="9.77734375" customWidth="1"/>
    <col min="5" max="5" width="8.109375" customWidth="1"/>
    <col min="6" max="6" width="11.33203125" customWidth="1"/>
    <col min="7" max="7" width="8.21875" bestFit="1" customWidth="1"/>
    <col min="8" max="8" width="7.77734375" customWidth="1"/>
    <col min="9" max="9" width="8.5546875" customWidth="1"/>
    <col min="10" max="10" width="7.44140625" customWidth="1"/>
    <col min="11" max="11" width="6.44140625" customWidth="1"/>
    <col min="12" max="13" width="7.33203125" customWidth="1"/>
    <col min="14" max="14" width="14.21875" customWidth="1"/>
    <col min="15" max="15" width="6.5546875" customWidth="1"/>
    <col min="16" max="16" width="6.44140625" customWidth="1"/>
    <col min="18" max="18" width="10.44140625" customWidth="1"/>
    <col min="19" max="19" width="9" bestFit="1" customWidth="1"/>
    <col min="22" max="22" width="7.44140625" customWidth="1"/>
    <col min="23" max="23" width="7.88671875" customWidth="1"/>
    <col min="24" max="24" width="7.109375" customWidth="1"/>
    <col min="25" max="25" width="7.6640625" customWidth="1"/>
    <col min="26" max="26" width="7.5546875" customWidth="1"/>
    <col min="27" max="27" width="7.109375" customWidth="1"/>
  </cols>
  <sheetData>
    <row r="1" spans="1:26" ht="36" customHeight="1">
      <c r="A1" s="207" t="s">
        <v>672</v>
      </c>
      <c r="B1" s="207"/>
      <c r="C1" s="207"/>
    </row>
    <row r="2" spans="1:26">
      <c r="B2" s="170" t="s">
        <v>0</v>
      </c>
      <c r="C2" s="172" t="s">
        <v>346</v>
      </c>
      <c r="F2" s="175" t="s">
        <v>24</v>
      </c>
      <c r="G2" s="175"/>
      <c r="H2" s="175"/>
      <c r="J2" s="161" t="s">
        <v>32</v>
      </c>
      <c r="K2" s="162"/>
      <c r="P2" s="159" t="s">
        <v>33</v>
      </c>
      <c r="Q2" s="160"/>
      <c r="R2" s="17" t="s">
        <v>129</v>
      </c>
    </row>
    <row r="3" spans="1:26">
      <c r="B3" s="171"/>
      <c r="C3" s="173"/>
      <c r="F3" s="176" t="s">
        <v>38</v>
      </c>
      <c r="G3" s="176"/>
      <c r="H3" s="176"/>
      <c r="J3" s="194" t="s">
        <v>128</v>
      </c>
      <c r="K3" s="194"/>
      <c r="L3" s="194"/>
      <c r="M3" s="194"/>
      <c r="N3" s="194"/>
      <c r="P3" s="159" t="s">
        <v>34</v>
      </c>
      <c r="Q3" s="160"/>
      <c r="R3" s="17" t="s">
        <v>130</v>
      </c>
    </row>
    <row r="4" spans="1:26" ht="21">
      <c r="B4" s="48" t="s">
        <v>23</v>
      </c>
      <c r="C4" s="49">
        <v>1012</v>
      </c>
      <c r="F4" s="174" t="s">
        <v>19</v>
      </c>
      <c r="G4" s="174"/>
      <c r="J4" s="194"/>
      <c r="K4" s="194"/>
      <c r="L4" s="194"/>
      <c r="M4" s="194"/>
      <c r="N4" s="194"/>
    </row>
    <row r="5" spans="1:26">
      <c r="B5" s="6" t="s">
        <v>1</v>
      </c>
      <c r="C5" s="7">
        <v>69</v>
      </c>
      <c r="F5" s="9" t="s">
        <v>25</v>
      </c>
      <c r="G5" s="25">
        <v>0.4236111111111111</v>
      </c>
      <c r="H5" t="s">
        <v>347</v>
      </c>
      <c r="J5" s="157" t="s">
        <v>25</v>
      </c>
      <c r="K5" s="158"/>
      <c r="L5" s="40" t="s">
        <v>302</v>
      </c>
      <c r="M5" s="25">
        <v>0.43472222222222223</v>
      </c>
      <c r="N5">
        <f>34+(13+48+10)*60+45</f>
        <v>4339</v>
      </c>
      <c r="O5">
        <f>N5-179-38</f>
        <v>4122</v>
      </c>
    </row>
    <row r="6" spans="1:26">
      <c r="B6" s="6" t="s">
        <v>2</v>
      </c>
      <c r="C6" s="8">
        <v>163</v>
      </c>
      <c r="F6" s="9" t="s">
        <v>26</v>
      </c>
      <c r="G6" s="25">
        <v>0.51180555555555551</v>
      </c>
      <c r="J6" s="157" t="s">
        <v>26</v>
      </c>
      <c r="K6" s="158"/>
      <c r="L6" s="40" t="s">
        <v>366</v>
      </c>
      <c r="M6" s="25">
        <v>0.44791666666666669</v>
      </c>
    </row>
    <row r="7" spans="1:26">
      <c r="B7" s="6" t="s">
        <v>3</v>
      </c>
      <c r="C7" s="8" t="s">
        <v>102</v>
      </c>
    </row>
    <row r="8" spans="1:26">
      <c r="B8" s="6" t="s">
        <v>8</v>
      </c>
      <c r="C8" s="8">
        <v>74</v>
      </c>
    </row>
    <row r="10" spans="1:26" ht="15" thickBot="1">
      <c r="U10" s="154" t="s">
        <v>63</v>
      </c>
      <c r="V10" s="155"/>
      <c r="W10" s="156"/>
      <c r="X10" s="154" t="s">
        <v>62</v>
      </c>
      <c r="Y10" s="155"/>
      <c r="Z10" s="156"/>
    </row>
    <row r="11" spans="1:26" ht="15" customHeight="1">
      <c r="B11" s="165" t="s">
        <v>4</v>
      </c>
      <c r="C11" s="165" t="s">
        <v>5</v>
      </c>
      <c r="D11" s="165" t="s">
        <v>6</v>
      </c>
      <c r="E11" s="165" t="s">
        <v>28</v>
      </c>
      <c r="F11" s="177" t="s">
        <v>7</v>
      </c>
      <c r="G11" s="178"/>
      <c r="H11" s="165" t="s">
        <v>9</v>
      </c>
      <c r="I11" s="165" t="s">
        <v>29</v>
      </c>
      <c r="J11" s="177" t="s">
        <v>27</v>
      </c>
      <c r="K11" s="178"/>
      <c r="L11" s="177" t="s">
        <v>31</v>
      </c>
      <c r="M11" s="178"/>
      <c r="N11" s="165" t="s">
        <v>30</v>
      </c>
      <c r="Q11" s="10" t="s">
        <v>10</v>
      </c>
      <c r="R11" s="10" t="s">
        <v>11</v>
      </c>
      <c r="S11" s="10" t="s">
        <v>12</v>
      </c>
      <c r="T11" s="10" t="s">
        <v>13</v>
      </c>
      <c r="U11" s="23" t="s">
        <v>14</v>
      </c>
      <c r="V11" s="22" t="s">
        <v>15</v>
      </c>
      <c r="W11" s="22" t="s">
        <v>35</v>
      </c>
      <c r="X11" s="24" t="s">
        <v>14</v>
      </c>
      <c r="Y11" s="24" t="s">
        <v>36</v>
      </c>
      <c r="Z11" s="24" t="s">
        <v>37</v>
      </c>
    </row>
    <row r="12" spans="1:26">
      <c r="B12" s="166"/>
      <c r="C12" s="166"/>
      <c r="D12" s="166"/>
      <c r="E12" s="166"/>
      <c r="F12" s="47" t="s">
        <v>16</v>
      </c>
      <c r="G12" s="19" t="s">
        <v>17</v>
      </c>
      <c r="H12" s="166"/>
      <c r="I12" s="166"/>
      <c r="J12" s="20" t="s">
        <v>63</v>
      </c>
      <c r="K12" s="21" t="s">
        <v>87</v>
      </c>
      <c r="L12" s="20" t="s">
        <v>63</v>
      </c>
      <c r="M12" s="21" t="s">
        <v>87</v>
      </c>
      <c r="N12" s="166"/>
      <c r="Q12" s="57" t="s">
        <v>302</v>
      </c>
      <c r="R12" s="2">
        <v>0.43472222222222223</v>
      </c>
      <c r="S12" s="2">
        <v>0.4381944444444445</v>
      </c>
      <c r="T12" s="11">
        <v>5</v>
      </c>
      <c r="U12" s="11">
        <v>60</v>
      </c>
      <c r="V12" s="1">
        <f t="shared" ref="V12:V20" si="0">U12*0.25</f>
        <v>15</v>
      </c>
      <c r="W12" s="1">
        <f t="shared" ref="W12:W20" si="1">V12*T12/60</f>
        <v>1.25</v>
      </c>
      <c r="X12" s="11">
        <v>7</v>
      </c>
      <c r="Y12" s="1">
        <f t="shared" ref="Y12:Y20" si="2">X12*1.9</f>
        <v>13.299999999999999</v>
      </c>
      <c r="Z12" s="1">
        <f t="shared" ref="Z12:Z20" si="3">Y12*T12/60</f>
        <v>1.1083333333333334</v>
      </c>
    </row>
    <row r="13" spans="1:26">
      <c r="B13" s="167">
        <v>43749</v>
      </c>
      <c r="C13" s="2">
        <v>0.43402777777777773</v>
      </c>
      <c r="D13" s="3" t="s">
        <v>348</v>
      </c>
      <c r="E13" s="3"/>
      <c r="F13" s="3">
        <v>160</v>
      </c>
      <c r="G13" s="3">
        <v>68</v>
      </c>
      <c r="H13" s="3">
        <v>49</v>
      </c>
      <c r="I13" s="3"/>
      <c r="J13" s="1"/>
      <c r="K13" s="3"/>
      <c r="L13" s="3"/>
      <c r="M13" s="3"/>
      <c r="N13" s="3" t="s">
        <v>657</v>
      </c>
      <c r="Q13" s="58"/>
      <c r="R13" s="2">
        <v>0.4381944444444445</v>
      </c>
      <c r="S13" s="2">
        <v>0.4861111111111111</v>
      </c>
      <c r="T13" s="11">
        <f>29+40</f>
        <v>69</v>
      </c>
      <c r="U13" s="11">
        <v>7</v>
      </c>
      <c r="V13" s="1">
        <f t="shared" si="0"/>
        <v>1.75</v>
      </c>
      <c r="W13" s="1">
        <f t="shared" si="1"/>
        <v>2.0125000000000002</v>
      </c>
      <c r="X13" s="11">
        <v>7</v>
      </c>
      <c r="Y13" s="1">
        <f t="shared" si="2"/>
        <v>13.299999999999999</v>
      </c>
      <c r="Z13" s="1">
        <f t="shared" si="3"/>
        <v>15.294999999999998</v>
      </c>
    </row>
    <row r="14" spans="1:26">
      <c r="B14" s="168"/>
      <c r="C14" s="33">
        <v>0.43472222222222223</v>
      </c>
      <c r="D14" s="34"/>
      <c r="E14" s="34"/>
      <c r="F14" s="34"/>
      <c r="G14" s="34"/>
      <c r="H14" s="34"/>
      <c r="I14" s="34"/>
      <c r="J14" s="35" t="s">
        <v>335</v>
      </c>
      <c r="K14" s="35" t="s">
        <v>335</v>
      </c>
      <c r="L14" s="3">
        <v>5</v>
      </c>
      <c r="M14" s="3">
        <v>5</v>
      </c>
      <c r="N14" s="3"/>
      <c r="Q14" s="58"/>
      <c r="R14" s="2">
        <v>0.4861111111111111</v>
      </c>
      <c r="S14" s="2">
        <v>0.5</v>
      </c>
      <c r="T14" s="11">
        <v>20</v>
      </c>
      <c r="U14" s="11">
        <v>8</v>
      </c>
      <c r="V14" s="1">
        <f t="shared" si="0"/>
        <v>2</v>
      </c>
      <c r="W14" s="1">
        <f t="shared" si="1"/>
        <v>0.66666666666666663</v>
      </c>
      <c r="X14" s="11">
        <v>8</v>
      </c>
      <c r="Y14" s="1">
        <f t="shared" si="2"/>
        <v>15.2</v>
      </c>
      <c r="Z14" s="1">
        <f t="shared" si="3"/>
        <v>5.0666666666666664</v>
      </c>
    </row>
    <row r="15" spans="1:26">
      <c r="B15" s="168"/>
      <c r="C15" s="2">
        <v>0.4381944444444445</v>
      </c>
      <c r="D15" s="3"/>
      <c r="E15" s="3" t="s">
        <v>370</v>
      </c>
      <c r="F15" s="3">
        <v>136</v>
      </c>
      <c r="G15" s="3">
        <v>65</v>
      </c>
      <c r="H15" s="3">
        <v>52</v>
      </c>
      <c r="I15" s="3"/>
      <c r="J15" s="1">
        <v>7</v>
      </c>
      <c r="K15" s="1">
        <v>7</v>
      </c>
      <c r="L15" s="3"/>
      <c r="M15" s="3"/>
      <c r="N15" s="3"/>
      <c r="Q15" s="58"/>
      <c r="R15" s="2">
        <v>0.5</v>
      </c>
      <c r="S15" s="2">
        <v>0.52569444444444446</v>
      </c>
      <c r="T15" s="11">
        <v>37</v>
      </c>
      <c r="U15" s="11">
        <v>7</v>
      </c>
      <c r="V15" s="1">
        <f t="shared" si="0"/>
        <v>1.75</v>
      </c>
      <c r="W15" s="1">
        <f t="shared" si="1"/>
        <v>1.0791666666666666</v>
      </c>
      <c r="X15" s="11">
        <v>7</v>
      </c>
      <c r="Y15" s="1">
        <f t="shared" si="2"/>
        <v>13.299999999999999</v>
      </c>
      <c r="Z15" s="1">
        <f t="shared" si="3"/>
        <v>8.2016666666666662</v>
      </c>
    </row>
    <row r="16" spans="1:26">
      <c r="B16" s="168"/>
      <c r="C16" s="2">
        <v>0.43888888888888888</v>
      </c>
      <c r="D16" s="3" t="s">
        <v>349</v>
      </c>
      <c r="E16" s="3" t="s">
        <v>370</v>
      </c>
      <c r="F16" s="3">
        <v>138</v>
      </c>
      <c r="G16" s="3">
        <v>65</v>
      </c>
      <c r="H16" s="3">
        <v>53</v>
      </c>
      <c r="I16" s="3"/>
      <c r="J16" s="1">
        <v>7</v>
      </c>
      <c r="K16" s="1">
        <v>7</v>
      </c>
      <c r="L16" s="3"/>
      <c r="M16" s="3"/>
      <c r="N16" s="3"/>
      <c r="Q16" s="14"/>
      <c r="R16" s="2">
        <v>0.52569444444444446</v>
      </c>
      <c r="S16" s="98">
        <v>0.97569444444444453</v>
      </c>
      <c r="T16" s="11">
        <f>23+600+25</f>
        <v>648</v>
      </c>
      <c r="U16" s="11">
        <v>5</v>
      </c>
      <c r="V16" s="1">
        <f t="shared" si="0"/>
        <v>1.25</v>
      </c>
      <c r="W16" s="1">
        <f t="shared" si="1"/>
        <v>13.5</v>
      </c>
      <c r="X16" s="11">
        <v>5</v>
      </c>
      <c r="Y16" s="1">
        <f t="shared" si="2"/>
        <v>9.5</v>
      </c>
      <c r="Z16" s="1">
        <f t="shared" si="3"/>
        <v>102.6</v>
      </c>
    </row>
    <row r="17" spans="2:26">
      <c r="B17" s="168"/>
      <c r="C17" s="2">
        <v>0.45902777777777781</v>
      </c>
      <c r="D17" s="3" t="s">
        <v>350</v>
      </c>
      <c r="E17" s="3" t="s">
        <v>370</v>
      </c>
      <c r="F17" s="3">
        <v>130</v>
      </c>
      <c r="G17" s="3">
        <v>65</v>
      </c>
      <c r="H17" s="3">
        <v>48</v>
      </c>
      <c r="I17" s="3"/>
      <c r="J17" s="1">
        <v>7</v>
      </c>
      <c r="K17" s="1">
        <v>7</v>
      </c>
      <c r="L17" s="3"/>
      <c r="M17" s="3"/>
      <c r="N17" s="3"/>
      <c r="Q17" s="92" t="s">
        <v>285</v>
      </c>
      <c r="R17" s="98">
        <v>1</v>
      </c>
      <c r="S17" s="2">
        <v>0.92847222222222225</v>
      </c>
      <c r="T17" s="11">
        <f>22*60+17</f>
        <v>1337</v>
      </c>
      <c r="U17" s="11">
        <v>5</v>
      </c>
      <c r="V17" s="1">
        <f t="shared" si="0"/>
        <v>1.25</v>
      </c>
      <c r="W17" s="1">
        <f t="shared" si="1"/>
        <v>27.854166666666668</v>
      </c>
      <c r="X17" s="11">
        <v>5</v>
      </c>
      <c r="Y17" s="1">
        <f t="shared" si="2"/>
        <v>9.5</v>
      </c>
      <c r="Z17" s="1">
        <f t="shared" si="3"/>
        <v>211.69166666666666</v>
      </c>
    </row>
    <row r="18" spans="2:26">
      <c r="B18" s="168"/>
      <c r="C18" s="2">
        <v>0.47638888888888892</v>
      </c>
      <c r="D18" s="3" t="s">
        <v>351</v>
      </c>
      <c r="E18" s="3" t="s">
        <v>370</v>
      </c>
      <c r="F18" s="3">
        <v>110</v>
      </c>
      <c r="G18" s="3">
        <v>53</v>
      </c>
      <c r="H18" s="3">
        <v>45</v>
      </c>
      <c r="I18" s="3"/>
      <c r="J18" s="1">
        <v>7</v>
      </c>
      <c r="K18" s="1">
        <v>7</v>
      </c>
      <c r="L18" s="3"/>
      <c r="M18" s="3"/>
      <c r="N18" s="3"/>
      <c r="Q18" s="92" t="s">
        <v>367</v>
      </c>
      <c r="R18" s="2">
        <v>0.93055555555555547</v>
      </c>
      <c r="S18" s="2">
        <v>0.85555555555555562</v>
      </c>
      <c r="T18" s="11">
        <f>40+21*60+32</f>
        <v>1332</v>
      </c>
      <c r="U18" s="11">
        <v>5</v>
      </c>
      <c r="V18" s="1">
        <f t="shared" si="0"/>
        <v>1.25</v>
      </c>
      <c r="W18" s="1">
        <f t="shared" si="1"/>
        <v>27.75</v>
      </c>
      <c r="X18" s="11">
        <v>5</v>
      </c>
      <c r="Y18" s="1">
        <f t="shared" si="2"/>
        <v>9.5</v>
      </c>
      <c r="Z18" s="1">
        <f t="shared" si="3"/>
        <v>210.9</v>
      </c>
    </row>
    <row r="19" spans="2:26">
      <c r="B19" s="168"/>
      <c r="C19" s="2">
        <v>0.4861111111111111</v>
      </c>
      <c r="D19" s="3"/>
      <c r="E19" s="3" t="s">
        <v>370</v>
      </c>
      <c r="F19" s="3">
        <v>160</v>
      </c>
      <c r="G19" s="3">
        <v>80</v>
      </c>
      <c r="H19" s="3">
        <v>49</v>
      </c>
      <c r="I19" s="3"/>
      <c r="J19" s="85">
        <v>8</v>
      </c>
      <c r="K19" s="85">
        <v>8</v>
      </c>
      <c r="L19" s="3"/>
      <c r="M19" s="3"/>
      <c r="N19" s="3"/>
      <c r="Q19" s="92" t="s">
        <v>369</v>
      </c>
      <c r="R19" s="2">
        <v>0.97986111111111107</v>
      </c>
      <c r="S19" s="2">
        <v>0.9819444444444444</v>
      </c>
      <c r="T19" s="11">
        <v>3</v>
      </c>
      <c r="U19" s="11">
        <v>60</v>
      </c>
      <c r="V19" s="1">
        <f t="shared" si="0"/>
        <v>15</v>
      </c>
      <c r="W19" s="1">
        <f t="shared" si="1"/>
        <v>0.75</v>
      </c>
      <c r="X19" s="11">
        <v>60</v>
      </c>
      <c r="Y19" s="1">
        <f t="shared" si="2"/>
        <v>114</v>
      </c>
      <c r="Z19" s="1">
        <f t="shared" si="3"/>
        <v>5.7</v>
      </c>
    </row>
    <row r="20" spans="2:26">
      <c r="B20" s="168"/>
      <c r="C20" s="2">
        <v>0.5</v>
      </c>
      <c r="D20" s="3"/>
      <c r="E20" s="3" t="s">
        <v>370</v>
      </c>
      <c r="F20" s="3">
        <v>105</v>
      </c>
      <c r="G20" s="3">
        <v>50</v>
      </c>
      <c r="H20" s="3">
        <v>47</v>
      </c>
      <c r="I20" s="3"/>
      <c r="J20" s="85">
        <v>7</v>
      </c>
      <c r="K20" s="85">
        <v>7</v>
      </c>
      <c r="L20" s="3"/>
      <c r="M20" s="3"/>
      <c r="N20" s="3"/>
      <c r="Q20" s="92" t="s">
        <v>368</v>
      </c>
      <c r="R20" s="2">
        <v>0.9819444444444444</v>
      </c>
      <c r="S20" s="2">
        <v>0.44791666666666669</v>
      </c>
      <c r="T20" s="11">
        <f>26+10.75*60</f>
        <v>671</v>
      </c>
      <c r="U20" s="11">
        <v>5</v>
      </c>
      <c r="V20" s="1">
        <f t="shared" si="0"/>
        <v>1.25</v>
      </c>
      <c r="W20" s="1">
        <f t="shared" si="1"/>
        <v>13.979166666666666</v>
      </c>
      <c r="X20" s="11">
        <v>5</v>
      </c>
      <c r="Y20" s="1">
        <f t="shared" si="2"/>
        <v>9.5</v>
      </c>
      <c r="Z20" s="1">
        <f t="shared" si="3"/>
        <v>106.24166666666666</v>
      </c>
    </row>
    <row r="21" spans="2:26">
      <c r="B21" s="168"/>
      <c r="C21" s="2">
        <v>0.5229166666666667</v>
      </c>
      <c r="D21" s="3" t="s">
        <v>352</v>
      </c>
      <c r="E21" s="3">
        <v>0</v>
      </c>
      <c r="F21" s="3">
        <v>105</v>
      </c>
      <c r="G21" s="3">
        <v>52</v>
      </c>
      <c r="H21" s="3">
        <v>54</v>
      </c>
      <c r="I21" s="3"/>
      <c r="J21" s="1">
        <v>7</v>
      </c>
      <c r="K21" s="1">
        <v>7</v>
      </c>
      <c r="L21" s="3"/>
      <c r="M21" s="3"/>
      <c r="N21" s="3"/>
      <c r="Q21" s="10" t="s">
        <v>21</v>
      </c>
      <c r="R21" s="11"/>
      <c r="S21" s="11"/>
      <c r="T21" s="10">
        <f>SUM(T12:T20)</f>
        <v>4122</v>
      </c>
      <c r="W21" s="10">
        <f>SUM(W12:W20)</f>
        <v>88.841666666666669</v>
      </c>
      <c r="Z21" s="10">
        <f>SUM(Z12:Z20)</f>
        <v>666.80500000000006</v>
      </c>
    </row>
    <row r="22" spans="2:26">
      <c r="B22" s="168"/>
      <c r="C22" s="2">
        <v>0.52569444444444446</v>
      </c>
      <c r="D22" s="3"/>
      <c r="E22" s="3">
        <v>0</v>
      </c>
      <c r="F22" s="3">
        <v>94</v>
      </c>
      <c r="G22" s="3">
        <v>42</v>
      </c>
      <c r="H22" s="3">
        <v>54</v>
      </c>
      <c r="I22" s="3"/>
      <c r="J22" s="85">
        <v>5</v>
      </c>
      <c r="K22" s="85">
        <v>5</v>
      </c>
      <c r="L22" s="3"/>
      <c r="M22" s="3"/>
      <c r="N22" s="3"/>
    </row>
    <row r="23" spans="2:26">
      <c r="B23" s="168"/>
      <c r="C23" s="2">
        <v>0.68472222222222223</v>
      </c>
      <c r="D23" s="3" t="s">
        <v>353</v>
      </c>
      <c r="E23" s="3">
        <v>0</v>
      </c>
      <c r="F23" s="3">
        <v>140</v>
      </c>
      <c r="G23" s="3">
        <v>61</v>
      </c>
      <c r="H23" s="3">
        <v>60</v>
      </c>
      <c r="I23" s="3"/>
      <c r="J23" s="1">
        <v>5</v>
      </c>
      <c r="K23" s="1">
        <v>5</v>
      </c>
      <c r="L23" s="3"/>
      <c r="M23" s="3"/>
      <c r="N23" s="3"/>
    </row>
    <row r="24" spans="2:26">
      <c r="B24" s="168"/>
      <c r="C24" s="2">
        <v>0.96875</v>
      </c>
      <c r="D24" s="3" t="s">
        <v>354</v>
      </c>
      <c r="E24" s="3">
        <v>0</v>
      </c>
      <c r="F24" s="3">
        <v>113</v>
      </c>
      <c r="G24" s="3">
        <v>53</v>
      </c>
      <c r="H24" s="3">
        <v>76</v>
      </c>
      <c r="I24" s="3"/>
      <c r="J24" s="1">
        <v>5</v>
      </c>
      <c r="K24" s="1">
        <v>5</v>
      </c>
      <c r="L24" s="3"/>
      <c r="M24" s="3"/>
      <c r="N24" s="3"/>
    </row>
    <row r="25" spans="2:26">
      <c r="B25" s="169"/>
      <c r="C25" s="30">
        <v>0.97569444444444453</v>
      </c>
      <c r="D25" s="31"/>
      <c r="E25" s="31"/>
      <c r="F25" s="31"/>
      <c r="G25" s="31"/>
      <c r="H25" s="31"/>
      <c r="I25" s="31"/>
      <c r="J25" s="32" t="s">
        <v>20</v>
      </c>
      <c r="K25" s="32" t="s">
        <v>20</v>
      </c>
      <c r="L25" s="3"/>
      <c r="M25" s="3"/>
      <c r="N25" s="3"/>
      <c r="O25">
        <v>35</v>
      </c>
    </row>
    <row r="26" spans="2:26">
      <c r="B26" s="167">
        <v>43750</v>
      </c>
      <c r="C26" s="33">
        <v>0</v>
      </c>
      <c r="D26" s="34"/>
      <c r="E26" s="34"/>
      <c r="F26" s="34"/>
      <c r="G26" s="34"/>
      <c r="H26" s="34"/>
      <c r="I26" s="34"/>
      <c r="J26" s="35" t="s">
        <v>58</v>
      </c>
      <c r="K26" s="35" t="s">
        <v>58</v>
      </c>
      <c r="L26" s="3"/>
      <c r="M26" s="3"/>
      <c r="N26" s="3"/>
    </row>
    <row r="27" spans="2:26">
      <c r="B27" s="168"/>
      <c r="C27" s="2">
        <v>0.43333333333333335</v>
      </c>
      <c r="D27" s="3" t="s">
        <v>355</v>
      </c>
      <c r="E27" s="3">
        <v>0</v>
      </c>
      <c r="F27" s="3">
        <v>140</v>
      </c>
      <c r="G27" s="3">
        <v>67</v>
      </c>
      <c r="H27" s="3">
        <v>80</v>
      </c>
      <c r="I27" s="3"/>
      <c r="J27" s="1">
        <v>5</v>
      </c>
      <c r="K27" s="1">
        <v>5</v>
      </c>
      <c r="L27" s="3"/>
      <c r="M27" s="3"/>
      <c r="N27" s="3"/>
    </row>
    <row r="28" spans="2:26">
      <c r="B28" s="168"/>
      <c r="C28" s="30">
        <v>0.92847222222222225</v>
      </c>
      <c r="D28" s="31"/>
      <c r="E28" s="31"/>
      <c r="F28" s="31"/>
      <c r="G28" s="31"/>
      <c r="H28" s="31"/>
      <c r="I28" s="31"/>
      <c r="J28" s="32" t="s">
        <v>20</v>
      </c>
      <c r="K28" s="32" t="s">
        <v>20</v>
      </c>
      <c r="L28" s="3"/>
      <c r="M28" s="3"/>
      <c r="N28" s="3"/>
      <c r="O28">
        <v>3</v>
      </c>
    </row>
    <row r="29" spans="2:26">
      <c r="B29" s="169"/>
      <c r="C29" s="33">
        <v>0.93055555555555547</v>
      </c>
      <c r="D29" s="34"/>
      <c r="E29" s="34">
        <v>0</v>
      </c>
      <c r="F29" s="34"/>
      <c r="G29" s="34"/>
      <c r="H29" s="34"/>
      <c r="I29" s="34"/>
      <c r="J29" s="35" t="s">
        <v>58</v>
      </c>
      <c r="K29" s="35" t="s">
        <v>58</v>
      </c>
      <c r="L29" s="3"/>
      <c r="M29" s="3"/>
      <c r="N29" s="3"/>
    </row>
    <row r="30" spans="2:26">
      <c r="B30" s="167">
        <v>43751</v>
      </c>
      <c r="C30" s="2">
        <v>0.43472222222222223</v>
      </c>
      <c r="D30" s="3" t="s">
        <v>356</v>
      </c>
      <c r="E30" s="3">
        <v>0</v>
      </c>
      <c r="F30" s="3">
        <v>149</v>
      </c>
      <c r="G30" s="3">
        <v>77</v>
      </c>
      <c r="H30" s="3">
        <v>65</v>
      </c>
      <c r="I30" s="3"/>
      <c r="J30" s="1">
        <v>5</v>
      </c>
      <c r="K30" s="1">
        <v>5</v>
      </c>
      <c r="L30" s="3"/>
      <c r="M30" s="3"/>
      <c r="N30" s="3"/>
      <c r="O30">
        <v>179</v>
      </c>
    </row>
    <row r="31" spans="2:26">
      <c r="B31" s="168"/>
      <c r="C31" s="30">
        <v>0.85555555555555562</v>
      </c>
      <c r="D31" s="31"/>
      <c r="E31" s="31"/>
      <c r="F31" s="31"/>
      <c r="G31" s="31"/>
      <c r="H31" s="31"/>
      <c r="I31" s="31"/>
      <c r="J31" s="32" t="s">
        <v>20</v>
      </c>
      <c r="K31" s="32" t="s">
        <v>20</v>
      </c>
      <c r="M31" s="3"/>
      <c r="N31" s="3"/>
    </row>
    <row r="32" spans="2:26">
      <c r="B32" s="168"/>
      <c r="C32" s="33">
        <v>0.97986111111111107</v>
      </c>
      <c r="D32" s="34"/>
      <c r="E32" s="34"/>
      <c r="F32" s="34"/>
      <c r="G32" s="34"/>
      <c r="H32" s="34"/>
      <c r="I32" s="34"/>
      <c r="J32" s="35" t="s">
        <v>365</v>
      </c>
      <c r="K32" s="35" t="s">
        <v>365</v>
      </c>
      <c r="L32" s="182" t="s">
        <v>364</v>
      </c>
      <c r="M32" s="183"/>
      <c r="N32" s="3"/>
    </row>
    <row r="33" spans="2:14">
      <c r="B33" s="169"/>
      <c r="C33" s="2">
        <v>0.9819444444444444</v>
      </c>
      <c r="D33" s="3"/>
      <c r="E33" s="3"/>
      <c r="F33" s="3"/>
      <c r="G33" s="3"/>
      <c r="H33" s="3"/>
      <c r="I33" s="3"/>
      <c r="J33" s="1">
        <v>5</v>
      </c>
      <c r="K33" s="1">
        <v>5</v>
      </c>
      <c r="L33" s="3"/>
      <c r="M33" s="3"/>
      <c r="N33" s="3"/>
    </row>
    <row r="34" spans="2:14">
      <c r="B34" s="167">
        <v>43752</v>
      </c>
      <c r="C34" s="30">
        <v>0.44791666666666669</v>
      </c>
      <c r="D34" s="31"/>
      <c r="E34" s="31"/>
      <c r="F34" s="31"/>
      <c r="G34" s="31"/>
      <c r="H34" s="31"/>
      <c r="I34" s="31"/>
      <c r="J34" s="32" t="s">
        <v>20</v>
      </c>
      <c r="K34" s="31" t="s">
        <v>20</v>
      </c>
      <c r="L34" s="3"/>
      <c r="M34" s="3"/>
      <c r="N34" s="3"/>
    </row>
    <row r="35" spans="2:14">
      <c r="B35" s="168"/>
      <c r="C35" s="2">
        <v>0.46180555555555558</v>
      </c>
      <c r="D35" s="3" t="s">
        <v>357</v>
      </c>
      <c r="E35" s="3">
        <v>0</v>
      </c>
      <c r="F35" s="3">
        <v>130</v>
      </c>
      <c r="G35" s="3">
        <v>63</v>
      </c>
      <c r="H35" s="3">
        <v>69</v>
      </c>
      <c r="I35" s="3"/>
      <c r="J35" s="1"/>
      <c r="K35" s="3"/>
      <c r="L35" s="3"/>
      <c r="M35" s="3"/>
      <c r="N35" s="3"/>
    </row>
    <row r="36" spans="2:14">
      <c r="B36" s="168"/>
      <c r="C36" s="2">
        <v>0.47569444444444442</v>
      </c>
      <c r="D36" s="3" t="s">
        <v>358</v>
      </c>
      <c r="E36" s="3">
        <v>0</v>
      </c>
      <c r="F36" s="3">
        <v>134</v>
      </c>
      <c r="G36" s="3">
        <v>62</v>
      </c>
      <c r="H36" s="3">
        <v>61</v>
      </c>
      <c r="I36" s="3"/>
      <c r="J36" s="1"/>
      <c r="K36" s="3"/>
      <c r="L36" s="3"/>
      <c r="M36" s="3"/>
      <c r="N36" s="3"/>
    </row>
    <row r="37" spans="2:14">
      <c r="B37" s="168"/>
      <c r="C37" s="2">
        <v>0.4909722222222222</v>
      </c>
      <c r="D37" s="3" t="s">
        <v>359</v>
      </c>
      <c r="E37" s="3">
        <v>0</v>
      </c>
      <c r="F37" s="3">
        <v>133</v>
      </c>
      <c r="G37" s="3">
        <v>62</v>
      </c>
      <c r="H37" s="3">
        <v>66</v>
      </c>
      <c r="I37" s="3"/>
      <c r="J37" s="1"/>
      <c r="K37" s="3"/>
      <c r="L37" s="3"/>
      <c r="M37" s="3"/>
      <c r="N37" s="3"/>
    </row>
    <row r="38" spans="2:14">
      <c r="B38" s="168"/>
      <c r="C38" s="2">
        <v>0.53125</v>
      </c>
      <c r="D38" s="3" t="s">
        <v>360</v>
      </c>
      <c r="E38" s="3">
        <v>0</v>
      </c>
      <c r="F38" s="3">
        <v>147</v>
      </c>
      <c r="G38" s="3">
        <v>76</v>
      </c>
      <c r="H38" s="3">
        <v>68</v>
      </c>
      <c r="I38" s="3"/>
      <c r="J38" s="1"/>
      <c r="K38" s="3"/>
      <c r="L38" s="3"/>
      <c r="M38" s="3"/>
      <c r="N38" s="3"/>
    </row>
    <row r="39" spans="2:14">
      <c r="B39" s="168"/>
      <c r="C39" s="2">
        <v>0.68055555555555547</v>
      </c>
      <c r="D39" s="3" t="s">
        <v>361</v>
      </c>
      <c r="E39" s="3">
        <v>0</v>
      </c>
      <c r="F39" s="3">
        <v>140</v>
      </c>
      <c r="G39" s="3">
        <v>75</v>
      </c>
      <c r="H39" s="3">
        <v>65</v>
      </c>
      <c r="I39" s="3"/>
      <c r="J39" s="1"/>
      <c r="K39" s="3"/>
      <c r="L39" s="3"/>
      <c r="M39" s="3"/>
      <c r="N39" s="3"/>
    </row>
    <row r="40" spans="2:14">
      <c r="B40" s="169"/>
      <c r="C40" s="2">
        <v>0.94791666666666663</v>
      </c>
      <c r="D40" s="3" t="s">
        <v>362</v>
      </c>
      <c r="E40" s="3">
        <v>0</v>
      </c>
      <c r="F40" s="3">
        <v>137</v>
      </c>
      <c r="G40" s="3">
        <v>63</v>
      </c>
      <c r="H40" s="3">
        <v>61</v>
      </c>
      <c r="I40" s="3"/>
      <c r="J40" s="1"/>
      <c r="K40" s="3"/>
      <c r="L40" s="3"/>
      <c r="M40" s="3"/>
      <c r="N40" s="3"/>
    </row>
    <row r="41" spans="2:14">
      <c r="B41" s="91">
        <v>43755</v>
      </c>
      <c r="C41" s="2">
        <v>0.57638888888888895</v>
      </c>
      <c r="D41" s="3" t="s">
        <v>363</v>
      </c>
      <c r="E41" s="3">
        <v>0</v>
      </c>
      <c r="F41" s="3">
        <v>113</v>
      </c>
      <c r="G41" s="3">
        <v>63</v>
      </c>
      <c r="H41" s="3">
        <v>64</v>
      </c>
      <c r="I41" s="3"/>
      <c r="J41" s="1"/>
      <c r="K41" s="3"/>
      <c r="L41" s="3"/>
      <c r="M41" s="3"/>
      <c r="N41" s="3"/>
    </row>
  </sheetData>
  <mergeCells count="29">
    <mergeCell ref="B34:B40"/>
    <mergeCell ref="B30:B33"/>
    <mergeCell ref="B26:B29"/>
    <mergeCell ref="B13:B25"/>
    <mergeCell ref="L32:M32"/>
    <mergeCell ref="B11:B12"/>
    <mergeCell ref="C11:C12"/>
    <mergeCell ref="D11:D12"/>
    <mergeCell ref="H11:H12"/>
    <mergeCell ref="C2:C3"/>
    <mergeCell ref="F2:H2"/>
    <mergeCell ref="E11:E12"/>
    <mergeCell ref="F11:G11"/>
    <mergeCell ref="A1:C1"/>
    <mergeCell ref="U10:W10"/>
    <mergeCell ref="X10:Z10"/>
    <mergeCell ref="N11:N12"/>
    <mergeCell ref="J2:K2"/>
    <mergeCell ref="F3:H3"/>
    <mergeCell ref="J3:N4"/>
    <mergeCell ref="P2:Q2"/>
    <mergeCell ref="P3:Q3"/>
    <mergeCell ref="F4:G4"/>
    <mergeCell ref="I11:I12"/>
    <mergeCell ref="J11:K11"/>
    <mergeCell ref="L11:M11"/>
    <mergeCell ref="J5:K5"/>
    <mergeCell ref="J6:K6"/>
    <mergeCell ref="B2:B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A33"/>
  <sheetViews>
    <sheetView zoomScale="90" zoomScaleNormal="90" workbookViewId="0">
      <selection sqref="A1:C2"/>
    </sheetView>
  </sheetViews>
  <sheetFormatPr defaultRowHeight="14.4"/>
  <cols>
    <col min="1" max="1" width="4" customWidth="1"/>
    <col min="2" max="2" width="11.44140625" bestFit="1" customWidth="1"/>
    <col min="3" max="3" width="15.88671875" customWidth="1"/>
    <col min="4" max="5" width="9.77734375" customWidth="1"/>
    <col min="6" max="6" width="8.109375" customWidth="1"/>
    <col min="7" max="7" width="11.33203125" customWidth="1"/>
    <col min="8" max="8" width="8.21875" bestFit="1" customWidth="1"/>
    <col min="9" max="9" width="7.77734375" customWidth="1"/>
    <col min="10" max="10" width="8.5546875" customWidth="1"/>
    <col min="11" max="11" width="7.44140625" customWidth="1"/>
    <col min="12" max="12" width="6.44140625" customWidth="1"/>
    <col min="13" max="14" width="7.33203125" customWidth="1"/>
    <col min="15" max="15" width="14.21875" customWidth="1"/>
    <col min="16" max="16" width="6.5546875" customWidth="1"/>
    <col min="17" max="17" width="6.44140625" customWidth="1"/>
    <col min="19" max="19" width="10.44140625" customWidth="1"/>
    <col min="23" max="23" width="7.44140625" customWidth="1"/>
    <col min="24" max="24" width="7.88671875" customWidth="1"/>
    <col min="25" max="25" width="7.109375" customWidth="1"/>
    <col min="26" max="26" width="7.6640625" customWidth="1"/>
    <col min="27" max="27" width="7.5546875" customWidth="1"/>
    <col min="28" max="28" width="7.109375" customWidth="1"/>
  </cols>
  <sheetData>
    <row r="1" spans="1:27">
      <c r="A1" s="211" t="s">
        <v>673</v>
      </c>
      <c r="B1" s="211"/>
      <c r="C1" s="211"/>
    </row>
    <row r="2" spans="1:27">
      <c r="A2" s="211"/>
      <c r="B2" s="211"/>
      <c r="C2" s="211"/>
    </row>
    <row r="3" spans="1:27">
      <c r="B3" s="170" t="s">
        <v>0</v>
      </c>
      <c r="C3" s="172" t="s">
        <v>371</v>
      </c>
      <c r="G3" s="175" t="s">
        <v>24</v>
      </c>
      <c r="H3" s="175"/>
      <c r="I3" s="175"/>
      <c r="K3" s="161" t="s">
        <v>32</v>
      </c>
      <c r="L3" s="162"/>
      <c r="Q3" s="159" t="s">
        <v>33</v>
      </c>
      <c r="R3" s="160"/>
      <c r="S3" s="17" t="s">
        <v>129</v>
      </c>
    </row>
    <row r="4" spans="1:27">
      <c r="B4" s="171"/>
      <c r="C4" s="173"/>
      <c r="G4" s="176" t="s">
        <v>38</v>
      </c>
      <c r="H4" s="176"/>
      <c r="I4" s="176"/>
      <c r="K4" s="194" t="s">
        <v>128</v>
      </c>
      <c r="L4" s="194"/>
      <c r="M4" s="194"/>
      <c r="N4" s="194"/>
      <c r="O4" s="194"/>
      <c r="Q4" s="159" t="s">
        <v>34</v>
      </c>
      <c r="R4" s="160"/>
      <c r="S4" s="17" t="s">
        <v>130</v>
      </c>
    </row>
    <row r="5" spans="1:27" ht="21">
      <c r="B5" s="48" t="s">
        <v>23</v>
      </c>
      <c r="C5" s="49">
        <v>1013</v>
      </c>
      <c r="G5" s="174" t="s">
        <v>19</v>
      </c>
      <c r="H5" s="174"/>
      <c r="K5" s="194"/>
      <c r="L5" s="194"/>
      <c r="M5" s="194"/>
      <c r="N5" s="194"/>
      <c r="O5" s="194"/>
    </row>
    <row r="6" spans="1:27">
      <c r="B6" s="6" t="s">
        <v>1</v>
      </c>
      <c r="C6" s="7">
        <v>99</v>
      </c>
      <c r="G6" s="9" t="s">
        <v>25</v>
      </c>
      <c r="H6" s="25">
        <v>0.41319444444444442</v>
      </c>
      <c r="I6" s="43" t="s">
        <v>384</v>
      </c>
      <c r="K6" s="157" t="s">
        <v>25</v>
      </c>
      <c r="L6" s="158"/>
      <c r="M6" s="40" t="s">
        <v>385</v>
      </c>
      <c r="N6" s="25">
        <v>0.4236111111111111</v>
      </c>
    </row>
    <row r="7" spans="1:27">
      <c r="B7" s="6" t="s">
        <v>2</v>
      </c>
      <c r="C7" s="8">
        <v>180</v>
      </c>
      <c r="G7" s="9" t="s">
        <v>26</v>
      </c>
      <c r="H7" s="25">
        <v>0.5</v>
      </c>
      <c r="K7" s="157" t="s">
        <v>26</v>
      </c>
      <c r="L7" s="158"/>
      <c r="M7" s="40" t="s">
        <v>386</v>
      </c>
      <c r="N7" s="25">
        <v>6.25E-2</v>
      </c>
    </row>
    <row r="8" spans="1:27">
      <c r="B8" s="6" t="s">
        <v>3</v>
      </c>
      <c r="C8" s="8" t="s">
        <v>18</v>
      </c>
    </row>
    <row r="9" spans="1:27">
      <c r="B9" s="6" t="s">
        <v>8</v>
      </c>
      <c r="C9" s="8">
        <v>66</v>
      </c>
    </row>
    <row r="11" spans="1:27" ht="15" thickBot="1">
      <c r="V11" s="154" t="s">
        <v>63</v>
      </c>
      <c r="W11" s="155"/>
      <c r="X11" s="156"/>
      <c r="Y11" s="154" t="s">
        <v>62</v>
      </c>
      <c r="Z11" s="155"/>
      <c r="AA11" s="156"/>
    </row>
    <row r="12" spans="1:27" ht="15" customHeight="1">
      <c r="B12" s="165" t="s">
        <v>4</v>
      </c>
      <c r="C12" s="165" t="s">
        <v>5</v>
      </c>
      <c r="D12" s="165" t="s">
        <v>6</v>
      </c>
      <c r="E12" s="165" t="s">
        <v>671</v>
      </c>
      <c r="F12" s="165" t="s">
        <v>28</v>
      </c>
      <c r="G12" s="177" t="s">
        <v>7</v>
      </c>
      <c r="H12" s="178"/>
      <c r="I12" s="165" t="s">
        <v>9</v>
      </c>
      <c r="J12" s="165" t="s">
        <v>29</v>
      </c>
      <c r="K12" s="177" t="s">
        <v>27</v>
      </c>
      <c r="L12" s="178"/>
      <c r="M12" s="177" t="s">
        <v>31</v>
      </c>
      <c r="N12" s="178"/>
      <c r="O12" s="165" t="s">
        <v>30</v>
      </c>
      <c r="R12" s="10" t="s">
        <v>10</v>
      </c>
      <c r="S12" s="10" t="s">
        <v>11</v>
      </c>
      <c r="T12" s="10" t="s">
        <v>12</v>
      </c>
      <c r="U12" s="10" t="s">
        <v>13</v>
      </c>
      <c r="V12" s="23" t="s">
        <v>14</v>
      </c>
      <c r="W12" s="22" t="s">
        <v>15</v>
      </c>
      <c r="X12" s="22" t="s">
        <v>35</v>
      </c>
      <c r="Y12" s="24" t="s">
        <v>14</v>
      </c>
      <c r="Z12" s="24" t="s">
        <v>36</v>
      </c>
      <c r="AA12" s="24" t="s">
        <v>37</v>
      </c>
    </row>
    <row r="13" spans="1:27">
      <c r="B13" s="166"/>
      <c r="C13" s="166"/>
      <c r="D13" s="166"/>
      <c r="E13" s="166"/>
      <c r="F13" s="166"/>
      <c r="G13" s="47" t="s">
        <v>16</v>
      </c>
      <c r="H13" s="19" t="s">
        <v>17</v>
      </c>
      <c r="I13" s="166"/>
      <c r="J13" s="166"/>
      <c r="K13" s="20" t="s">
        <v>63</v>
      </c>
      <c r="L13" s="21" t="s">
        <v>87</v>
      </c>
      <c r="M13" s="20" t="s">
        <v>63</v>
      </c>
      <c r="N13" s="21" t="s">
        <v>87</v>
      </c>
      <c r="O13" s="166"/>
      <c r="R13" s="199"/>
      <c r="S13" s="11"/>
      <c r="T13" s="11"/>
      <c r="U13" s="11"/>
      <c r="V13" s="11"/>
      <c r="W13" s="1"/>
      <c r="X13" s="1"/>
      <c r="Y13" s="1"/>
      <c r="Z13" s="1"/>
      <c r="AA13" s="1"/>
    </row>
    <row r="14" spans="1:27">
      <c r="B14" s="167">
        <v>43763</v>
      </c>
      <c r="C14" s="2">
        <v>0.41944444444444445</v>
      </c>
      <c r="D14" s="3" t="s">
        <v>372</v>
      </c>
      <c r="E14" s="133">
        <v>11.375904326631</v>
      </c>
      <c r="F14" s="3">
        <v>0</v>
      </c>
      <c r="G14" s="3">
        <v>125</v>
      </c>
      <c r="H14" s="3">
        <v>50</v>
      </c>
      <c r="I14" s="3">
        <v>88</v>
      </c>
      <c r="J14" s="3"/>
      <c r="K14" s="1"/>
      <c r="L14" s="3"/>
      <c r="M14" s="3"/>
      <c r="N14" s="3"/>
      <c r="O14" s="3" t="s">
        <v>294</v>
      </c>
      <c r="R14" s="200"/>
      <c r="S14" s="11"/>
      <c r="T14" s="11"/>
      <c r="U14" s="11"/>
      <c r="V14" s="11"/>
      <c r="W14" s="1"/>
      <c r="X14" s="1"/>
      <c r="Y14" s="1"/>
      <c r="Z14" s="1"/>
      <c r="AA14" s="1"/>
    </row>
    <row r="15" spans="1:27">
      <c r="B15" s="168"/>
      <c r="C15" s="33">
        <v>0.4236111111111111</v>
      </c>
      <c r="D15" s="34"/>
      <c r="E15" s="34"/>
      <c r="F15" s="34"/>
      <c r="G15" s="34"/>
      <c r="H15" s="34"/>
      <c r="I15" s="34"/>
      <c r="J15" s="34"/>
      <c r="K15" s="35" t="s">
        <v>389</v>
      </c>
      <c r="L15" s="35" t="s">
        <v>389</v>
      </c>
      <c r="M15" s="3"/>
      <c r="N15" s="3"/>
      <c r="O15" s="3"/>
      <c r="R15" s="200"/>
      <c r="S15" s="11"/>
      <c r="T15" s="11"/>
      <c r="U15" s="11"/>
      <c r="V15" s="11"/>
      <c r="W15" s="1"/>
      <c r="X15" s="1"/>
      <c r="Y15" s="1"/>
      <c r="Z15" s="1"/>
      <c r="AA15" s="1"/>
    </row>
    <row r="16" spans="1:27">
      <c r="B16" s="168"/>
      <c r="C16" s="2">
        <v>0.42708333333333331</v>
      </c>
      <c r="D16" s="3" t="s">
        <v>373</v>
      </c>
      <c r="E16" s="133">
        <v>13.401918093146</v>
      </c>
      <c r="F16" s="3">
        <v>0</v>
      </c>
      <c r="G16" s="3">
        <v>155</v>
      </c>
      <c r="H16" s="3">
        <v>61</v>
      </c>
      <c r="I16" s="3">
        <v>105</v>
      </c>
      <c r="J16" s="3"/>
      <c r="K16" s="1">
        <v>8</v>
      </c>
      <c r="L16" s="1">
        <v>8</v>
      </c>
      <c r="M16" s="3"/>
      <c r="N16" s="3"/>
      <c r="O16" s="3" t="s">
        <v>296</v>
      </c>
      <c r="R16" s="200"/>
      <c r="S16" s="11"/>
      <c r="T16" s="11"/>
      <c r="U16" s="11"/>
      <c r="V16" s="11"/>
      <c r="W16" s="1"/>
      <c r="X16" s="1"/>
      <c r="Y16" s="1"/>
      <c r="Z16" s="1"/>
      <c r="AA16" s="1"/>
    </row>
    <row r="17" spans="2:27">
      <c r="B17" s="168"/>
      <c r="C17" s="2">
        <v>0.44791666666666669</v>
      </c>
      <c r="D17" s="3" t="s">
        <v>374</v>
      </c>
      <c r="E17" s="133">
        <v>15.150779183209901</v>
      </c>
      <c r="F17" s="3">
        <v>0</v>
      </c>
      <c r="G17" s="3">
        <v>140</v>
      </c>
      <c r="H17" s="3">
        <v>60</v>
      </c>
      <c r="I17" s="3">
        <v>102</v>
      </c>
      <c r="J17" s="3"/>
      <c r="K17" s="1">
        <v>8</v>
      </c>
      <c r="L17" s="1">
        <v>8</v>
      </c>
      <c r="M17" s="3"/>
      <c r="N17" s="3"/>
      <c r="O17" s="3" t="s">
        <v>387</v>
      </c>
      <c r="R17" s="200"/>
      <c r="S17" s="11"/>
      <c r="T17" s="11"/>
      <c r="U17" s="11"/>
      <c r="V17" s="11"/>
      <c r="W17" s="1"/>
      <c r="X17" s="1"/>
      <c r="Y17" s="1"/>
      <c r="Z17" s="1"/>
      <c r="AA17" s="1"/>
    </row>
    <row r="18" spans="2:27">
      <c r="B18" s="168"/>
      <c r="C18" s="2">
        <v>0.46527777777777773</v>
      </c>
      <c r="D18" s="3" t="s">
        <v>375</v>
      </c>
      <c r="E18" s="133">
        <v>11.789774625526601</v>
      </c>
      <c r="F18" s="3">
        <v>0</v>
      </c>
      <c r="G18" s="3">
        <v>126</v>
      </c>
      <c r="H18" s="3">
        <v>57</v>
      </c>
      <c r="I18" s="3">
        <v>91</v>
      </c>
      <c r="J18" s="3"/>
      <c r="K18" s="1">
        <v>8</v>
      </c>
      <c r="L18" s="1">
        <v>8</v>
      </c>
      <c r="M18" s="3"/>
      <c r="N18" s="3"/>
      <c r="O18" s="3"/>
      <c r="R18" s="200"/>
      <c r="S18" s="11"/>
      <c r="T18" s="11"/>
      <c r="U18" s="11"/>
      <c r="V18" s="11"/>
      <c r="W18" s="1"/>
      <c r="X18" s="1"/>
      <c r="Y18" s="1"/>
      <c r="Z18" s="1"/>
      <c r="AA18" s="1"/>
    </row>
    <row r="19" spans="2:27">
      <c r="B19" s="168"/>
      <c r="C19" s="2">
        <v>0.51111111111111118</v>
      </c>
      <c r="D19" s="3" t="s">
        <v>376</v>
      </c>
      <c r="E19" s="133">
        <v>12.3899703386046</v>
      </c>
      <c r="F19" s="3" t="s">
        <v>370</v>
      </c>
      <c r="G19" s="3">
        <v>160</v>
      </c>
      <c r="H19" s="3">
        <v>70</v>
      </c>
      <c r="I19" s="3">
        <v>107</v>
      </c>
      <c r="J19" s="3"/>
      <c r="K19" s="1">
        <v>8</v>
      </c>
      <c r="L19" s="1">
        <v>8</v>
      </c>
      <c r="M19" s="3"/>
      <c r="N19" s="3"/>
      <c r="O19" s="3" t="s">
        <v>388</v>
      </c>
      <c r="R19" s="200"/>
      <c r="S19" s="11"/>
      <c r="T19" s="11"/>
      <c r="U19" s="11"/>
      <c r="V19" s="11"/>
      <c r="W19" s="1"/>
      <c r="X19" s="1"/>
      <c r="Y19" s="1"/>
      <c r="Z19" s="1"/>
      <c r="AA19" s="1"/>
    </row>
    <row r="20" spans="2:27">
      <c r="B20" s="168"/>
      <c r="C20" s="2">
        <v>0.67361111111111116</v>
      </c>
      <c r="D20" s="3" t="s">
        <v>377</v>
      </c>
      <c r="E20" s="133">
        <v>16.550341795485402</v>
      </c>
      <c r="F20" s="3">
        <v>0</v>
      </c>
      <c r="G20" s="3">
        <v>154</v>
      </c>
      <c r="H20" s="3">
        <v>73</v>
      </c>
      <c r="I20" s="3">
        <v>104</v>
      </c>
      <c r="J20" s="3"/>
      <c r="K20" s="100">
        <v>6</v>
      </c>
      <c r="L20" s="100">
        <v>6</v>
      </c>
      <c r="M20" s="3"/>
      <c r="N20" s="3"/>
      <c r="O20" s="3"/>
      <c r="R20" s="200"/>
      <c r="S20" s="11"/>
      <c r="T20" s="11"/>
      <c r="U20" s="11"/>
      <c r="V20" s="11"/>
      <c r="W20" s="1"/>
      <c r="X20" s="1"/>
      <c r="Y20" s="1"/>
      <c r="Z20" s="1"/>
      <c r="AA20" s="1"/>
    </row>
    <row r="21" spans="2:27">
      <c r="B21" s="169"/>
      <c r="C21" s="2">
        <v>0.92361111111111116</v>
      </c>
      <c r="D21" s="3" t="s">
        <v>378</v>
      </c>
      <c r="E21" s="133">
        <v>29.9362192829308</v>
      </c>
      <c r="F21" s="3">
        <v>0</v>
      </c>
      <c r="G21" s="3">
        <v>115</v>
      </c>
      <c r="H21" s="3">
        <v>56</v>
      </c>
      <c r="I21" s="3">
        <v>108</v>
      </c>
      <c r="J21" s="3"/>
      <c r="K21" s="100">
        <v>5</v>
      </c>
      <c r="L21" s="100">
        <v>5</v>
      </c>
      <c r="M21" s="3"/>
      <c r="N21" s="3"/>
      <c r="O21" s="3"/>
      <c r="R21" s="197"/>
      <c r="S21" s="11"/>
      <c r="T21" s="11"/>
      <c r="U21" s="11"/>
      <c r="V21" s="11"/>
      <c r="W21" s="1"/>
      <c r="X21" s="1"/>
      <c r="Y21" s="1"/>
      <c r="Z21" s="1"/>
      <c r="AA21" s="1"/>
    </row>
    <row r="22" spans="2:27">
      <c r="B22" s="91">
        <v>43764</v>
      </c>
      <c r="C22" s="2">
        <v>0.4236111111111111</v>
      </c>
      <c r="D22" s="3" t="s">
        <v>379</v>
      </c>
      <c r="E22" s="133">
        <v>22.265920503065001</v>
      </c>
      <c r="F22" s="3">
        <v>0</v>
      </c>
      <c r="G22" s="3">
        <v>103</v>
      </c>
      <c r="H22" s="3">
        <v>63</v>
      </c>
      <c r="I22" s="3">
        <v>106</v>
      </c>
      <c r="J22" s="3"/>
      <c r="K22" s="100">
        <v>6</v>
      </c>
      <c r="L22" s="100">
        <v>6</v>
      </c>
      <c r="M22" s="3"/>
      <c r="N22" s="3"/>
      <c r="O22" s="3"/>
      <c r="R22" s="197"/>
      <c r="S22" s="11"/>
      <c r="T22" s="11"/>
      <c r="U22" s="11"/>
      <c r="V22" s="11"/>
      <c r="W22" s="1"/>
      <c r="X22" s="1"/>
      <c r="Y22" s="1"/>
      <c r="Z22" s="1"/>
      <c r="AA22" s="1"/>
    </row>
    <row r="23" spans="2:27">
      <c r="B23" s="91">
        <v>43765</v>
      </c>
      <c r="C23" s="2">
        <v>0.4236111111111111</v>
      </c>
      <c r="D23" s="3" t="s">
        <v>380</v>
      </c>
      <c r="E23" s="133">
        <v>24.2105674622814</v>
      </c>
      <c r="F23" s="3">
        <v>0</v>
      </c>
      <c r="G23" s="3">
        <v>122</v>
      </c>
      <c r="H23" s="3">
        <v>77</v>
      </c>
      <c r="I23" s="3">
        <v>108</v>
      </c>
      <c r="J23" s="3"/>
      <c r="K23" s="1">
        <v>6</v>
      </c>
      <c r="L23" s="1">
        <v>6</v>
      </c>
      <c r="M23" s="3"/>
      <c r="N23" s="3"/>
      <c r="O23" s="3"/>
      <c r="R23" s="197"/>
      <c r="S23" s="11"/>
      <c r="T23" s="11"/>
      <c r="U23" s="11"/>
      <c r="V23" s="11"/>
      <c r="W23" s="1"/>
      <c r="X23" s="1"/>
      <c r="Y23" s="1"/>
      <c r="Z23" s="1"/>
      <c r="AA23" s="1"/>
    </row>
    <row r="24" spans="2:27">
      <c r="B24" s="167">
        <v>43766</v>
      </c>
      <c r="C24" s="30">
        <v>0.59375</v>
      </c>
      <c r="D24" s="31"/>
      <c r="E24" s="31"/>
      <c r="F24" s="31"/>
      <c r="G24" s="31"/>
      <c r="H24" s="31"/>
      <c r="I24" s="31"/>
      <c r="J24" s="31"/>
      <c r="K24" s="32" t="s">
        <v>20</v>
      </c>
      <c r="L24" s="32" t="s">
        <v>20</v>
      </c>
      <c r="M24" s="3"/>
      <c r="N24" s="3"/>
      <c r="O24" s="3"/>
      <c r="R24" s="197"/>
      <c r="S24" s="11"/>
      <c r="T24" s="11"/>
      <c r="U24" s="11"/>
      <c r="V24" s="11"/>
      <c r="W24" s="1"/>
      <c r="X24" s="1"/>
      <c r="Y24" s="1"/>
      <c r="Z24" s="1"/>
      <c r="AA24" s="1"/>
    </row>
    <row r="25" spans="2:27">
      <c r="B25" s="168"/>
      <c r="C25" s="33">
        <v>0.62361111111111112</v>
      </c>
      <c r="D25" s="34"/>
      <c r="E25" s="34"/>
      <c r="F25" s="34"/>
      <c r="G25" s="34"/>
      <c r="H25" s="34"/>
      <c r="I25" s="34"/>
      <c r="J25" s="34"/>
      <c r="K25" s="35" t="s">
        <v>261</v>
      </c>
      <c r="L25" s="35" t="s">
        <v>261</v>
      </c>
      <c r="M25" s="3"/>
      <c r="N25" s="3"/>
      <c r="O25" s="3"/>
      <c r="R25" s="197"/>
      <c r="S25" s="11"/>
      <c r="T25" s="11"/>
      <c r="U25" s="11"/>
      <c r="V25" s="11"/>
      <c r="W25" s="1"/>
      <c r="X25" s="1"/>
      <c r="Y25" s="1"/>
      <c r="Z25" s="1"/>
      <c r="AA25" s="1"/>
    </row>
    <row r="26" spans="2:27">
      <c r="B26" s="169"/>
      <c r="C26" s="2">
        <v>0.91319444444444453</v>
      </c>
      <c r="D26" s="3"/>
      <c r="E26" s="3"/>
      <c r="F26" s="3"/>
      <c r="G26" s="3"/>
      <c r="H26" s="3"/>
      <c r="I26" s="3"/>
      <c r="J26" s="3"/>
      <c r="K26" s="85">
        <v>3</v>
      </c>
      <c r="L26" s="85">
        <v>3</v>
      </c>
      <c r="M26" s="3"/>
      <c r="N26" s="3"/>
      <c r="O26" s="3"/>
      <c r="R26" s="197"/>
      <c r="S26" s="11"/>
      <c r="T26" s="11"/>
      <c r="U26" s="11"/>
      <c r="V26" s="11"/>
      <c r="W26" s="1"/>
      <c r="X26" s="1"/>
      <c r="Y26" s="1"/>
      <c r="Z26" s="1"/>
      <c r="AA26" s="1"/>
    </row>
    <row r="27" spans="2:27">
      <c r="B27" s="167">
        <v>43767</v>
      </c>
      <c r="C27" s="30">
        <v>6.25E-2</v>
      </c>
      <c r="D27" s="31"/>
      <c r="E27" s="31"/>
      <c r="F27" s="31"/>
      <c r="G27" s="31"/>
      <c r="H27" s="31"/>
      <c r="I27" s="31"/>
      <c r="J27" s="31"/>
      <c r="K27" s="32" t="s">
        <v>20</v>
      </c>
      <c r="L27" s="32" t="s">
        <v>20</v>
      </c>
      <c r="M27" s="3"/>
      <c r="N27" s="3"/>
      <c r="O27" s="3"/>
      <c r="R27" s="197"/>
      <c r="S27" s="11"/>
      <c r="T27" s="11"/>
      <c r="U27" s="11"/>
      <c r="V27" s="11"/>
      <c r="W27" s="1"/>
      <c r="X27" s="1"/>
      <c r="Y27" s="1"/>
      <c r="Z27" s="1"/>
      <c r="AA27" s="1"/>
    </row>
    <row r="28" spans="2:27">
      <c r="B28" s="169"/>
      <c r="C28" s="2">
        <v>0.88888888888888884</v>
      </c>
      <c r="D28" s="3" t="s">
        <v>381</v>
      </c>
      <c r="E28" s="133">
        <v>40.863144224030599</v>
      </c>
      <c r="F28" s="3">
        <v>0</v>
      </c>
      <c r="G28" s="3">
        <v>119</v>
      </c>
      <c r="H28" s="3">
        <v>55</v>
      </c>
      <c r="I28" s="3">
        <v>115</v>
      </c>
      <c r="J28" s="3"/>
      <c r="K28" s="1"/>
      <c r="L28" s="3"/>
      <c r="M28" s="3"/>
      <c r="N28" s="3"/>
      <c r="O28" s="3"/>
      <c r="R28" s="197"/>
      <c r="S28" s="11"/>
      <c r="T28" s="11"/>
      <c r="U28" s="11"/>
      <c r="V28" s="11"/>
      <c r="W28" s="1"/>
      <c r="X28" s="1"/>
      <c r="Y28" s="1"/>
      <c r="Z28" s="1"/>
      <c r="AA28" s="1"/>
    </row>
    <row r="29" spans="2:27">
      <c r="B29" s="91">
        <v>43768</v>
      </c>
      <c r="C29" s="2">
        <v>0.36180555555555555</v>
      </c>
      <c r="D29" s="3" t="s">
        <v>382</v>
      </c>
      <c r="E29" s="133">
        <v>28.850105193258699</v>
      </c>
      <c r="F29" s="3">
        <v>0</v>
      </c>
      <c r="G29" s="3">
        <v>123</v>
      </c>
      <c r="H29" s="3">
        <v>90</v>
      </c>
      <c r="I29" s="3">
        <v>130</v>
      </c>
      <c r="J29" s="3"/>
      <c r="K29" s="1"/>
      <c r="L29" s="3"/>
      <c r="M29" s="3"/>
      <c r="N29" s="3"/>
      <c r="O29" s="3"/>
      <c r="R29" s="197"/>
      <c r="S29" s="11"/>
      <c r="T29" s="11"/>
      <c r="U29" s="11"/>
      <c r="V29" s="11"/>
      <c r="W29" s="1"/>
      <c r="X29" s="1"/>
      <c r="Y29" s="1"/>
      <c r="Z29" s="1"/>
      <c r="AA29" s="1"/>
    </row>
    <row r="30" spans="2:27">
      <c r="B30" s="99">
        <v>43770</v>
      </c>
      <c r="C30" s="2">
        <v>5.2777777777777778E-2</v>
      </c>
      <c r="D30" s="3" t="s">
        <v>383</v>
      </c>
      <c r="E30" s="136">
        <v>28.332111251924601</v>
      </c>
      <c r="F30" s="3">
        <v>0</v>
      </c>
      <c r="G30" s="3">
        <v>143</v>
      </c>
      <c r="H30" s="3">
        <v>99</v>
      </c>
      <c r="I30" s="3">
        <v>132</v>
      </c>
      <c r="J30" s="3"/>
      <c r="K30" s="1"/>
      <c r="L30" s="3"/>
      <c r="M30" s="3"/>
      <c r="N30" s="3"/>
      <c r="O30" s="3"/>
      <c r="R30" s="14"/>
      <c r="S30" s="11"/>
      <c r="T30" s="11"/>
      <c r="U30" s="11"/>
      <c r="V30" s="11"/>
      <c r="W30" s="1"/>
      <c r="X30" s="1"/>
      <c r="Y30" s="1"/>
      <c r="Z30" s="1"/>
      <c r="AA30" s="1"/>
    </row>
    <row r="31" spans="2:27">
      <c r="R31" s="10" t="s">
        <v>21</v>
      </c>
      <c r="S31" s="11"/>
      <c r="T31" s="11"/>
      <c r="U31" s="10">
        <f>SUM(U13:U30)</f>
        <v>0</v>
      </c>
      <c r="X31" s="10">
        <f>SUM(X13:X30)</f>
        <v>0</v>
      </c>
      <c r="AA31" s="10">
        <f>SUM(AA13:AA30)</f>
        <v>0</v>
      </c>
    </row>
    <row r="33" spans="11:11">
      <c r="K33" s="59" t="s">
        <v>390</v>
      </c>
    </row>
  </sheetData>
  <mergeCells count="30">
    <mergeCell ref="G4:I4"/>
    <mergeCell ref="K4:O5"/>
    <mergeCell ref="Q3:R3"/>
    <mergeCell ref="Q4:R4"/>
    <mergeCell ref="V11:X11"/>
    <mergeCell ref="Y11:AA11"/>
    <mergeCell ref="B14:B21"/>
    <mergeCell ref="B24:B26"/>
    <mergeCell ref="B27:B28"/>
    <mergeCell ref="R21:R29"/>
    <mergeCell ref="B12:B13"/>
    <mergeCell ref="C12:C13"/>
    <mergeCell ref="D12:D13"/>
    <mergeCell ref="I12:I13"/>
    <mergeCell ref="A1:C2"/>
    <mergeCell ref="E12:E13"/>
    <mergeCell ref="O12:O13"/>
    <mergeCell ref="R13:R20"/>
    <mergeCell ref="F12:F13"/>
    <mergeCell ref="G12:H12"/>
    <mergeCell ref="J12:J13"/>
    <mergeCell ref="K12:L12"/>
    <mergeCell ref="M12:N12"/>
    <mergeCell ref="G5:H5"/>
    <mergeCell ref="K6:L6"/>
    <mergeCell ref="K7:L7"/>
    <mergeCell ref="B3:B4"/>
    <mergeCell ref="C3:C4"/>
    <mergeCell ref="G3:I3"/>
    <mergeCell ref="K3:L3"/>
  </mergeCell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AA31"/>
  <sheetViews>
    <sheetView zoomScale="90" zoomScaleNormal="90" workbookViewId="0">
      <selection activeCell="S45" sqref="S45"/>
    </sheetView>
  </sheetViews>
  <sheetFormatPr defaultRowHeight="14.4"/>
  <cols>
    <col min="1" max="1" width="4" customWidth="1"/>
    <col min="2" max="2" width="11.44140625" bestFit="1" customWidth="1"/>
    <col min="3" max="3" width="16.21875" customWidth="1"/>
    <col min="4" max="5" width="9.77734375" customWidth="1"/>
    <col min="6" max="6" width="8.109375" customWidth="1"/>
    <col min="7" max="7" width="11.33203125" customWidth="1"/>
    <col min="8" max="8" width="8.21875" bestFit="1" customWidth="1"/>
    <col min="9" max="9" width="7.77734375" customWidth="1"/>
    <col min="10" max="10" width="8.5546875" customWidth="1"/>
    <col min="11" max="11" width="7.44140625" customWidth="1"/>
    <col min="12" max="12" width="6.44140625" customWidth="1"/>
    <col min="13" max="14" width="7.33203125" customWidth="1"/>
    <col min="15" max="15" width="14.21875" customWidth="1"/>
    <col min="16" max="16" width="6.5546875" customWidth="1"/>
    <col min="17" max="17" width="6.44140625" customWidth="1"/>
    <col min="18" max="18" width="10" customWidth="1"/>
    <col min="19" max="19" width="10.44140625" customWidth="1"/>
    <col min="23" max="23" width="7.44140625" customWidth="1"/>
    <col min="24" max="24" width="7.88671875" customWidth="1"/>
    <col min="25" max="25" width="7.109375" customWidth="1"/>
    <col min="26" max="26" width="7.6640625" customWidth="1"/>
    <col min="27" max="27" width="7.5546875" customWidth="1"/>
    <col min="28" max="28" width="7.109375" customWidth="1"/>
  </cols>
  <sheetData>
    <row r="2" spans="2:27">
      <c r="B2" s="170" t="s">
        <v>0</v>
      </c>
      <c r="C2" s="172" t="s">
        <v>391</v>
      </c>
      <c r="G2" s="175" t="s">
        <v>24</v>
      </c>
      <c r="H2" s="175"/>
      <c r="I2" s="175"/>
      <c r="K2" s="161" t="s">
        <v>32</v>
      </c>
      <c r="L2" s="162"/>
      <c r="Q2" s="159" t="s">
        <v>33</v>
      </c>
      <c r="R2" s="160"/>
      <c r="S2" s="17" t="s">
        <v>129</v>
      </c>
    </row>
    <row r="3" spans="2:27">
      <c r="B3" s="171"/>
      <c r="C3" s="173"/>
      <c r="G3" s="176" t="s">
        <v>38</v>
      </c>
      <c r="H3" s="176"/>
      <c r="I3" s="176"/>
      <c r="K3" s="194" t="s">
        <v>128</v>
      </c>
      <c r="L3" s="194"/>
      <c r="M3" s="194"/>
      <c r="N3" s="194"/>
      <c r="O3" s="194"/>
      <c r="Q3" s="159" t="s">
        <v>34</v>
      </c>
      <c r="R3" s="160"/>
      <c r="S3" s="17" t="s">
        <v>130</v>
      </c>
    </row>
    <row r="4" spans="2:27" ht="21">
      <c r="B4" s="48" t="s">
        <v>23</v>
      </c>
      <c r="C4" s="49">
        <v>1014</v>
      </c>
      <c r="G4" s="174" t="s">
        <v>19</v>
      </c>
      <c r="H4" s="174"/>
      <c r="K4" s="194"/>
      <c r="L4" s="194"/>
      <c r="M4" s="194"/>
      <c r="N4" s="194"/>
      <c r="O4" s="194"/>
    </row>
    <row r="5" spans="2:27">
      <c r="B5" s="6" t="s">
        <v>1</v>
      </c>
      <c r="C5" s="7">
        <v>56</v>
      </c>
      <c r="G5" s="9" t="s">
        <v>25</v>
      </c>
      <c r="H5" s="25">
        <v>0.46875</v>
      </c>
      <c r="I5" t="s">
        <v>407</v>
      </c>
      <c r="K5" s="157" t="s">
        <v>25</v>
      </c>
      <c r="L5" s="158"/>
      <c r="M5" s="25">
        <v>0.47222222222222227</v>
      </c>
      <c r="N5" s="40" t="s">
        <v>407</v>
      </c>
      <c r="O5">
        <f>40+48*60+12</f>
        <v>2932</v>
      </c>
    </row>
    <row r="6" spans="2:27">
      <c r="B6" s="6" t="s">
        <v>2</v>
      </c>
      <c r="C6" s="8">
        <v>162</v>
      </c>
      <c r="G6" s="9" t="s">
        <v>26</v>
      </c>
      <c r="H6" s="25">
        <v>0.53819444444444442</v>
      </c>
      <c r="K6" s="157" t="s">
        <v>26</v>
      </c>
      <c r="L6" s="158"/>
      <c r="M6" s="25">
        <v>0.5083333333333333</v>
      </c>
      <c r="N6" s="40" t="s">
        <v>408</v>
      </c>
    </row>
    <row r="7" spans="2:27">
      <c r="B7" s="6" t="s">
        <v>3</v>
      </c>
      <c r="C7" s="8" t="s">
        <v>102</v>
      </c>
    </row>
    <row r="8" spans="2:27">
      <c r="B8" s="6" t="s">
        <v>8</v>
      </c>
      <c r="C8" s="8">
        <v>41</v>
      </c>
    </row>
    <row r="10" spans="2:27" ht="15" thickBot="1">
      <c r="V10" s="154" t="s">
        <v>63</v>
      </c>
      <c r="W10" s="155"/>
      <c r="X10" s="156"/>
      <c r="Y10" s="154" t="s">
        <v>62</v>
      </c>
      <c r="Z10" s="155"/>
      <c r="AA10" s="156"/>
    </row>
    <row r="11" spans="2:27" ht="15" customHeight="1">
      <c r="B11" s="165" t="s">
        <v>4</v>
      </c>
      <c r="C11" s="165" t="s">
        <v>5</v>
      </c>
      <c r="D11" s="165" t="s">
        <v>6</v>
      </c>
      <c r="E11" s="165" t="s">
        <v>671</v>
      </c>
      <c r="F11" s="165" t="s">
        <v>28</v>
      </c>
      <c r="G11" s="177" t="s">
        <v>7</v>
      </c>
      <c r="H11" s="178"/>
      <c r="I11" s="165" t="s">
        <v>9</v>
      </c>
      <c r="J11" s="165" t="s">
        <v>29</v>
      </c>
      <c r="K11" s="177" t="s">
        <v>27</v>
      </c>
      <c r="L11" s="178"/>
      <c r="M11" s="177" t="s">
        <v>31</v>
      </c>
      <c r="N11" s="178"/>
      <c r="O11" s="165" t="s">
        <v>30</v>
      </c>
      <c r="R11" s="10" t="s">
        <v>10</v>
      </c>
      <c r="S11" s="10" t="s">
        <v>11</v>
      </c>
      <c r="T11" s="10" t="s">
        <v>12</v>
      </c>
      <c r="U11" s="10" t="s">
        <v>13</v>
      </c>
      <c r="V11" s="23" t="s">
        <v>14</v>
      </c>
      <c r="W11" s="22" t="s">
        <v>15</v>
      </c>
      <c r="X11" s="22" t="s">
        <v>35</v>
      </c>
      <c r="Y11" s="24" t="s">
        <v>14</v>
      </c>
      <c r="Z11" s="24" t="s">
        <v>36</v>
      </c>
      <c r="AA11" s="24" t="s">
        <v>37</v>
      </c>
    </row>
    <row r="12" spans="2:27">
      <c r="B12" s="166"/>
      <c r="C12" s="166"/>
      <c r="D12" s="166"/>
      <c r="E12" s="166"/>
      <c r="F12" s="166"/>
      <c r="G12" s="47" t="s">
        <v>16</v>
      </c>
      <c r="H12" s="19" t="s">
        <v>17</v>
      </c>
      <c r="I12" s="166"/>
      <c r="J12" s="166"/>
      <c r="K12" s="20" t="s">
        <v>63</v>
      </c>
      <c r="L12" s="21" t="s">
        <v>87</v>
      </c>
      <c r="M12" s="20" t="s">
        <v>63</v>
      </c>
      <c r="N12" s="21" t="s">
        <v>87</v>
      </c>
      <c r="O12" s="166"/>
      <c r="R12" s="92" t="s">
        <v>407</v>
      </c>
      <c r="S12" s="2">
        <v>0.47222222222222227</v>
      </c>
      <c r="T12" s="2">
        <v>0.47361111111111115</v>
      </c>
      <c r="U12" s="11">
        <v>2</v>
      </c>
      <c r="V12" s="11">
        <v>120</v>
      </c>
      <c r="W12" s="1">
        <f>V12*0.25</f>
        <v>30</v>
      </c>
      <c r="X12" s="1">
        <f>W12*U12/60</f>
        <v>1</v>
      </c>
      <c r="Y12" s="11">
        <v>120</v>
      </c>
      <c r="Z12" s="1">
        <f>Y12*1.9</f>
        <v>228</v>
      </c>
      <c r="AA12" s="1">
        <f>Z12*U12/60</f>
        <v>7.6</v>
      </c>
    </row>
    <row r="13" spans="2:27">
      <c r="B13" s="167">
        <v>43766</v>
      </c>
      <c r="C13" s="2">
        <v>0.46666666666666662</v>
      </c>
      <c r="D13" s="3" t="s">
        <v>392</v>
      </c>
      <c r="E13" s="127">
        <v>0</v>
      </c>
      <c r="F13" s="3"/>
      <c r="G13" s="3">
        <v>95</v>
      </c>
      <c r="H13" s="3">
        <v>61</v>
      </c>
      <c r="I13" s="3">
        <v>77</v>
      </c>
      <c r="J13" s="3"/>
      <c r="K13" s="1"/>
      <c r="L13" s="3"/>
      <c r="M13" s="3"/>
      <c r="N13" s="3"/>
      <c r="O13" s="3"/>
      <c r="R13" s="92" t="s">
        <v>412</v>
      </c>
      <c r="S13" s="2">
        <v>0.47361111111111115</v>
      </c>
      <c r="T13" s="2">
        <v>0.5083333333333333</v>
      </c>
      <c r="U13" s="11">
        <f>38+48*60+12</f>
        <v>2930</v>
      </c>
      <c r="V13" s="11">
        <v>5</v>
      </c>
      <c r="W13" s="1">
        <f>V13*0.25</f>
        <v>1.25</v>
      </c>
      <c r="X13" s="1">
        <f>W13*U13/60</f>
        <v>61.041666666666664</v>
      </c>
      <c r="Y13" s="11">
        <v>5</v>
      </c>
      <c r="Z13" s="1">
        <f>Y13*1.9</f>
        <v>9.5</v>
      </c>
      <c r="AA13" s="1">
        <f>Z13*U13/60</f>
        <v>463.91666666666669</v>
      </c>
    </row>
    <row r="14" spans="2:27">
      <c r="B14" s="168"/>
      <c r="C14" s="33">
        <v>0.47222222222222227</v>
      </c>
      <c r="D14" s="34"/>
      <c r="E14" s="34"/>
      <c r="F14" s="34"/>
      <c r="G14" s="34">
        <v>88</v>
      </c>
      <c r="H14" s="34">
        <v>45</v>
      </c>
      <c r="I14" s="34"/>
      <c r="J14" s="34"/>
      <c r="K14" s="35" t="s">
        <v>409</v>
      </c>
      <c r="L14" s="35" t="s">
        <v>409</v>
      </c>
      <c r="M14" s="182" t="s">
        <v>410</v>
      </c>
      <c r="N14" s="183"/>
      <c r="O14" s="3"/>
      <c r="R14" s="10" t="s">
        <v>21</v>
      </c>
      <c r="S14" s="11"/>
      <c r="T14" s="11"/>
      <c r="U14" s="10">
        <f>SUM(U12:U13)</f>
        <v>2932</v>
      </c>
      <c r="X14" s="10">
        <f>SUM(X12:X13)</f>
        <v>62.041666666666664</v>
      </c>
      <c r="AA14" s="10">
        <f>SUM(AA12:AA13)</f>
        <v>471.51666666666671</v>
      </c>
    </row>
    <row r="15" spans="2:27">
      <c r="B15" s="168"/>
      <c r="C15" s="153">
        <v>0.47361111111111115</v>
      </c>
      <c r="D15" s="3"/>
      <c r="E15" s="3"/>
      <c r="F15" s="3"/>
      <c r="G15" s="3">
        <v>85</v>
      </c>
      <c r="H15" s="3">
        <v>45</v>
      </c>
      <c r="I15" s="3"/>
      <c r="J15" s="3"/>
      <c r="K15" s="1">
        <v>5</v>
      </c>
      <c r="L15" s="1">
        <v>5</v>
      </c>
      <c r="M15" s="3"/>
      <c r="N15" s="3"/>
      <c r="O15" s="3"/>
      <c r="U15">
        <f>U14/60</f>
        <v>48.866666666666667</v>
      </c>
    </row>
    <row r="16" spans="2:27">
      <c r="B16" s="168"/>
      <c r="C16" s="2">
        <v>0.4777777777777778</v>
      </c>
      <c r="D16" s="3" t="s">
        <v>393</v>
      </c>
      <c r="E16" s="127">
        <v>0.27799060679850301</v>
      </c>
      <c r="F16" s="3" t="s">
        <v>370</v>
      </c>
      <c r="G16" s="3">
        <v>83</v>
      </c>
      <c r="H16" s="3">
        <v>45</v>
      </c>
      <c r="I16" s="3">
        <v>90</v>
      </c>
      <c r="J16" s="3"/>
      <c r="K16" s="1">
        <v>5</v>
      </c>
      <c r="L16" s="1">
        <v>5</v>
      </c>
      <c r="M16" s="3"/>
      <c r="N16" s="3"/>
      <c r="O16" s="3"/>
    </row>
    <row r="17" spans="2:15">
      <c r="B17" s="168"/>
      <c r="C17" s="2">
        <v>0.49444444444444446</v>
      </c>
      <c r="D17" s="3" t="s">
        <v>394</v>
      </c>
      <c r="E17" s="127">
        <v>0.23563007982331199</v>
      </c>
      <c r="F17" s="3" t="s">
        <v>370</v>
      </c>
      <c r="G17" s="3">
        <v>81</v>
      </c>
      <c r="H17" s="3">
        <v>43</v>
      </c>
      <c r="I17" s="3">
        <v>81</v>
      </c>
      <c r="J17" s="3"/>
      <c r="K17" s="1">
        <v>5</v>
      </c>
      <c r="L17" s="1">
        <v>5</v>
      </c>
      <c r="M17" s="3"/>
      <c r="N17" s="3"/>
      <c r="O17" s="3" t="s">
        <v>411</v>
      </c>
    </row>
    <row r="18" spans="2:15">
      <c r="B18" s="168"/>
      <c r="C18" s="2">
        <v>0.52777777777777779</v>
      </c>
      <c r="D18" s="3" t="s">
        <v>395</v>
      </c>
      <c r="E18" s="127">
        <v>0.414207609650453</v>
      </c>
      <c r="F18" s="3" t="s">
        <v>370</v>
      </c>
      <c r="G18" s="3">
        <v>99</v>
      </c>
      <c r="H18" s="3">
        <v>72</v>
      </c>
      <c r="I18" s="3">
        <v>72</v>
      </c>
      <c r="J18" s="3"/>
      <c r="K18" s="1">
        <v>5</v>
      </c>
      <c r="L18" s="1">
        <v>5</v>
      </c>
      <c r="M18" s="3"/>
      <c r="N18" s="3"/>
      <c r="O18" s="3"/>
    </row>
    <row r="19" spans="2:15">
      <c r="B19" s="168"/>
      <c r="C19" s="2">
        <v>0.58680555555555558</v>
      </c>
      <c r="D19" s="3" t="s">
        <v>396</v>
      </c>
      <c r="E19" s="127">
        <v>3.0323545726305099</v>
      </c>
      <c r="F19" s="3">
        <v>0</v>
      </c>
      <c r="G19" s="3">
        <v>119</v>
      </c>
      <c r="H19" s="3">
        <v>69</v>
      </c>
      <c r="I19" s="3">
        <v>74</v>
      </c>
      <c r="J19" s="3"/>
      <c r="K19" s="1">
        <v>5</v>
      </c>
      <c r="L19" s="1">
        <v>5</v>
      </c>
      <c r="M19" s="3"/>
      <c r="N19" s="3"/>
      <c r="O19" s="3"/>
    </row>
    <row r="20" spans="2:15">
      <c r="B20" s="168"/>
      <c r="C20" s="2">
        <v>0.72569444444444453</v>
      </c>
      <c r="D20" s="3"/>
      <c r="E20" s="3"/>
      <c r="F20" s="3"/>
      <c r="G20" s="3">
        <v>106</v>
      </c>
      <c r="H20" s="3">
        <v>64</v>
      </c>
      <c r="I20" s="3">
        <v>91</v>
      </c>
      <c r="J20" s="3"/>
      <c r="K20" s="1">
        <v>5</v>
      </c>
      <c r="L20" s="1">
        <v>5</v>
      </c>
      <c r="M20" s="3"/>
      <c r="N20" s="3"/>
      <c r="O20" s="3"/>
    </row>
    <row r="21" spans="2:15">
      <c r="B21" s="169"/>
      <c r="C21" s="2">
        <v>0.97361111111111109</v>
      </c>
      <c r="D21" s="3"/>
      <c r="E21" s="3"/>
      <c r="F21" s="3"/>
      <c r="G21" s="3">
        <v>102</v>
      </c>
      <c r="H21" s="3">
        <v>60</v>
      </c>
      <c r="I21" s="3">
        <v>75</v>
      </c>
      <c r="J21" s="3"/>
      <c r="K21" s="1">
        <v>5</v>
      </c>
      <c r="L21" s="1">
        <v>5</v>
      </c>
      <c r="M21" s="3"/>
      <c r="N21" s="3"/>
      <c r="O21" s="3"/>
    </row>
    <row r="22" spans="2:15">
      <c r="B22" s="91">
        <v>43767</v>
      </c>
      <c r="C22" s="2">
        <v>0.86249999999999993</v>
      </c>
      <c r="D22" s="3" t="s">
        <v>397</v>
      </c>
      <c r="E22" s="127">
        <v>1.10807104728351</v>
      </c>
      <c r="F22" s="3">
        <v>0</v>
      </c>
      <c r="G22" s="3">
        <v>103</v>
      </c>
      <c r="H22" s="3">
        <v>66</v>
      </c>
      <c r="I22" s="3">
        <v>95</v>
      </c>
      <c r="J22" s="3"/>
      <c r="K22" s="1">
        <v>5</v>
      </c>
      <c r="L22" s="1">
        <v>5</v>
      </c>
      <c r="M22" s="3"/>
      <c r="N22" s="3"/>
      <c r="O22" s="3"/>
    </row>
    <row r="23" spans="2:15">
      <c r="B23" s="167">
        <v>43768</v>
      </c>
      <c r="C23" s="2">
        <v>0.36041666666666666</v>
      </c>
      <c r="D23" s="3" t="s">
        <v>398</v>
      </c>
      <c r="E23" s="127">
        <v>5.7417544469058397</v>
      </c>
      <c r="F23" s="3">
        <v>0</v>
      </c>
      <c r="G23" s="3">
        <v>109</v>
      </c>
      <c r="H23" s="3">
        <v>66</v>
      </c>
      <c r="I23" s="3">
        <v>94</v>
      </c>
      <c r="J23" s="3"/>
      <c r="K23" s="1">
        <v>5</v>
      </c>
      <c r="L23" s="1">
        <v>5</v>
      </c>
      <c r="M23" s="3"/>
      <c r="N23" s="3"/>
      <c r="O23" s="3"/>
    </row>
    <row r="24" spans="2:15">
      <c r="B24" s="168"/>
      <c r="C24" s="30">
        <v>0.5083333333333333</v>
      </c>
      <c r="D24" s="31" t="s">
        <v>399</v>
      </c>
      <c r="E24" s="127">
        <v>5.9261578225171698</v>
      </c>
      <c r="F24" s="31">
        <v>0</v>
      </c>
      <c r="G24" s="31">
        <v>111</v>
      </c>
      <c r="H24" s="31">
        <v>67</v>
      </c>
      <c r="I24" s="31">
        <v>92</v>
      </c>
      <c r="J24" s="31"/>
      <c r="K24" s="32" t="s">
        <v>20</v>
      </c>
      <c r="L24" s="32" t="s">
        <v>20</v>
      </c>
      <c r="M24" s="3"/>
      <c r="N24" s="3"/>
      <c r="O24" s="3"/>
    </row>
    <row r="25" spans="2:15">
      <c r="B25" s="168"/>
      <c r="C25" s="2">
        <v>0.51041666666666663</v>
      </c>
      <c r="D25" s="3" t="s">
        <v>400</v>
      </c>
      <c r="E25" s="127">
        <v>5.6556559150477304</v>
      </c>
      <c r="F25" s="3">
        <v>0</v>
      </c>
      <c r="G25" s="3">
        <v>107</v>
      </c>
      <c r="H25" s="3">
        <v>68</v>
      </c>
      <c r="I25" s="3">
        <v>98</v>
      </c>
      <c r="J25" s="3"/>
      <c r="K25" s="1"/>
      <c r="L25" s="3"/>
      <c r="M25" s="3"/>
      <c r="N25" s="3"/>
      <c r="O25" s="3"/>
    </row>
    <row r="26" spans="2:15">
      <c r="B26" s="168"/>
      <c r="C26" s="2">
        <v>0.51180555555555551</v>
      </c>
      <c r="D26" s="3" t="s">
        <v>401</v>
      </c>
      <c r="E26" s="127">
        <v>5.6692368946962102</v>
      </c>
      <c r="F26" s="3">
        <v>0</v>
      </c>
      <c r="G26" s="3">
        <v>104</v>
      </c>
      <c r="H26" s="3">
        <v>67</v>
      </c>
      <c r="I26" s="3">
        <v>84</v>
      </c>
      <c r="J26" s="3"/>
      <c r="K26" s="1"/>
      <c r="L26" s="3"/>
      <c r="M26" s="3"/>
      <c r="N26" s="3"/>
      <c r="O26" s="3"/>
    </row>
    <row r="27" spans="2:15">
      <c r="B27" s="168"/>
      <c r="C27" s="2">
        <v>0.53125</v>
      </c>
      <c r="D27" s="3" t="s">
        <v>402</v>
      </c>
      <c r="E27" s="127">
        <v>9.4535445362648094</v>
      </c>
      <c r="F27" s="3">
        <v>0</v>
      </c>
      <c r="G27" s="3">
        <v>108</v>
      </c>
      <c r="H27" s="3">
        <v>60</v>
      </c>
      <c r="I27" s="3">
        <v>80</v>
      </c>
      <c r="J27" s="3"/>
      <c r="K27" s="1"/>
      <c r="L27" s="3"/>
      <c r="M27" s="3"/>
      <c r="N27" s="3"/>
      <c r="O27" s="3"/>
    </row>
    <row r="28" spans="2:15">
      <c r="B28" s="169"/>
      <c r="C28" s="2">
        <v>0.56388888888888888</v>
      </c>
      <c r="D28" s="3" t="s">
        <v>403</v>
      </c>
      <c r="E28" s="127">
        <v>6.1648208426392701</v>
      </c>
      <c r="F28" s="3">
        <v>0</v>
      </c>
      <c r="G28" s="3">
        <v>110</v>
      </c>
      <c r="H28" s="3">
        <v>70</v>
      </c>
      <c r="I28" s="3">
        <v>80</v>
      </c>
      <c r="J28" s="3"/>
      <c r="K28" s="1"/>
      <c r="L28" s="3"/>
      <c r="M28" s="3"/>
      <c r="N28" s="3"/>
      <c r="O28" s="3"/>
    </row>
    <row r="29" spans="2:15">
      <c r="B29" s="167">
        <v>43769</v>
      </c>
      <c r="C29" s="2">
        <v>0.60416666666666663</v>
      </c>
      <c r="D29" s="3" t="s">
        <v>404</v>
      </c>
      <c r="E29" s="127">
        <v>1.23112782393012</v>
      </c>
      <c r="F29" s="3">
        <v>0</v>
      </c>
      <c r="G29" s="3">
        <v>112</v>
      </c>
      <c r="H29" s="3">
        <v>74</v>
      </c>
      <c r="I29" s="3">
        <v>79</v>
      </c>
      <c r="J29" s="3"/>
      <c r="K29" s="1"/>
      <c r="L29" s="3"/>
      <c r="M29" s="3"/>
      <c r="N29" s="3"/>
      <c r="O29" s="3"/>
    </row>
    <row r="30" spans="2:15">
      <c r="B30" s="169"/>
      <c r="C30" s="2">
        <v>0.78819444444444453</v>
      </c>
      <c r="D30" s="3" t="s">
        <v>405</v>
      </c>
      <c r="E30" s="127">
        <v>1.5093925446354499</v>
      </c>
      <c r="F30" s="3">
        <v>0</v>
      </c>
      <c r="G30" s="3">
        <v>105</v>
      </c>
      <c r="H30" s="3">
        <v>72</v>
      </c>
      <c r="I30" s="3">
        <v>78</v>
      </c>
      <c r="J30" s="3"/>
      <c r="K30" s="1"/>
      <c r="L30" s="3"/>
      <c r="M30" s="3"/>
      <c r="N30" s="3"/>
      <c r="O30" s="3"/>
    </row>
    <row r="31" spans="2:15">
      <c r="B31" s="91">
        <v>43771</v>
      </c>
      <c r="C31" s="2">
        <v>0.49791666666666662</v>
      </c>
      <c r="D31" s="3" t="s">
        <v>406</v>
      </c>
      <c r="E31" s="127">
        <v>0.18369285608114799</v>
      </c>
      <c r="F31" s="3">
        <v>0</v>
      </c>
      <c r="G31" s="3">
        <v>110</v>
      </c>
      <c r="H31" s="3">
        <v>72</v>
      </c>
      <c r="I31" s="3">
        <v>120</v>
      </c>
      <c r="J31" s="3"/>
      <c r="K31" s="1"/>
      <c r="L31" s="3"/>
      <c r="M31" s="3"/>
      <c r="N31" s="3"/>
      <c r="O31" s="3"/>
    </row>
  </sheetData>
  <mergeCells count="28">
    <mergeCell ref="J11:J12"/>
    <mergeCell ref="B23:B28"/>
    <mergeCell ref="B29:B30"/>
    <mergeCell ref="B2:B3"/>
    <mergeCell ref="B11:B12"/>
    <mergeCell ref="C2:C3"/>
    <mergeCell ref="B13:B21"/>
    <mergeCell ref="C11:C12"/>
    <mergeCell ref="D11:D12"/>
    <mergeCell ref="I11:I12"/>
    <mergeCell ref="G2:I2"/>
    <mergeCell ref="F11:F12"/>
    <mergeCell ref="G11:H11"/>
    <mergeCell ref="E11:E12"/>
    <mergeCell ref="K2:L2"/>
    <mergeCell ref="G3:I3"/>
    <mergeCell ref="K3:O4"/>
    <mergeCell ref="Q2:R2"/>
    <mergeCell ref="Q3:R3"/>
    <mergeCell ref="G4:H4"/>
    <mergeCell ref="M14:N14"/>
    <mergeCell ref="K5:L5"/>
    <mergeCell ref="K6:L6"/>
    <mergeCell ref="V10:X10"/>
    <mergeCell ref="Y10:AA10"/>
    <mergeCell ref="O11:O12"/>
    <mergeCell ref="K11:L11"/>
    <mergeCell ref="M11:N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AA36"/>
  <sheetViews>
    <sheetView zoomScale="90" zoomScaleNormal="90" workbookViewId="0">
      <selection activeCell="AA24" sqref="AA24"/>
    </sheetView>
  </sheetViews>
  <sheetFormatPr defaultRowHeight="14.4"/>
  <cols>
    <col min="1" max="1" width="4" customWidth="1"/>
    <col min="2" max="2" width="11.44140625" bestFit="1" customWidth="1"/>
    <col min="3" max="3" width="16.21875" customWidth="1"/>
    <col min="4" max="5" width="9.77734375" customWidth="1"/>
    <col min="6" max="6" width="8.109375" customWidth="1"/>
    <col min="7" max="7" width="11.33203125" customWidth="1"/>
    <col min="8" max="8" width="8.21875" bestFit="1" customWidth="1"/>
    <col min="9" max="9" width="7.77734375" customWidth="1"/>
    <col min="10" max="10" width="8.5546875" customWidth="1"/>
    <col min="11" max="11" width="7.44140625" customWidth="1"/>
    <col min="12" max="12" width="6.44140625" customWidth="1"/>
    <col min="13" max="14" width="7.33203125" customWidth="1"/>
    <col min="15" max="15" width="14.21875" customWidth="1"/>
    <col min="16" max="16" width="6.5546875" customWidth="1"/>
    <col min="17" max="17" width="6.44140625" customWidth="1"/>
    <col min="19" max="19" width="10.44140625" customWidth="1"/>
    <col min="23" max="23" width="7.44140625" customWidth="1"/>
    <col min="24" max="24" width="7.88671875" customWidth="1"/>
    <col min="25" max="25" width="7.109375" customWidth="1"/>
    <col min="26" max="26" width="7.6640625" customWidth="1"/>
    <col min="27" max="27" width="7.5546875" customWidth="1"/>
    <col min="28" max="28" width="7.109375" customWidth="1"/>
  </cols>
  <sheetData>
    <row r="2" spans="2:27">
      <c r="B2" s="170" t="s">
        <v>0</v>
      </c>
      <c r="C2" s="172" t="s">
        <v>413</v>
      </c>
      <c r="G2" s="175" t="s">
        <v>24</v>
      </c>
      <c r="H2" s="175"/>
      <c r="I2" s="175"/>
      <c r="K2" s="161" t="s">
        <v>32</v>
      </c>
      <c r="L2" s="162"/>
      <c r="Q2" s="159" t="s">
        <v>33</v>
      </c>
      <c r="R2" s="160"/>
      <c r="S2" s="17" t="s">
        <v>129</v>
      </c>
    </row>
    <row r="3" spans="2:27">
      <c r="B3" s="171"/>
      <c r="C3" s="173"/>
      <c r="G3" s="176" t="s">
        <v>38</v>
      </c>
      <c r="H3" s="176"/>
      <c r="I3" s="176"/>
      <c r="K3" s="194" t="s">
        <v>128</v>
      </c>
      <c r="L3" s="194"/>
      <c r="M3" s="194"/>
      <c r="N3" s="194"/>
      <c r="O3" s="194"/>
      <c r="Q3" s="159" t="s">
        <v>34</v>
      </c>
      <c r="R3" s="160"/>
      <c r="S3" s="17" t="s">
        <v>130</v>
      </c>
    </row>
    <row r="4" spans="2:27" ht="21">
      <c r="B4" s="48" t="s">
        <v>23</v>
      </c>
      <c r="C4" s="49">
        <v>1015</v>
      </c>
      <c r="G4" s="174" t="s">
        <v>19</v>
      </c>
      <c r="H4" s="174"/>
      <c r="K4" s="194"/>
      <c r="L4" s="194"/>
      <c r="M4" s="194"/>
      <c r="N4" s="194"/>
      <c r="O4" s="194"/>
    </row>
    <row r="5" spans="2:27">
      <c r="B5" s="6" t="s">
        <v>1</v>
      </c>
      <c r="C5" s="7">
        <v>83</v>
      </c>
      <c r="G5" s="9" t="s">
        <v>25</v>
      </c>
      <c r="H5" s="25">
        <v>0.35069444444444442</v>
      </c>
      <c r="I5" t="s">
        <v>414</v>
      </c>
      <c r="K5" s="157" t="s">
        <v>25</v>
      </c>
      <c r="L5" s="158"/>
      <c r="M5" s="40" t="s">
        <v>414</v>
      </c>
      <c r="N5" s="25">
        <v>0.3743055555555555</v>
      </c>
      <c r="O5">
        <f>24*60-4</f>
        <v>1436</v>
      </c>
      <c r="P5">
        <f>O5-318</f>
        <v>1118</v>
      </c>
    </row>
    <row r="6" spans="2:27">
      <c r="B6" s="6" t="s">
        <v>2</v>
      </c>
      <c r="C6" s="8">
        <v>161</v>
      </c>
      <c r="G6" s="9" t="s">
        <v>26</v>
      </c>
      <c r="H6" s="7"/>
      <c r="K6" s="157" t="s">
        <v>26</v>
      </c>
      <c r="L6" s="158"/>
      <c r="M6" s="40" t="s">
        <v>430</v>
      </c>
      <c r="N6" s="25">
        <v>0.37152777777777773</v>
      </c>
    </row>
    <row r="7" spans="2:27">
      <c r="B7" s="6" t="s">
        <v>3</v>
      </c>
      <c r="C7" s="8" t="s">
        <v>102</v>
      </c>
    </row>
    <row r="8" spans="2:27">
      <c r="B8" s="6" t="s">
        <v>8</v>
      </c>
      <c r="C8" s="8">
        <v>51</v>
      </c>
    </row>
    <row r="10" spans="2:27" ht="15" thickBot="1">
      <c r="V10" s="154" t="s">
        <v>63</v>
      </c>
      <c r="W10" s="155"/>
      <c r="X10" s="156"/>
      <c r="Y10" s="154" t="s">
        <v>62</v>
      </c>
      <c r="Z10" s="155"/>
      <c r="AA10" s="156"/>
    </row>
    <row r="11" spans="2:27" ht="15" customHeight="1">
      <c r="B11" s="165" t="s">
        <v>4</v>
      </c>
      <c r="C11" s="165" t="s">
        <v>5</v>
      </c>
      <c r="D11" s="165" t="s">
        <v>6</v>
      </c>
      <c r="E11" s="165" t="s">
        <v>671</v>
      </c>
      <c r="F11" s="165" t="s">
        <v>28</v>
      </c>
      <c r="G11" s="177" t="s">
        <v>7</v>
      </c>
      <c r="H11" s="178"/>
      <c r="I11" s="165" t="s">
        <v>9</v>
      </c>
      <c r="J11" s="165" t="s">
        <v>29</v>
      </c>
      <c r="K11" s="177" t="s">
        <v>27</v>
      </c>
      <c r="L11" s="178"/>
      <c r="M11" s="177" t="s">
        <v>31</v>
      </c>
      <c r="N11" s="178"/>
      <c r="O11" s="165" t="s">
        <v>30</v>
      </c>
      <c r="R11" s="10" t="s">
        <v>10</v>
      </c>
      <c r="S11" s="10" t="s">
        <v>11</v>
      </c>
      <c r="T11" s="10" t="s">
        <v>12</v>
      </c>
      <c r="U11" s="10" t="s">
        <v>13</v>
      </c>
      <c r="V11" s="23" t="s">
        <v>14</v>
      </c>
      <c r="W11" s="22" t="s">
        <v>15</v>
      </c>
      <c r="X11" s="22" t="s">
        <v>35</v>
      </c>
      <c r="Y11" s="24" t="s">
        <v>14</v>
      </c>
      <c r="Z11" s="24" t="s">
        <v>36</v>
      </c>
      <c r="AA11" s="24" t="s">
        <v>37</v>
      </c>
    </row>
    <row r="12" spans="2:27">
      <c r="B12" s="166"/>
      <c r="C12" s="166"/>
      <c r="D12" s="166"/>
      <c r="E12" s="166"/>
      <c r="F12" s="166"/>
      <c r="G12" s="47" t="s">
        <v>16</v>
      </c>
      <c r="H12" s="19" t="s">
        <v>17</v>
      </c>
      <c r="I12" s="166"/>
      <c r="J12" s="166"/>
      <c r="K12" s="20" t="s">
        <v>63</v>
      </c>
      <c r="L12" s="21" t="s">
        <v>87</v>
      </c>
      <c r="M12" s="20" t="s">
        <v>63</v>
      </c>
      <c r="N12" s="21" t="s">
        <v>87</v>
      </c>
      <c r="O12" s="166"/>
      <c r="R12" s="199" t="s">
        <v>414</v>
      </c>
      <c r="S12" s="2">
        <v>0.36736111111111108</v>
      </c>
      <c r="T12" s="2">
        <v>0.37083333333333335</v>
      </c>
      <c r="U12" s="11">
        <v>5</v>
      </c>
      <c r="V12" s="11">
        <v>60</v>
      </c>
      <c r="W12" s="1">
        <f>V12*0.25</f>
        <v>15</v>
      </c>
      <c r="X12" s="1">
        <f>W12*U12/60</f>
        <v>1.25</v>
      </c>
      <c r="Y12" s="11">
        <v>60</v>
      </c>
      <c r="Z12" s="1">
        <f>Y12*1.9</f>
        <v>114</v>
      </c>
      <c r="AA12" s="1">
        <f>Z12*U12/60</f>
        <v>9.5</v>
      </c>
    </row>
    <row r="13" spans="2:27">
      <c r="B13" s="167">
        <v>43773</v>
      </c>
      <c r="C13" s="2">
        <v>0.36319444444444443</v>
      </c>
      <c r="D13" s="3" t="s">
        <v>415</v>
      </c>
      <c r="E13" s="127">
        <v>1.28497043070753</v>
      </c>
      <c r="F13" s="3" t="s">
        <v>370</v>
      </c>
      <c r="G13" s="3">
        <v>129</v>
      </c>
      <c r="H13" s="3">
        <v>94</v>
      </c>
      <c r="I13" s="3">
        <v>64</v>
      </c>
      <c r="J13" s="3"/>
      <c r="K13" s="1"/>
      <c r="L13" s="3"/>
      <c r="M13" s="3"/>
      <c r="N13" s="3"/>
      <c r="O13" s="3"/>
      <c r="R13" s="200"/>
      <c r="S13" s="2">
        <v>0.3743055555555555</v>
      </c>
      <c r="T13" s="2">
        <v>0.39374999999999999</v>
      </c>
      <c r="U13" s="11">
        <v>28</v>
      </c>
      <c r="V13" s="11">
        <v>8</v>
      </c>
      <c r="W13" s="1">
        <f>V13*0.25</f>
        <v>2</v>
      </c>
      <c r="X13" s="1">
        <f>W13*U13/60</f>
        <v>0.93333333333333335</v>
      </c>
      <c r="Y13" s="11">
        <v>8</v>
      </c>
      <c r="Z13" s="1">
        <f>Y13*1.9</f>
        <v>15.2</v>
      </c>
      <c r="AA13" s="1">
        <f>Z13*U13/60</f>
        <v>7.0933333333333328</v>
      </c>
    </row>
    <row r="14" spans="2:27">
      <c r="B14" s="168"/>
      <c r="C14" s="33">
        <v>0.36736111111111108</v>
      </c>
      <c r="D14" s="3"/>
      <c r="F14" s="3" t="s">
        <v>370</v>
      </c>
      <c r="G14" s="3">
        <v>130</v>
      </c>
      <c r="H14" s="3">
        <v>97</v>
      </c>
      <c r="I14" s="3">
        <v>67</v>
      </c>
      <c r="J14" s="3"/>
      <c r="K14" s="1"/>
      <c r="L14" s="3"/>
      <c r="M14" s="3" t="s">
        <v>91</v>
      </c>
      <c r="N14" s="3" t="s">
        <v>427</v>
      </c>
      <c r="O14" s="3" t="s">
        <v>660</v>
      </c>
      <c r="R14" s="200"/>
      <c r="S14" s="180">
        <v>0.39374999999999999</v>
      </c>
      <c r="T14" s="181"/>
      <c r="U14" s="11">
        <v>1</v>
      </c>
      <c r="V14" s="11" t="s">
        <v>91</v>
      </c>
      <c r="W14" s="1">
        <f>X14*60</f>
        <v>75</v>
      </c>
      <c r="X14" s="1">
        <v>1.25</v>
      </c>
      <c r="Y14" s="11" t="s">
        <v>91</v>
      </c>
      <c r="Z14" s="1">
        <f>AA14*60</f>
        <v>570</v>
      </c>
      <c r="AA14" s="1">
        <v>9.5</v>
      </c>
    </row>
    <row r="15" spans="2:27">
      <c r="B15" s="168"/>
      <c r="C15" s="2">
        <v>0.37083333333333335</v>
      </c>
      <c r="D15" s="3" t="s">
        <v>416</v>
      </c>
      <c r="E15" s="127">
        <v>3.4772937460694102</v>
      </c>
      <c r="F15" s="3" t="s">
        <v>370</v>
      </c>
      <c r="G15" s="3">
        <v>133</v>
      </c>
      <c r="H15" s="3">
        <v>100</v>
      </c>
      <c r="I15" s="3">
        <v>74</v>
      </c>
      <c r="J15" s="3"/>
      <c r="K15" s="1"/>
      <c r="L15" s="3"/>
      <c r="M15" s="3"/>
      <c r="N15" s="3"/>
      <c r="O15" s="3"/>
      <c r="R15" s="200"/>
      <c r="S15" s="2">
        <v>0.39444444444444443</v>
      </c>
      <c r="T15" s="2">
        <v>0.43541666666666662</v>
      </c>
      <c r="U15" s="11">
        <v>59</v>
      </c>
      <c r="V15" s="11">
        <v>8</v>
      </c>
      <c r="W15" s="1">
        <f>V15*0.25</f>
        <v>2</v>
      </c>
      <c r="X15" s="1">
        <f>W15*U15/60</f>
        <v>1.9666666666666666</v>
      </c>
      <c r="Y15" s="11">
        <v>8</v>
      </c>
      <c r="Z15" s="1">
        <f>Y15*1.9</f>
        <v>15.2</v>
      </c>
      <c r="AA15" s="1">
        <f>Z15*U15/60</f>
        <v>14.946666666666665</v>
      </c>
    </row>
    <row r="16" spans="2:27">
      <c r="B16" s="168"/>
      <c r="C16" s="33">
        <v>0.3743055555555555</v>
      </c>
      <c r="D16" s="34"/>
      <c r="E16" s="34"/>
      <c r="F16" s="34" t="s">
        <v>370</v>
      </c>
      <c r="G16" s="34">
        <v>110</v>
      </c>
      <c r="H16" s="34">
        <v>96</v>
      </c>
      <c r="I16" s="34">
        <v>80</v>
      </c>
      <c r="J16" s="34"/>
      <c r="K16" s="35" t="s">
        <v>89</v>
      </c>
      <c r="L16" s="35" t="s">
        <v>89</v>
      </c>
      <c r="M16" s="3"/>
      <c r="N16" s="3"/>
      <c r="O16" s="3"/>
      <c r="R16" s="200"/>
      <c r="S16" s="180">
        <v>0.43541666666666662</v>
      </c>
      <c r="T16" s="181"/>
      <c r="U16" s="11">
        <v>1</v>
      </c>
      <c r="V16" s="11" t="s">
        <v>344</v>
      </c>
      <c r="W16" s="1">
        <v>90</v>
      </c>
      <c r="X16" s="1">
        <v>1.5</v>
      </c>
      <c r="Y16" s="11" t="s">
        <v>344</v>
      </c>
      <c r="Z16" s="1">
        <f>AA16*60</f>
        <v>683.99999999999989</v>
      </c>
      <c r="AA16" s="1">
        <f>6*1.9</f>
        <v>11.399999999999999</v>
      </c>
    </row>
    <row r="17" spans="2:27">
      <c r="B17" s="168"/>
      <c r="C17" s="2">
        <v>0.3888888888888889</v>
      </c>
      <c r="D17" s="3" t="s">
        <v>417</v>
      </c>
      <c r="E17" s="127">
        <v>3.8862719979596601</v>
      </c>
      <c r="F17" s="3" t="s">
        <v>370</v>
      </c>
      <c r="G17" s="3">
        <v>140</v>
      </c>
      <c r="H17" s="3">
        <v>104</v>
      </c>
      <c r="I17" s="3">
        <v>78</v>
      </c>
      <c r="J17" s="3"/>
      <c r="K17" s="1">
        <v>8</v>
      </c>
      <c r="L17" s="1">
        <v>8</v>
      </c>
      <c r="M17" s="3"/>
      <c r="N17" s="3"/>
      <c r="O17" s="3"/>
      <c r="R17" s="200"/>
      <c r="S17" s="2">
        <v>0.43611111111111112</v>
      </c>
      <c r="T17" s="2">
        <v>0.46666666666666662</v>
      </c>
      <c r="U17" s="11">
        <v>44</v>
      </c>
      <c r="V17" s="11">
        <v>12</v>
      </c>
      <c r="W17" s="1">
        <f t="shared" ref="W17:W23" si="0">V17*0.25</f>
        <v>3</v>
      </c>
      <c r="X17" s="1">
        <f t="shared" ref="X17:X23" si="1">W17*U17/60</f>
        <v>2.2000000000000002</v>
      </c>
      <c r="Y17" s="11">
        <v>12</v>
      </c>
      <c r="Z17" s="1">
        <f t="shared" ref="Z17:Z23" si="2">Y17*1.9</f>
        <v>22.799999999999997</v>
      </c>
      <c r="AA17" s="1">
        <f t="shared" ref="AA17:AA23" si="3">Z17*U17/60</f>
        <v>16.719999999999995</v>
      </c>
    </row>
    <row r="18" spans="2:27">
      <c r="B18" s="168"/>
      <c r="C18" s="153">
        <v>0.39374999999999999</v>
      </c>
      <c r="D18" s="3"/>
      <c r="F18" s="3" t="s">
        <v>370</v>
      </c>
      <c r="G18" s="3">
        <v>140</v>
      </c>
      <c r="H18" s="3">
        <v>102</v>
      </c>
      <c r="I18" s="3">
        <v>78</v>
      </c>
      <c r="J18" s="3"/>
      <c r="K18" s="1">
        <v>8</v>
      </c>
      <c r="L18" s="1">
        <v>8</v>
      </c>
      <c r="M18" s="3">
        <v>5</v>
      </c>
      <c r="N18" s="3">
        <v>5</v>
      </c>
      <c r="O18" s="3"/>
      <c r="R18" s="200"/>
      <c r="S18" s="2">
        <v>0.46666666666666662</v>
      </c>
      <c r="T18" s="2">
        <v>0.48958333333333331</v>
      </c>
      <c r="U18" s="11">
        <v>33</v>
      </c>
      <c r="V18" s="11">
        <v>8</v>
      </c>
      <c r="W18" s="1">
        <f t="shared" si="0"/>
        <v>2</v>
      </c>
      <c r="X18" s="1">
        <f t="shared" si="1"/>
        <v>1.1000000000000001</v>
      </c>
      <c r="Y18" s="11">
        <v>8</v>
      </c>
      <c r="Z18" s="1">
        <f t="shared" si="2"/>
        <v>15.2</v>
      </c>
      <c r="AA18" s="1">
        <f t="shared" si="3"/>
        <v>8.36</v>
      </c>
    </row>
    <row r="19" spans="2:27">
      <c r="B19" s="168"/>
      <c r="C19" s="2">
        <v>0.40902777777777777</v>
      </c>
      <c r="D19" s="3" t="s">
        <v>418</v>
      </c>
      <c r="E19" s="127">
        <v>4.68610648055183</v>
      </c>
      <c r="F19" s="3" t="s">
        <v>370</v>
      </c>
      <c r="G19" s="3">
        <v>87</v>
      </c>
      <c r="H19" s="3">
        <v>69</v>
      </c>
      <c r="I19" s="3">
        <v>57</v>
      </c>
      <c r="J19" s="3"/>
      <c r="K19" s="1">
        <v>8</v>
      </c>
      <c r="L19" s="1">
        <v>8</v>
      </c>
      <c r="M19" s="3"/>
      <c r="N19" s="3"/>
      <c r="O19" s="3" t="s">
        <v>659</v>
      </c>
      <c r="R19" s="200"/>
      <c r="S19" s="2">
        <v>0.48958333333333331</v>
      </c>
      <c r="T19" s="2">
        <v>0.50347222222222221</v>
      </c>
      <c r="U19" s="11">
        <v>20</v>
      </c>
      <c r="V19" s="11">
        <v>6</v>
      </c>
      <c r="W19" s="1">
        <f t="shared" si="0"/>
        <v>1.5</v>
      </c>
      <c r="X19" s="1">
        <f t="shared" si="1"/>
        <v>0.5</v>
      </c>
      <c r="Y19" s="11">
        <v>6</v>
      </c>
      <c r="Z19" s="1">
        <f t="shared" si="2"/>
        <v>11.399999999999999</v>
      </c>
      <c r="AA19" s="1">
        <f t="shared" si="3"/>
        <v>3.7999999999999994</v>
      </c>
    </row>
    <row r="20" spans="2:27">
      <c r="B20" s="168"/>
      <c r="C20" s="153">
        <v>0.43541666666666662</v>
      </c>
      <c r="D20" s="3"/>
      <c r="F20" s="3">
        <v>7</v>
      </c>
      <c r="G20" s="3">
        <v>155</v>
      </c>
      <c r="H20" s="3">
        <v>105</v>
      </c>
      <c r="I20" s="3">
        <v>57</v>
      </c>
      <c r="J20" s="3"/>
      <c r="K20" s="1">
        <v>8</v>
      </c>
      <c r="L20" s="1">
        <v>8</v>
      </c>
      <c r="M20" s="3">
        <v>6</v>
      </c>
      <c r="N20" s="3">
        <v>6</v>
      </c>
      <c r="O20" s="3"/>
      <c r="R20" s="200"/>
      <c r="S20" s="2">
        <v>0.50347222222222221</v>
      </c>
      <c r="T20" s="2">
        <v>0.54166666666666663</v>
      </c>
      <c r="U20" s="11">
        <v>55</v>
      </c>
      <c r="V20" s="11">
        <v>4</v>
      </c>
      <c r="W20" s="1">
        <f t="shared" si="0"/>
        <v>1</v>
      </c>
      <c r="X20" s="1">
        <f t="shared" si="1"/>
        <v>0.91666666666666663</v>
      </c>
      <c r="Y20" s="11">
        <v>4</v>
      </c>
      <c r="Z20" s="1">
        <f t="shared" si="2"/>
        <v>7.6</v>
      </c>
      <c r="AA20" s="1">
        <f t="shared" si="3"/>
        <v>6.9666666666666668</v>
      </c>
    </row>
    <row r="21" spans="2:27">
      <c r="B21" s="168"/>
      <c r="C21" s="150">
        <v>0.43611111111111112</v>
      </c>
      <c r="D21" s="3"/>
      <c r="E21" s="3"/>
      <c r="F21" s="3">
        <v>7</v>
      </c>
      <c r="G21" s="3">
        <v>160</v>
      </c>
      <c r="H21" s="3">
        <v>110</v>
      </c>
      <c r="I21" s="3">
        <v>58</v>
      </c>
      <c r="J21" s="3"/>
      <c r="K21" s="85">
        <v>12</v>
      </c>
      <c r="L21" s="85">
        <v>12</v>
      </c>
      <c r="M21" s="3"/>
      <c r="N21" s="3"/>
      <c r="O21" s="3"/>
      <c r="R21" s="200"/>
      <c r="S21" s="2">
        <v>0.54166666666666663</v>
      </c>
      <c r="T21" s="2">
        <v>0.54722222222222217</v>
      </c>
      <c r="U21" s="11">
        <v>8</v>
      </c>
      <c r="V21" s="11">
        <v>2</v>
      </c>
      <c r="W21" s="1">
        <f t="shared" si="0"/>
        <v>0.5</v>
      </c>
      <c r="X21" s="1">
        <f t="shared" si="1"/>
        <v>6.6666666666666666E-2</v>
      </c>
      <c r="Y21" s="11">
        <v>2</v>
      </c>
      <c r="Z21" s="1">
        <f t="shared" si="2"/>
        <v>3.8</v>
      </c>
      <c r="AA21" s="1">
        <f t="shared" si="3"/>
        <v>0.5066666666666666</v>
      </c>
    </row>
    <row r="22" spans="2:27">
      <c r="B22" s="168"/>
      <c r="C22" s="2">
        <v>0.45069444444444445</v>
      </c>
      <c r="D22" s="3" t="s">
        <v>419</v>
      </c>
      <c r="E22" s="127">
        <v>4.7647254328959701</v>
      </c>
      <c r="F22" s="3">
        <v>3</v>
      </c>
      <c r="G22" s="3">
        <v>113</v>
      </c>
      <c r="H22" s="3">
        <v>65</v>
      </c>
      <c r="I22" s="3">
        <v>53</v>
      </c>
      <c r="J22" s="3"/>
      <c r="K22" s="1">
        <v>12</v>
      </c>
      <c r="L22" s="1">
        <v>12</v>
      </c>
      <c r="M22" s="3"/>
      <c r="N22" s="3"/>
      <c r="O22" s="3"/>
      <c r="R22" s="201"/>
      <c r="S22" s="2">
        <v>0.7680555555555556</v>
      </c>
      <c r="T22" s="2">
        <v>0.88194444444444453</v>
      </c>
      <c r="U22" s="11">
        <f>34+120+10</f>
        <v>164</v>
      </c>
      <c r="V22" s="11">
        <v>3</v>
      </c>
      <c r="W22" s="1">
        <f t="shared" si="0"/>
        <v>0.75</v>
      </c>
      <c r="X22" s="1">
        <f t="shared" si="1"/>
        <v>2.0499999999999998</v>
      </c>
      <c r="Y22" s="11">
        <v>3</v>
      </c>
      <c r="Z22" s="1">
        <f t="shared" si="2"/>
        <v>5.6999999999999993</v>
      </c>
      <c r="AA22" s="1">
        <f t="shared" si="3"/>
        <v>15.579999999999997</v>
      </c>
    </row>
    <row r="23" spans="2:27">
      <c r="B23" s="168"/>
      <c r="C23" s="150">
        <v>0.46666666666666662</v>
      </c>
      <c r="D23" s="3"/>
      <c r="E23" s="3"/>
      <c r="F23" s="3">
        <v>0</v>
      </c>
      <c r="G23" s="3">
        <v>96</v>
      </c>
      <c r="H23" s="3">
        <v>62</v>
      </c>
      <c r="I23" s="3">
        <v>55</v>
      </c>
      <c r="J23" s="3"/>
      <c r="K23" s="85">
        <v>8</v>
      </c>
      <c r="L23" s="85">
        <v>8</v>
      </c>
      <c r="M23" s="3"/>
      <c r="N23" s="3"/>
      <c r="O23" s="3"/>
      <c r="R23" s="92" t="s">
        <v>431</v>
      </c>
      <c r="S23" s="2">
        <v>0.88194444444444453</v>
      </c>
      <c r="T23" s="2">
        <v>0.37152777777777773</v>
      </c>
      <c r="U23" s="11">
        <f>50+11*60-5</f>
        <v>705</v>
      </c>
      <c r="V23" s="11">
        <v>2</v>
      </c>
      <c r="W23" s="1">
        <f t="shared" si="0"/>
        <v>0.5</v>
      </c>
      <c r="X23" s="1">
        <f t="shared" si="1"/>
        <v>5.875</v>
      </c>
      <c r="Y23" s="11">
        <v>2</v>
      </c>
      <c r="Z23" s="1">
        <f t="shared" si="2"/>
        <v>3.8</v>
      </c>
      <c r="AA23" s="1">
        <f t="shared" si="3"/>
        <v>44.65</v>
      </c>
    </row>
    <row r="24" spans="2:27">
      <c r="B24" s="168"/>
      <c r="C24" s="150">
        <v>0.48958333333333331</v>
      </c>
      <c r="D24" s="3"/>
      <c r="E24" s="3"/>
      <c r="F24" s="3">
        <v>0</v>
      </c>
      <c r="G24" s="3">
        <v>75</v>
      </c>
      <c r="H24" s="3">
        <v>50</v>
      </c>
      <c r="I24" s="3">
        <v>52</v>
      </c>
      <c r="J24" s="3"/>
      <c r="K24" s="85">
        <v>6</v>
      </c>
      <c r="L24" s="85">
        <v>6</v>
      </c>
      <c r="M24" s="3"/>
      <c r="N24" s="3"/>
      <c r="O24" s="3"/>
      <c r="R24" s="10" t="s">
        <v>21</v>
      </c>
      <c r="S24" s="11"/>
      <c r="T24" s="11"/>
      <c r="U24" s="10">
        <f>SUM(U12:U23)</f>
        <v>1123</v>
      </c>
      <c r="X24" s="10">
        <f>SUM(X12:X23)</f>
        <v>19.608333333333334</v>
      </c>
      <c r="AA24" s="10">
        <f>SUM(AA12:AA23)</f>
        <v>149.02333333333331</v>
      </c>
    </row>
    <row r="25" spans="2:27">
      <c r="B25" s="168"/>
      <c r="C25" s="150">
        <v>0.50347222222222221</v>
      </c>
      <c r="D25" s="3"/>
      <c r="E25" s="3"/>
      <c r="F25" s="3">
        <v>0</v>
      </c>
      <c r="G25" s="3"/>
      <c r="H25" s="3"/>
      <c r="I25" s="3"/>
      <c r="J25" s="3"/>
      <c r="K25" s="85">
        <v>4</v>
      </c>
      <c r="L25" s="85">
        <v>4</v>
      </c>
      <c r="M25" s="3"/>
      <c r="N25" s="3"/>
      <c r="O25" s="3"/>
      <c r="U25">
        <f>U24/60</f>
        <v>18.716666666666665</v>
      </c>
    </row>
    <row r="26" spans="2:27">
      <c r="B26" s="168"/>
      <c r="C26" s="150">
        <v>0.54166666666666663</v>
      </c>
      <c r="D26" s="3"/>
      <c r="E26" s="3"/>
      <c r="F26" s="3">
        <v>0</v>
      </c>
      <c r="G26" s="3">
        <v>72</v>
      </c>
      <c r="H26" s="3">
        <v>48</v>
      </c>
      <c r="I26" s="3">
        <v>55</v>
      </c>
      <c r="J26" s="3"/>
      <c r="K26" s="85">
        <v>2</v>
      </c>
      <c r="L26" s="85">
        <v>2</v>
      </c>
      <c r="M26" s="3"/>
      <c r="N26" s="3"/>
      <c r="O26" s="3"/>
    </row>
    <row r="27" spans="2:27">
      <c r="B27" s="168"/>
      <c r="C27" s="30">
        <v>0.54722222222222217</v>
      </c>
      <c r="D27" s="31"/>
      <c r="E27" s="31"/>
      <c r="F27" s="31">
        <v>0</v>
      </c>
      <c r="G27" s="31">
        <v>80</v>
      </c>
      <c r="H27" s="31">
        <v>45</v>
      </c>
      <c r="I27" s="31">
        <v>80</v>
      </c>
      <c r="J27" s="31"/>
      <c r="K27" s="32" t="s">
        <v>20</v>
      </c>
      <c r="L27" s="32" t="s">
        <v>20</v>
      </c>
      <c r="M27" s="3"/>
      <c r="N27" s="3"/>
      <c r="O27" s="3" t="s">
        <v>429</v>
      </c>
    </row>
    <row r="28" spans="2:27">
      <c r="B28" s="168"/>
      <c r="C28" s="2">
        <v>0.76041666666666663</v>
      </c>
      <c r="D28" s="3" t="s">
        <v>420</v>
      </c>
      <c r="E28" s="127">
        <v>2.6071333543051498</v>
      </c>
      <c r="F28" s="3">
        <v>3</v>
      </c>
      <c r="G28" s="3">
        <v>114</v>
      </c>
      <c r="H28" s="3">
        <v>75</v>
      </c>
      <c r="I28" s="3">
        <v>75</v>
      </c>
      <c r="J28" s="3"/>
      <c r="K28" s="1">
        <v>0</v>
      </c>
      <c r="L28" s="1">
        <v>0</v>
      </c>
      <c r="M28" s="3"/>
      <c r="N28" s="3"/>
      <c r="O28" s="3"/>
      <c r="P28">
        <f>52+240+26</f>
        <v>318</v>
      </c>
    </row>
    <row r="29" spans="2:27">
      <c r="B29" s="168"/>
      <c r="C29" s="33">
        <v>0.7680555555555556</v>
      </c>
      <c r="D29" s="34"/>
      <c r="E29" s="34"/>
      <c r="F29" s="34">
        <v>3</v>
      </c>
      <c r="G29" s="34">
        <v>114</v>
      </c>
      <c r="H29" s="34">
        <v>75</v>
      </c>
      <c r="I29" s="34">
        <v>75</v>
      </c>
      <c r="J29" s="34"/>
      <c r="K29" s="35" t="s">
        <v>428</v>
      </c>
      <c r="L29" s="35" t="s">
        <v>428</v>
      </c>
      <c r="M29" s="3"/>
      <c r="N29" s="3"/>
      <c r="O29" s="3"/>
    </row>
    <row r="30" spans="2:27">
      <c r="B30" s="169"/>
      <c r="C30" s="150">
        <v>0.88194444444444453</v>
      </c>
      <c r="D30" s="3" t="s">
        <v>421</v>
      </c>
      <c r="E30" s="127">
        <v>4.49973236484976</v>
      </c>
      <c r="F30" s="3">
        <v>3</v>
      </c>
      <c r="G30" s="3">
        <v>113</v>
      </c>
      <c r="H30" s="3">
        <v>73</v>
      </c>
      <c r="I30" s="3">
        <v>75</v>
      </c>
      <c r="J30" s="3"/>
      <c r="K30" s="16">
        <v>2</v>
      </c>
      <c r="L30" s="16">
        <v>2</v>
      </c>
      <c r="M30" s="3"/>
      <c r="N30" s="3"/>
      <c r="O30" s="3"/>
    </row>
    <row r="31" spans="2:27">
      <c r="B31" s="167">
        <v>43774</v>
      </c>
      <c r="C31" s="30">
        <v>0.37152777777777773</v>
      </c>
      <c r="D31" s="31"/>
      <c r="E31" s="31"/>
      <c r="F31" s="31">
        <v>3</v>
      </c>
      <c r="G31" s="31">
        <v>109</v>
      </c>
      <c r="H31" s="31">
        <v>70</v>
      </c>
      <c r="I31" s="31">
        <v>61</v>
      </c>
      <c r="J31" s="31"/>
      <c r="K31" s="32" t="s">
        <v>20</v>
      </c>
      <c r="L31" s="32" t="s">
        <v>20</v>
      </c>
      <c r="M31" s="3"/>
      <c r="N31" s="3"/>
      <c r="O31" s="3"/>
    </row>
    <row r="32" spans="2:27">
      <c r="B32" s="168"/>
      <c r="C32" s="2">
        <v>0.37986111111111115</v>
      </c>
      <c r="D32" s="3" t="s">
        <v>422</v>
      </c>
      <c r="E32" s="127">
        <v>2.7512585963259899</v>
      </c>
      <c r="F32" s="3">
        <v>3</v>
      </c>
      <c r="G32" s="3">
        <v>109</v>
      </c>
      <c r="H32" s="3">
        <v>70</v>
      </c>
      <c r="I32" s="3">
        <v>58</v>
      </c>
      <c r="J32" s="3"/>
      <c r="K32" s="1"/>
      <c r="L32" s="3"/>
      <c r="M32" s="3"/>
      <c r="N32" s="3"/>
      <c r="O32" s="3"/>
    </row>
    <row r="33" spans="2:15">
      <c r="B33" s="168"/>
      <c r="C33" s="2">
        <v>0.40416666666666662</v>
      </c>
      <c r="D33" s="3" t="s">
        <v>423</v>
      </c>
      <c r="E33" s="127">
        <v>3.5720234291153998</v>
      </c>
      <c r="F33" s="3">
        <v>3</v>
      </c>
      <c r="G33" s="3">
        <v>100</v>
      </c>
      <c r="H33" s="3">
        <v>70</v>
      </c>
      <c r="I33" s="3">
        <v>73</v>
      </c>
      <c r="J33" s="3"/>
      <c r="K33" s="1"/>
      <c r="L33" s="3"/>
      <c r="M33" s="3"/>
      <c r="N33" s="3"/>
      <c r="O33" s="3"/>
    </row>
    <row r="34" spans="2:15">
      <c r="B34" s="168"/>
      <c r="C34" s="2">
        <v>0.41319444444444442</v>
      </c>
      <c r="D34" s="3" t="s">
        <v>424</v>
      </c>
      <c r="E34" s="127">
        <v>3.68344529098299</v>
      </c>
      <c r="F34" s="3">
        <v>3</v>
      </c>
      <c r="G34" s="3">
        <v>103</v>
      </c>
      <c r="H34" s="3">
        <v>65</v>
      </c>
      <c r="I34" s="3">
        <v>71</v>
      </c>
      <c r="J34" s="3"/>
      <c r="K34" s="1"/>
      <c r="L34" s="3"/>
      <c r="M34" s="3"/>
      <c r="N34" s="3"/>
      <c r="O34" s="3"/>
    </row>
    <row r="35" spans="2:15">
      <c r="B35" s="168"/>
      <c r="C35" s="2">
        <v>0.45902777777777781</v>
      </c>
      <c r="D35" s="3" t="s">
        <v>425</v>
      </c>
      <c r="E35" s="127">
        <v>3.6213473874049198</v>
      </c>
      <c r="F35" s="3">
        <v>3</v>
      </c>
      <c r="G35" s="3">
        <v>118</v>
      </c>
      <c r="H35" s="3">
        <v>76</v>
      </c>
      <c r="I35" s="3">
        <v>67</v>
      </c>
      <c r="J35" s="3"/>
      <c r="K35" s="1"/>
      <c r="L35" s="3"/>
      <c r="M35" s="3"/>
      <c r="N35" s="3"/>
      <c r="O35" s="3"/>
    </row>
    <row r="36" spans="2:15">
      <c r="B36" s="169"/>
      <c r="C36" s="2">
        <v>0.63541666666666663</v>
      </c>
      <c r="D36" s="3" t="s">
        <v>426</v>
      </c>
      <c r="E36" s="127">
        <v>5.3096228435003896</v>
      </c>
      <c r="F36" s="75" t="s">
        <v>232</v>
      </c>
      <c r="G36" s="3">
        <v>99</v>
      </c>
      <c r="H36" s="3">
        <v>65</v>
      </c>
      <c r="I36" s="3">
        <v>82</v>
      </c>
      <c r="J36" s="3"/>
      <c r="K36" s="1"/>
      <c r="L36" s="3"/>
      <c r="M36" s="3"/>
      <c r="N36" s="3"/>
      <c r="O36" s="3"/>
    </row>
  </sheetData>
  <mergeCells count="29">
    <mergeCell ref="M11:N11"/>
    <mergeCell ref="D11:D12"/>
    <mergeCell ref="I11:I12"/>
    <mergeCell ref="K5:L5"/>
    <mergeCell ref="K6:L6"/>
    <mergeCell ref="E11:E12"/>
    <mergeCell ref="F11:F12"/>
    <mergeCell ref="G11:H11"/>
    <mergeCell ref="J11:J12"/>
    <mergeCell ref="K11:L11"/>
    <mergeCell ref="G2:I2"/>
    <mergeCell ref="K2:L2"/>
    <mergeCell ref="G3:I3"/>
    <mergeCell ref="K3:O4"/>
    <mergeCell ref="Q2:R2"/>
    <mergeCell ref="Q3:R3"/>
    <mergeCell ref="G4:H4"/>
    <mergeCell ref="B13:B30"/>
    <mergeCell ref="B31:B36"/>
    <mergeCell ref="B2:B3"/>
    <mergeCell ref="B11:B12"/>
    <mergeCell ref="C11:C12"/>
    <mergeCell ref="C2:C3"/>
    <mergeCell ref="V10:X10"/>
    <mergeCell ref="Y10:AA10"/>
    <mergeCell ref="O11:O12"/>
    <mergeCell ref="S14:T14"/>
    <mergeCell ref="S16:T16"/>
    <mergeCell ref="R12:R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2:AA32"/>
  <sheetViews>
    <sheetView zoomScale="90" zoomScaleNormal="90" workbookViewId="0">
      <selection activeCell="F35" sqref="F35"/>
    </sheetView>
  </sheetViews>
  <sheetFormatPr defaultRowHeight="14.4"/>
  <cols>
    <col min="1" max="1" width="4" customWidth="1"/>
    <col min="2" max="2" width="11.44140625" bestFit="1" customWidth="1"/>
    <col min="3" max="3" width="16.21875" customWidth="1"/>
    <col min="4" max="5" width="9.77734375" customWidth="1"/>
    <col min="6" max="6" width="8.109375" customWidth="1"/>
    <col min="7" max="7" width="11.33203125" customWidth="1"/>
    <col min="8" max="8" width="8.21875" bestFit="1" customWidth="1"/>
    <col min="9" max="9" width="7.77734375" customWidth="1"/>
    <col min="10" max="10" width="8.5546875" customWidth="1"/>
    <col min="11" max="11" width="7.44140625" customWidth="1"/>
    <col min="12" max="12" width="6.44140625" customWidth="1"/>
    <col min="13" max="14" width="7.33203125" customWidth="1"/>
    <col min="15" max="15" width="14.21875" customWidth="1"/>
    <col min="16" max="16" width="6.5546875" customWidth="1"/>
    <col min="17" max="17" width="6.44140625" customWidth="1"/>
    <col min="18" max="18" width="9.33203125" customWidth="1"/>
    <col min="19" max="19" width="10.44140625" customWidth="1"/>
    <col min="23" max="23" width="7.44140625" customWidth="1"/>
    <col min="24" max="24" width="7.88671875" customWidth="1"/>
    <col min="25" max="25" width="7.109375" customWidth="1"/>
    <col min="26" max="26" width="7.6640625" customWidth="1"/>
    <col min="27" max="27" width="7.5546875" customWidth="1"/>
    <col min="28" max="28" width="7.109375" customWidth="1"/>
  </cols>
  <sheetData>
    <row r="2" spans="2:27">
      <c r="B2" s="170" t="s">
        <v>0</v>
      </c>
      <c r="C2" s="172" t="s">
        <v>432</v>
      </c>
      <c r="G2" s="175" t="s">
        <v>24</v>
      </c>
      <c r="H2" s="175"/>
      <c r="I2" s="175"/>
      <c r="K2" s="161" t="s">
        <v>32</v>
      </c>
      <c r="L2" s="162"/>
      <c r="Q2" s="159" t="s">
        <v>33</v>
      </c>
      <c r="R2" s="160"/>
      <c r="S2" s="17" t="s">
        <v>129</v>
      </c>
    </row>
    <row r="3" spans="2:27">
      <c r="B3" s="171"/>
      <c r="C3" s="173"/>
      <c r="G3" s="176" t="s">
        <v>38</v>
      </c>
      <c r="H3" s="176"/>
      <c r="I3" s="176"/>
      <c r="K3" s="194" t="s">
        <v>128</v>
      </c>
      <c r="L3" s="194"/>
      <c r="M3" s="194"/>
      <c r="N3" s="194"/>
      <c r="O3" s="194"/>
      <c r="Q3" s="159" t="s">
        <v>34</v>
      </c>
      <c r="R3" s="160"/>
      <c r="S3" s="17" t="s">
        <v>130</v>
      </c>
    </row>
    <row r="4" spans="2:27" ht="21">
      <c r="B4" s="88" t="s">
        <v>23</v>
      </c>
      <c r="C4" s="89">
        <v>1016</v>
      </c>
      <c r="G4" s="174" t="s">
        <v>19</v>
      </c>
      <c r="H4" s="174"/>
      <c r="K4" s="194"/>
      <c r="L4" s="194"/>
      <c r="M4" s="194"/>
      <c r="N4" s="194"/>
      <c r="O4" s="194"/>
    </row>
    <row r="5" spans="2:27">
      <c r="B5" s="6" t="s">
        <v>1</v>
      </c>
      <c r="C5" s="7">
        <v>76</v>
      </c>
      <c r="G5" s="9" t="s">
        <v>25</v>
      </c>
      <c r="H5" s="25">
        <v>0.52500000000000002</v>
      </c>
      <c r="I5" t="s">
        <v>433</v>
      </c>
      <c r="K5" s="157" t="s">
        <v>25</v>
      </c>
      <c r="L5" s="158"/>
      <c r="M5" s="40" t="s">
        <v>447</v>
      </c>
      <c r="N5" s="25">
        <v>0.53333333333333333</v>
      </c>
      <c r="O5">
        <f>12+46*60+30</f>
        <v>2802</v>
      </c>
      <c r="P5">
        <f>O5-135</f>
        <v>2667</v>
      </c>
    </row>
    <row r="6" spans="2:27">
      <c r="B6" s="6" t="s">
        <v>2</v>
      </c>
      <c r="C6" s="8">
        <v>180</v>
      </c>
      <c r="G6" s="9" t="s">
        <v>26</v>
      </c>
      <c r="H6" s="7"/>
      <c r="K6" s="157" t="s">
        <v>26</v>
      </c>
      <c r="L6" s="158"/>
      <c r="M6" s="40" t="s">
        <v>448</v>
      </c>
      <c r="N6" s="25">
        <v>0.47916666666666669</v>
      </c>
    </row>
    <row r="7" spans="2:27">
      <c r="B7" s="6" t="s">
        <v>3</v>
      </c>
      <c r="C7" s="8" t="s">
        <v>18</v>
      </c>
    </row>
    <row r="8" spans="2:27">
      <c r="B8" s="6" t="s">
        <v>8</v>
      </c>
      <c r="C8" s="8">
        <v>83</v>
      </c>
    </row>
    <row r="10" spans="2:27" ht="15" thickBot="1">
      <c r="V10" s="154" t="s">
        <v>63</v>
      </c>
      <c r="W10" s="155"/>
      <c r="X10" s="156"/>
      <c r="Y10" s="154" t="s">
        <v>62</v>
      </c>
      <c r="Z10" s="155"/>
      <c r="AA10" s="156"/>
    </row>
    <row r="11" spans="2:27" ht="15" customHeight="1">
      <c r="B11" s="165" t="s">
        <v>4</v>
      </c>
      <c r="C11" s="165" t="s">
        <v>5</v>
      </c>
      <c r="D11" s="165" t="s">
        <v>6</v>
      </c>
      <c r="E11" s="165" t="s">
        <v>671</v>
      </c>
      <c r="F11" s="165" t="s">
        <v>28</v>
      </c>
      <c r="G11" s="177" t="s">
        <v>7</v>
      </c>
      <c r="H11" s="178"/>
      <c r="I11" s="165" t="s">
        <v>9</v>
      </c>
      <c r="J11" s="165" t="s">
        <v>29</v>
      </c>
      <c r="K11" s="177" t="s">
        <v>27</v>
      </c>
      <c r="L11" s="178"/>
      <c r="M11" s="177" t="s">
        <v>31</v>
      </c>
      <c r="N11" s="178"/>
      <c r="O11" s="165" t="s">
        <v>30</v>
      </c>
      <c r="R11" s="10" t="s">
        <v>10</v>
      </c>
      <c r="S11" s="10" t="s">
        <v>11</v>
      </c>
      <c r="T11" s="10" t="s">
        <v>12</v>
      </c>
      <c r="U11" s="10" t="s">
        <v>13</v>
      </c>
      <c r="V11" s="23" t="s">
        <v>14</v>
      </c>
      <c r="W11" s="22" t="s">
        <v>15</v>
      </c>
      <c r="X11" s="22" t="s">
        <v>35</v>
      </c>
      <c r="Y11" s="24" t="s">
        <v>14</v>
      </c>
      <c r="Z11" s="24" t="s">
        <v>36</v>
      </c>
      <c r="AA11" s="24" t="s">
        <v>37</v>
      </c>
    </row>
    <row r="12" spans="2:27">
      <c r="B12" s="166"/>
      <c r="C12" s="166"/>
      <c r="D12" s="166"/>
      <c r="E12" s="166"/>
      <c r="F12" s="166"/>
      <c r="G12" s="87" t="s">
        <v>16</v>
      </c>
      <c r="H12" s="19" t="s">
        <v>17</v>
      </c>
      <c r="I12" s="166"/>
      <c r="J12" s="166"/>
      <c r="K12" s="20" t="s">
        <v>63</v>
      </c>
      <c r="L12" s="21" t="s">
        <v>87</v>
      </c>
      <c r="M12" s="20" t="s">
        <v>63</v>
      </c>
      <c r="N12" s="21" t="s">
        <v>87</v>
      </c>
      <c r="O12" s="166"/>
      <c r="R12" s="197" t="s">
        <v>447</v>
      </c>
      <c r="S12" s="2">
        <v>0.53333333333333333</v>
      </c>
      <c r="T12" s="2">
        <v>0.53680555555555554</v>
      </c>
      <c r="U12" s="11">
        <v>5</v>
      </c>
      <c r="V12" s="11">
        <v>60</v>
      </c>
      <c r="W12" s="1">
        <f>V12*0.25</f>
        <v>15</v>
      </c>
      <c r="X12" s="1">
        <f>W12*U12/60</f>
        <v>1.25</v>
      </c>
      <c r="Y12" s="11">
        <v>60</v>
      </c>
      <c r="Z12" s="1">
        <f>Y12*1.9</f>
        <v>114</v>
      </c>
      <c r="AA12" s="1">
        <f>Z12*U12/60</f>
        <v>9.5</v>
      </c>
    </row>
    <row r="13" spans="2:27">
      <c r="B13" s="167">
        <v>43781</v>
      </c>
      <c r="C13" s="2">
        <v>0.52500000000000002</v>
      </c>
      <c r="D13" s="3" t="s">
        <v>434</v>
      </c>
      <c r="E13" s="3">
        <v>0</v>
      </c>
      <c r="F13" s="3"/>
      <c r="G13" s="3">
        <v>132</v>
      </c>
      <c r="H13" s="3">
        <v>80</v>
      </c>
      <c r="I13" s="3">
        <v>62</v>
      </c>
      <c r="J13" s="3"/>
      <c r="K13" s="1"/>
      <c r="L13" s="3"/>
      <c r="M13" s="3"/>
      <c r="N13" s="3"/>
      <c r="O13" s="3"/>
      <c r="R13" s="197"/>
      <c r="S13" s="2">
        <v>0.53749999999999998</v>
      </c>
      <c r="T13" s="2">
        <v>0.62152777777777779</v>
      </c>
      <c r="U13" s="11">
        <v>121</v>
      </c>
      <c r="V13" s="11">
        <v>5</v>
      </c>
      <c r="W13" s="1">
        <f>V13*0.25</f>
        <v>1.25</v>
      </c>
      <c r="X13" s="1">
        <f>W13*U13/60</f>
        <v>2.5208333333333335</v>
      </c>
      <c r="Y13" s="11">
        <v>5</v>
      </c>
      <c r="Z13" s="1">
        <f>Y13*1.9</f>
        <v>9.5</v>
      </c>
      <c r="AA13" s="1">
        <f>Z13*U13/60</f>
        <v>19.158333333333335</v>
      </c>
    </row>
    <row r="14" spans="2:27">
      <c r="B14" s="168"/>
      <c r="C14" s="33">
        <v>0.53333333333333333</v>
      </c>
      <c r="D14" s="3"/>
      <c r="E14" s="3"/>
      <c r="F14" s="3" t="s">
        <v>370</v>
      </c>
      <c r="G14" s="3"/>
      <c r="H14" s="3"/>
      <c r="I14" s="3"/>
      <c r="J14" s="3"/>
      <c r="K14" s="1"/>
      <c r="L14" s="3"/>
      <c r="M14" s="182" t="s">
        <v>91</v>
      </c>
      <c r="N14" s="183"/>
      <c r="O14" s="3" t="s">
        <v>446</v>
      </c>
      <c r="R14" s="101" t="s">
        <v>449</v>
      </c>
      <c r="S14" s="2">
        <v>0.63194444444444442</v>
      </c>
      <c r="T14" s="2">
        <v>0.79166666666666663</v>
      </c>
      <c r="U14" s="11">
        <f>230+1440</f>
        <v>1670</v>
      </c>
      <c r="V14" s="11">
        <v>5</v>
      </c>
      <c r="W14" s="1">
        <f>V14*0.25</f>
        <v>1.25</v>
      </c>
      <c r="X14" s="1">
        <f>W14*U14/60</f>
        <v>34.791666666666664</v>
      </c>
      <c r="Y14" s="11">
        <v>5</v>
      </c>
      <c r="Z14" s="1">
        <f>Y14*1.9</f>
        <v>9.5</v>
      </c>
      <c r="AA14" s="1">
        <f>Z14*U14/60</f>
        <v>264.41666666666669</v>
      </c>
    </row>
    <row r="15" spans="2:27">
      <c r="B15" s="168"/>
      <c r="C15" s="113">
        <v>0.53680555555555554</v>
      </c>
      <c r="D15" s="3"/>
      <c r="E15" s="3"/>
      <c r="F15" s="3" t="s">
        <v>370</v>
      </c>
      <c r="G15" s="3">
        <v>112</v>
      </c>
      <c r="H15" s="3">
        <v>44</v>
      </c>
      <c r="I15" s="3">
        <v>62</v>
      </c>
      <c r="J15" s="3"/>
      <c r="K15" s="1"/>
      <c r="L15" s="3"/>
      <c r="M15" s="120"/>
      <c r="N15" s="121"/>
      <c r="O15" s="3"/>
      <c r="R15" s="101" t="s">
        <v>450</v>
      </c>
      <c r="S15" s="2">
        <v>0.875</v>
      </c>
      <c r="T15" s="2">
        <v>0.47916666666666669</v>
      </c>
      <c r="U15" s="11">
        <f>14.5*60</f>
        <v>870</v>
      </c>
      <c r="V15" s="11">
        <v>3</v>
      </c>
      <c r="W15" s="1">
        <f>V15*0.25</f>
        <v>0.75</v>
      </c>
      <c r="X15" s="1">
        <f>W15*U15/60</f>
        <v>10.875</v>
      </c>
      <c r="Y15" s="11">
        <v>3</v>
      </c>
      <c r="Z15" s="1">
        <f>Y15*1.9</f>
        <v>5.6999999999999993</v>
      </c>
      <c r="AA15" s="1">
        <f>Z15*U15/60</f>
        <v>82.649999999999991</v>
      </c>
    </row>
    <row r="16" spans="2:27">
      <c r="B16" s="168"/>
      <c r="C16" s="33">
        <v>0.53749999999999998</v>
      </c>
      <c r="D16" s="34"/>
      <c r="E16" s="34"/>
      <c r="F16" s="34" t="s">
        <v>370</v>
      </c>
      <c r="G16" s="34">
        <v>103</v>
      </c>
      <c r="H16" s="34">
        <v>42</v>
      </c>
      <c r="I16" s="34">
        <v>54</v>
      </c>
      <c r="J16" s="34"/>
      <c r="K16" s="35" t="s">
        <v>58</v>
      </c>
      <c r="L16" s="35" t="s">
        <v>58</v>
      </c>
      <c r="M16" s="3"/>
      <c r="N16" s="3"/>
      <c r="O16" s="3" t="s">
        <v>661</v>
      </c>
      <c r="R16" s="10" t="s">
        <v>21</v>
      </c>
      <c r="S16" s="11"/>
      <c r="T16" s="11"/>
      <c r="U16" s="10">
        <f>SUM(U12:U15)</f>
        <v>2666</v>
      </c>
      <c r="X16" s="10">
        <f>SUM(X12:X15)</f>
        <v>49.4375</v>
      </c>
      <c r="AA16" s="10">
        <f>SUM(AA12:AA15)</f>
        <v>375.72500000000002</v>
      </c>
    </row>
    <row r="17" spans="2:21">
      <c r="B17" s="168"/>
      <c r="C17" s="2">
        <v>0.54166666666666663</v>
      </c>
      <c r="D17" s="3" t="s">
        <v>435</v>
      </c>
      <c r="E17" s="3">
        <v>0</v>
      </c>
      <c r="F17" s="3" t="s">
        <v>370</v>
      </c>
      <c r="G17" s="3">
        <v>105</v>
      </c>
      <c r="H17" s="3">
        <v>42</v>
      </c>
      <c r="I17" s="3">
        <v>61</v>
      </c>
      <c r="J17" s="3"/>
      <c r="K17" s="1">
        <v>5</v>
      </c>
      <c r="L17" s="1">
        <v>5</v>
      </c>
      <c r="M17" s="3"/>
      <c r="N17" s="3"/>
      <c r="O17" s="3" t="s">
        <v>451</v>
      </c>
      <c r="U17">
        <f>U16/60</f>
        <v>44.43333333333333</v>
      </c>
    </row>
    <row r="18" spans="2:21">
      <c r="B18" s="168"/>
      <c r="C18" s="2">
        <v>0.55833333333333335</v>
      </c>
      <c r="D18" s="3" t="s">
        <v>436</v>
      </c>
      <c r="E18" s="3">
        <v>0</v>
      </c>
      <c r="F18" s="3" t="s">
        <v>370</v>
      </c>
      <c r="G18" s="3">
        <v>126</v>
      </c>
      <c r="H18" s="3">
        <v>60</v>
      </c>
      <c r="I18" s="3">
        <v>55</v>
      </c>
      <c r="J18" s="3"/>
      <c r="K18" s="1">
        <v>5</v>
      </c>
      <c r="L18" s="1">
        <v>5</v>
      </c>
      <c r="M18" s="3"/>
      <c r="N18" s="3"/>
      <c r="O18" s="3">
        <v>0.05</v>
      </c>
    </row>
    <row r="19" spans="2:21">
      <c r="B19" s="168"/>
      <c r="C19" s="2">
        <v>0.57916666666666672</v>
      </c>
      <c r="D19" s="3" t="s">
        <v>437</v>
      </c>
      <c r="E19" s="127">
        <v>1.05944421358107</v>
      </c>
      <c r="F19" s="3" t="s">
        <v>370</v>
      </c>
      <c r="G19" s="3">
        <v>123</v>
      </c>
      <c r="H19" s="3">
        <v>57</v>
      </c>
      <c r="I19" s="3">
        <v>50</v>
      </c>
      <c r="J19" s="3"/>
      <c r="K19" s="1">
        <v>5</v>
      </c>
      <c r="L19" s="1">
        <v>5</v>
      </c>
      <c r="M19" s="3"/>
      <c r="N19" s="3"/>
      <c r="O19" s="3">
        <v>0.03</v>
      </c>
    </row>
    <row r="20" spans="2:21">
      <c r="B20" s="168"/>
      <c r="C20" s="30">
        <v>0.62152777777777779</v>
      </c>
      <c r="D20" s="31"/>
      <c r="E20" s="31"/>
      <c r="F20" s="31"/>
      <c r="G20" s="31"/>
      <c r="H20" s="31"/>
      <c r="I20" s="31"/>
      <c r="J20" s="31"/>
      <c r="K20" s="32" t="s">
        <v>20</v>
      </c>
      <c r="L20" s="32" t="s">
        <v>20</v>
      </c>
      <c r="M20" s="3"/>
      <c r="N20" s="3"/>
      <c r="O20" s="3"/>
      <c r="P20">
        <v>15</v>
      </c>
    </row>
    <row r="21" spans="2:21">
      <c r="B21" s="168"/>
      <c r="C21" s="33">
        <v>0.63194444444444442</v>
      </c>
      <c r="D21" s="34"/>
      <c r="E21" s="34"/>
      <c r="F21" s="34">
        <v>0</v>
      </c>
      <c r="G21" s="34">
        <v>120</v>
      </c>
      <c r="H21" s="34">
        <v>57</v>
      </c>
      <c r="I21" s="34">
        <v>52</v>
      </c>
      <c r="J21" s="34"/>
      <c r="K21" s="35" t="s">
        <v>58</v>
      </c>
      <c r="L21" s="35" t="s">
        <v>58</v>
      </c>
      <c r="M21" s="3"/>
      <c r="N21" s="3"/>
      <c r="O21" s="3"/>
    </row>
    <row r="22" spans="2:21">
      <c r="B22" s="168"/>
      <c r="C22" s="2">
        <v>0.63611111111111118</v>
      </c>
      <c r="D22" s="3" t="s">
        <v>438</v>
      </c>
      <c r="E22" s="127">
        <v>0.37661723383948797</v>
      </c>
      <c r="F22" s="3">
        <v>0</v>
      </c>
      <c r="G22" s="3">
        <v>120</v>
      </c>
      <c r="H22" s="3">
        <v>55</v>
      </c>
      <c r="I22" s="3">
        <v>53</v>
      </c>
      <c r="J22" s="3"/>
      <c r="K22" s="1">
        <v>5</v>
      </c>
      <c r="L22" s="1">
        <v>5</v>
      </c>
      <c r="M22" s="3"/>
      <c r="N22" s="3"/>
      <c r="O22" s="3">
        <v>0.1</v>
      </c>
    </row>
    <row r="23" spans="2:21">
      <c r="B23" s="168"/>
      <c r="C23" s="2">
        <v>0.81944444444444453</v>
      </c>
      <c r="D23" s="3" t="s">
        <v>439</v>
      </c>
      <c r="E23" s="127">
        <v>1.8262878426927001</v>
      </c>
      <c r="F23" s="3">
        <v>3</v>
      </c>
      <c r="G23" s="3">
        <v>112</v>
      </c>
      <c r="H23" s="3">
        <v>69</v>
      </c>
      <c r="I23" s="3">
        <v>65</v>
      </c>
      <c r="J23" s="3"/>
      <c r="K23" s="1">
        <v>5</v>
      </c>
      <c r="L23" s="1">
        <v>5</v>
      </c>
      <c r="M23" s="3"/>
      <c r="N23" s="3"/>
      <c r="O23" s="3">
        <v>7.0000000000000007E-2</v>
      </c>
    </row>
    <row r="24" spans="2:21">
      <c r="B24" s="169"/>
      <c r="C24" s="2">
        <v>0.98611111111111116</v>
      </c>
      <c r="D24" s="3" t="s">
        <v>440</v>
      </c>
      <c r="E24" s="127">
        <v>4.2776915441071104</v>
      </c>
      <c r="F24" s="3"/>
      <c r="G24" s="3">
        <v>113</v>
      </c>
      <c r="H24" s="3">
        <v>67</v>
      </c>
      <c r="I24" s="3">
        <v>62</v>
      </c>
      <c r="J24" s="3"/>
      <c r="K24" s="1">
        <v>5</v>
      </c>
      <c r="L24" s="1">
        <v>5</v>
      </c>
      <c r="M24" s="3"/>
      <c r="N24" s="3"/>
      <c r="O24" s="3">
        <v>7.0000000000000007E-2</v>
      </c>
    </row>
    <row r="25" spans="2:21">
      <c r="B25" s="167">
        <v>43782</v>
      </c>
      <c r="C25" s="2">
        <v>0.55902777777777779</v>
      </c>
      <c r="D25" s="3" t="s">
        <v>441</v>
      </c>
      <c r="E25" s="127">
        <v>8.2905585956594798</v>
      </c>
      <c r="F25" s="3">
        <v>2</v>
      </c>
      <c r="G25" s="3">
        <v>129</v>
      </c>
      <c r="H25" s="3">
        <v>81</v>
      </c>
      <c r="I25" s="3">
        <v>58</v>
      </c>
      <c r="J25" s="3"/>
      <c r="K25" s="1">
        <v>5</v>
      </c>
      <c r="L25" s="1">
        <v>5</v>
      </c>
      <c r="M25" s="3"/>
      <c r="N25" s="3"/>
      <c r="O25" s="3">
        <v>7.0000000000000007E-2</v>
      </c>
    </row>
    <row r="26" spans="2:21">
      <c r="B26" s="168"/>
      <c r="C26" s="30">
        <v>0.79166666666666663</v>
      </c>
      <c r="D26" s="31"/>
      <c r="E26" s="31"/>
      <c r="F26" s="31">
        <v>2</v>
      </c>
      <c r="G26" s="31">
        <v>108</v>
      </c>
      <c r="H26" s="31">
        <v>57</v>
      </c>
      <c r="I26" s="31">
        <v>70</v>
      </c>
      <c r="J26" s="31"/>
      <c r="K26" s="32" t="s">
        <v>20</v>
      </c>
      <c r="L26" s="32" t="s">
        <v>20</v>
      </c>
      <c r="M26" s="3"/>
      <c r="N26" s="3"/>
      <c r="O26" s="3"/>
      <c r="P26">
        <v>120</v>
      </c>
    </row>
    <row r="27" spans="2:21">
      <c r="B27" s="169"/>
      <c r="C27" s="33">
        <v>0.875</v>
      </c>
      <c r="D27" s="34"/>
      <c r="E27" s="34"/>
      <c r="F27" s="34">
        <v>0</v>
      </c>
      <c r="G27" s="34">
        <v>110</v>
      </c>
      <c r="H27" s="34">
        <v>60</v>
      </c>
      <c r="I27" s="34">
        <v>62</v>
      </c>
      <c r="J27" s="34"/>
      <c r="K27" s="35" t="s">
        <v>428</v>
      </c>
      <c r="L27" s="35" t="s">
        <v>428</v>
      </c>
      <c r="M27" s="3"/>
      <c r="N27" s="3"/>
      <c r="O27" s="3"/>
    </row>
    <row r="28" spans="2:21">
      <c r="B28" s="167">
        <v>43783</v>
      </c>
      <c r="C28" s="30">
        <v>0.47916666666666669</v>
      </c>
      <c r="D28" s="31"/>
      <c r="E28" s="31"/>
      <c r="F28" s="31"/>
      <c r="G28" s="31"/>
      <c r="H28" s="31"/>
      <c r="I28" s="31"/>
      <c r="J28" s="31"/>
      <c r="K28" s="32" t="s">
        <v>20</v>
      </c>
      <c r="L28" s="32" t="s">
        <v>20</v>
      </c>
      <c r="M28" s="3"/>
      <c r="N28" s="3"/>
      <c r="O28" s="3"/>
    </row>
    <row r="29" spans="2:21">
      <c r="B29" s="168"/>
      <c r="C29" s="2">
        <v>0.63611111111111118</v>
      </c>
      <c r="D29" s="3" t="s">
        <v>442</v>
      </c>
      <c r="E29" s="127">
        <v>10.7805567361481</v>
      </c>
      <c r="F29" s="3">
        <v>0</v>
      </c>
      <c r="G29" s="3">
        <v>128</v>
      </c>
      <c r="H29" s="3">
        <v>67</v>
      </c>
      <c r="I29" s="3">
        <v>64</v>
      </c>
      <c r="J29" s="3"/>
      <c r="K29" s="1"/>
      <c r="L29" s="3"/>
      <c r="M29" s="3"/>
      <c r="N29" s="3"/>
      <c r="O29" s="3"/>
    </row>
    <row r="30" spans="2:21">
      <c r="B30" s="169"/>
      <c r="C30" s="2">
        <v>0.93819444444444444</v>
      </c>
      <c r="D30" s="3" t="s">
        <v>443</v>
      </c>
      <c r="E30" s="127">
        <v>4.3887370128533796</v>
      </c>
      <c r="F30" s="3">
        <v>0</v>
      </c>
      <c r="G30" s="3">
        <v>127</v>
      </c>
      <c r="H30" s="3">
        <v>68</v>
      </c>
      <c r="I30" s="3">
        <v>67</v>
      </c>
      <c r="J30" s="3"/>
      <c r="K30" s="1"/>
      <c r="L30" s="3"/>
      <c r="M30" s="3"/>
      <c r="N30" s="3"/>
      <c r="O30" s="3"/>
    </row>
    <row r="31" spans="2:21">
      <c r="B31" s="91">
        <v>43784</v>
      </c>
      <c r="C31" s="2">
        <v>0.96250000000000002</v>
      </c>
      <c r="D31" s="3" t="s">
        <v>444</v>
      </c>
      <c r="E31" s="127">
        <v>1.81890445828362</v>
      </c>
      <c r="F31" s="3">
        <v>0</v>
      </c>
      <c r="G31" s="3">
        <v>123</v>
      </c>
      <c r="H31" s="3">
        <v>72</v>
      </c>
      <c r="I31" s="3">
        <v>69</v>
      </c>
      <c r="J31" s="3"/>
      <c r="K31" s="1"/>
      <c r="L31" s="3"/>
      <c r="M31" s="3"/>
      <c r="N31" s="3"/>
      <c r="O31" s="3"/>
    </row>
    <row r="32" spans="2:21">
      <c r="B32" s="91">
        <v>43786</v>
      </c>
      <c r="C32" s="2">
        <v>0.50208333333333333</v>
      </c>
      <c r="D32" s="3" t="s">
        <v>445</v>
      </c>
      <c r="E32" s="127">
        <v>0.211784412076607</v>
      </c>
      <c r="F32" s="3">
        <v>0</v>
      </c>
      <c r="G32" s="3">
        <v>125</v>
      </c>
      <c r="H32" s="3">
        <v>80</v>
      </c>
      <c r="I32" s="3">
        <v>70</v>
      </c>
      <c r="J32" s="3"/>
      <c r="K32" s="1"/>
      <c r="L32" s="3"/>
      <c r="M32" s="3"/>
      <c r="N32" s="3"/>
      <c r="O32" s="3"/>
    </row>
  </sheetData>
  <mergeCells count="29">
    <mergeCell ref="B28:B30"/>
    <mergeCell ref="B25:B27"/>
    <mergeCell ref="B13:B24"/>
    <mergeCell ref="R12:R13"/>
    <mergeCell ref="J11:J12"/>
    <mergeCell ref="K11:L11"/>
    <mergeCell ref="M11:N11"/>
    <mergeCell ref="O11:O12"/>
    <mergeCell ref="M14:N14"/>
    <mergeCell ref="K5:L5"/>
    <mergeCell ref="K6:L6"/>
    <mergeCell ref="V10:X10"/>
    <mergeCell ref="Y10:AA10"/>
    <mergeCell ref="B11:B12"/>
    <mergeCell ref="C11:C12"/>
    <mergeCell ref="D11:D12"/>
    <mergeCell ref="F11:F12"/>
    <mergeCell ref="G11:H11"/>
    <mergeCell ref="I11:I12"/>
    <mergeCell ref="E11:E12"/>
    <mergeCell ref="B2:B3"/>
    <mergeCell ref="C2:C3"/>
    <mergeCell ref="G2:I2"/>
    <mergeCell ref="K2:L2"/>
    <mergeCell ref="Q2:R2"/>
    <mergeCell ref="G3:I3"/>
    <mergeCell ref="K3:O4"/>
    <mergeCell ref="Q3:R3"/>
    <mergeCell ref="G4:H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AC32"/>
  <sheetViews>
    <sheetView zoomScale="90" zoomScaleNormal="90" workbookViewId="0">
      <selection activeCell="Y18" sqref="Y18"/>
    </sheetView>
  </sheetViews>
  <sheetFormatPr defaultRowHeight="14.4"/>
  <cols>
    <col min="1" max="1" width="4" customWidth="1"/>
    <col min="2" max="2" width="11.44140625" bestFit="1" customWidth="1"/>
    <col min="3" max="3" width="16.21875" customWidth="1"/>
    <col min="4" max="5" width="9.77734375" customWidth="1"/>
    <col min="6" max="6" width="8.109375" customWidth="1"/>
    <col min="7" max="7" width="11.33203125" customWidth="1"/>
    <col min="8" max="8" width="8.21875" bestFit="1" customWidth="1"/>
    <col min="9" max="9" width="7.77734375" customWidth="1"/>
    <col min="10" max="10" width="8.5546875" customWidth="1"/>
    <col min="11" max="11" width="7.44140625" customWidth="1"/>
    <col min="12" max="12" width="6.44140625" customWidth="1"/>
    <col min="13" max="14" width="7.33203125" customWidth="1"/>
    <col min="15" max="15" width="14.21875" customWidth="1"/>
    <col min="16" max="16" width="6.5546875" customWidth="1"/>
    <col min="17" max="17" width="6.44140625" customWidth="1"/>
    <col min="18" max="18" width="9.5546875" customWidth="1"/>
    <col min="19" max="19" width="10.44140625" customWidth="1"/>
    <col min="21" max="21" width="7.33203125" customWidth="1"/>
    <col min="22" max="22" width="9.109375" customWidth="1"/>
    <col min="23" max="23" width="5.33203125" bestFit="1" customWidth="1"/>
    <col min="24" max="24" width="7.44140625" customWidth="1"/>
    <col min="25" max="25" width="7.88671875" customWidth="1"/>
    <col min="26" max="26" width="5.33203125" bestFit="1" customWidth="1"/>
    <col min="27" max="27" width="7.6640625" customWidth="1"/>
    <col min="28" max="28" width="7.5546875" customWidth="1"/>
    <col min="29" max="29" width="7.109375" customWidth="1"/>
  </cols>
  <sheetData>
    <row r="2" spans="2:29">
      <c r="B2" s="170" t="s">
        <v>0</v>
      </c>
      <c r="C2" s="172" t="s">
        <v>452</v>
      </c>
      <c r="G2" s="175" t="s">
        <v>24</v>
      </c>
      <c r="H2" s="175"/>
      <c r="I2" s="175"/>
      <c r="K2" s="161" t="s">
        <v>32</v>
      </c>
      <c r="L2" s="162"/>
      <c r="Q2" s="159" t="s">
        <v>33</v>
      </c>
      <c r="R2" s="160"/>
      <c r="S2" s="17" t="s">
        <v>129</v>
      </c>
    </row>
    <row r="3" spans="2:29">
      <c r="B3" s="171"/>
      <c r="C3" s="173"/>
      <c r="G3" s="176" t="s">
        <v>38</v>
      </c>
      <c r="H3" s="176"/>
      <c r="I3" s="176"/>
      <c r="K3" s="194" t="s">
        <v>128</v>
      </c>
      <c r="L3" s="194"/>
      <c r="M3" s="194"/>
      <c r="N3" s="194"/>
      <c r="O3" s="194"/>
      <c r="Q3" s="159" t="s">
        <v>34</v>
      </c>
      <c r="R3" s="160"/>
      <c r="S3" s="17" t="s">
        <v>130</v>
      </c>
      <c r="T3" s="17" t="s">
        <v>471</v>
      </c>
    </row>
    <row r="4" spans="2:29" ht="21">
      <c r="B4" s="88" t="s">
        <v>23</v>
      </c>
      <c r="C4" s="89">
        <v>1017</v>
      </c>
      <c r="G4" s="174" t="s">
        <v>19</v>
      </c>
      <c r="H4" s="174"/>
      <c r="K4" s="194"/>
      <c r="L4" s="194"/>
      <c r="M4" s="194"/>
      <c r="N4" s="194"/>
      <c r="O4" s="194"/>
    </row>
    <row r="5" spans="2:29">
      <c r="B5" s="6" t="s">
        <v>1</v>
      </c>
      <c r="C5" s="7">
        <v>96</v>
      </c>
      <c r="G5" s="9" t="s">
        <v>25</v>
      </c>
      <c r="H5" s="25">
        <v>0.5</v>
      </c>
      <c r="I5" t="s">
        <v>453</v>
      </c>
      <c r="K5" s="157" t="s">
        <v>25</v>
      </c>
      <c r="L5" s="158"/>
      <c r="M5" s="25">
        <v>0.49791666666666662</v>
      </c>
      <c r="N5" s="40" t="s">
        <v>454</v>
      </c>
      <c r="O5">
        <f>3+49*60+12</f>
        <v>2955</v>
      </c>
      <c r="P5">
        <f>O5-110</f>
        <v>2845</v>
      </c>
      <c r="Q5">
        <f>P5-120</f>
        <v>2725</v>
      </c>
    </row>
    <row r="6" spans="2:29">
      <c r="B6" s="6" t="s">
        <v>2</v>
      </c>
      <c r="C6" s="8">
        <v>180</v>
      </c>
      <c r="G6" s="9" t="s">
        <v>26</v>
      </c>
      <c r="H6" s="25">
        <v>0.62847222222222221</v>
      </c>
      <c r="K6" s="157" t="s">
        <v>26</v>
      </c>
      <c r="L6" s="158"/>
      <c r="M6" s="25">
        <v>0.54999999999999993</v>
      </c>
      <c r="N6" s="40" t="s">
        <v>472</v>
      </c>
    </row>
    <row r="7" spans="2:29">
      <c r="B7" s="6" t="s">
        <v>3</v>
      </c>
      <c r="C7" s="8" t="s">
        <v>18</v>
      </c>
    </row>
    <row r="8" spans="2:29">
      <c r="B8" s="6" t="s">
        <v>8</v>
      </c>
      <c r="C8" s="8">
        <v>46</v>
      </c>
    </row>
    <row r="10" spans="2:29" ht="15" thickBot="1">
      <c r="U10" s="106" t="s">
        <v>63</v>
      </c>
      <c r="V10" s="106" t="s">
        <v>62</v>
      </c>
      <c r="W10" s="154" t="s">
        <v>63</v>
      </c>
      <c r="X10" s="155"/>
      <c r="Y10" s="156"/>
      <c r="Z10" s="154" t="s">
        <v>62</v>
      </c>
      <c r="AA10" s="155"/>
      <c r="AB10" s="156"/>
    </row>
    <row r="11" spans="2:29" ht="15" customHeight="1">
      <c r="B11" s="165" t="s">
        <v>4</v>
      </c>
      <c r="C11" s="165" t="s">
        <v>5</v>
      </c>
      <c r="D11" s="165" t="s">
        <v>6</v>
      </c>
      <c r="E11" s="165" t="s">
        <v>671</v>
      </c>
      <c r="F11" s="165" t="s">
        <v>28</v>
      </c>
      <c r="G11" s="177" t="s">
        <v>7</v>
      </c>
      <c r="H11" s="178"/>
      <c r="I11" s="165" t="s">
        <v>9</v>
      </c>
      <c r="J11" s="165" t="s">
        <v>29</v>
      </c>
      <c r="K11" s="177" t="s">
        <v>27</v>
      </c>
      <c r="L11" s="178"/>
      <c r="M11" s="177" t="s">
        <v>31</v>
      </c>
      <c r="N11" s="178"/>
      <c r="O11" s="165" t="s">
        <v>30</v>
      </c>
      <c r="R11" s="10" t="s">
        <v>10</v>
      </c>
      <c r="S11" s="10" t="s">
        <v>11</v>
      </c>
      <c r="T11" s="10" t="s">
        <v>12</v>
      </c>
      <c r="U11" s="184" t="s">
        <v>13</v>
      </c>
      <c r="V11" s="185"/>
      <c r="W11" s="23" t="s">
        <v>14</v>
      </c>
      <c r="X11" s="22" t="s">
        <v>15</v>
      </c>
      <c r="Y11" s="22" t="s">
        <v>35</v>
      </c>
      <c r="Z11" s="24" t="s">
        <v>14</v>
      </c>
      <c r="AA11" s="24" t="s">
        <v>36</v>
      </c>
      <c r="AB11" s="24" t="s">
        <v>37</v>
      </c>
    </row>
    <row r="12" spans="2:29">
      <c r="B12" s="166"/>
      <c r="C12" s="166"/>
      <c r="D12" s="166"/>
      <c r="E12" s="166"/>
      <c r="F12" s="166"/>
      <c r="G12" s="87" t="s">
        <v>16</v>
      </c>
      <c r="H12" s="19" t="s">
        <v>17</v>
      </c>
      <c r="I12" s="166"/>
      <c r="J12" s="166"/>
      <c r="K12" s="20" t="s">
        <v>63</v>
      </c>
      <c r="L12" s="21" t="s">
        <v>87</v>
      </c>
      <c r="M12" s="20" t="s">
        <v>63</v>
      </c>
      <c r="N12" s="21" t="s">
        <v>87</v>
      </c>
      <c r="O12" s="166"/>
      <c r="R12" s="197" t="s">
        <v>454</v>
      </c>
      <c r="S12" s="2">
        <v>0.49791666666666662</v>
      </c>
      <c r="T12" s="2">
        <v>0.50138888888888888</v>
      </c>
      <c r="U12" s="11">
        <v>5</v>
      </c>
      <c r="V12" s="11">
        <v>5</v>
      </c>
      <c r="W12" s="11">
        <v>72</v>
      </c>
      <c r="X12" s="1">
        <f>W12*0.25</f>
        <v>18</v>
      </c>
      <c r="Y12" s="1">
        <f>X12*U12/60</f>
        <v>1.5</v>
      </c>
      <c r="Z12" s="11">
        <v>72</v>
      </c>
      <c r="AA12" s="1">
        <f>Z12*1.9</f>
        <v>136.79999999999998</v>
      </c>
      <c r="AB12" s="1">
        <f t="shared" ref="AB12:AB17" si="0">AA12*V12/60</f>
        <v>11.399999999999999</v>
      </c>
    </row>
    <row r="13" spans="2:29">
      <c r="B13" s="167">
        <v>43787</v>
      </c>
      <c r="C13" s="33">
        <v>0.49791666666666662</v>
      </c>
      <c r="D13" s="3" t="s">
        <v>455</v>
      </c>
      <c r="E13" s="3">
        <v>0</v>
      </c>
      <c r="F13" s="3" t="s">
        <v>370</v>
      </c>
      <c r="G13" s="3">
        <v>110</v>
      </c>
      <c r="H13" s="3">
        <v>72</v>
      </c>
      <c r="I13" s="3">
        <v>81</v>
      </c>
      <c r="J13" s="3"/>
      <c r="K13" s="1"/>
      <c r="L13" s="3"/>
      <c r="M13" s="182" t="s">
        <v>344</v>
      </c>
      <c r="N13" s="183"/>
      <c r="O13" s="3" t="s">
        <v>468</v>
      </c>
      <c r="R13" s="197"/>
      <c r="S13" s="2">
        <v>0.50138888888888888</v>
      </c>
      <c r="T13" s="2">
        <v>0.51180555555555551</v>
      </c>
      <c r="U13" s="11">
        <v>15</v>
      </c>
      <c r="V13" s="11">
        <v>15</v>
      </c>
      <c r="W13" s="11">
        <v>5</v>
      </c>
      <c r="X13" s="1">
        <f>W13*0.25</f>
        <v>1.25</v>
      </c>
      <c r="Y13" s="1">
        <f>X13*U13/60</f>
        <v>0.3125</v>
      </c>
      <c r="Z13" s="11">
        <v>5</v>
      </c>
      <c r="AA13" s="1">
        <f>Z13*1.9</f>
        <v>9.5</v>
      </c>
      <c r="AB13" s="1">
        <f t="shared" si="0"/>
        <v>2.375</v>
      </c>
    </row>
    <row r="14" spans="2:29">
      <c r="B14" s="168"/>
      <c r="C14" s="33">
        <v>0.50138888888888888</v>
      </c>
      <c r="D14" s="34"/>
      <c r="E14" s="34"/>
      <c r="F14" s="34" t="s">
        <v>370</v>
      </c>
      <c r="G14" s="34">
        <v>110</v>
      </c>
      <c r="H14" s="34">
        <v>68</v>
      </c>
      <c r="I14" s="34">
        <v>80</v>
      </c>
      <c r="J14" s="34"/>
      <c r="K14" s="35" t="s">
        <v>58</v>
      </c>
      <c r="L14" s="35" t="s">
        <v>58</v>
      </c>
      <c r="M14" s="3"/>
      <c r="N14" s="3"/>
      <c r="O14" s="3"/>
      <c r="R14" s="197"/>
      <c r="S14" s="2">
        <v>0.51180555555555551</v>
      </c>
      <c r="T14" s="2">
        <v>0.6875</v>
      </c>
      <c r="U14" s="11">
        <v>253</v>
      </c>
      <c r="V14" s="11">
        <f>43+3.5*60</f>
        <v>253</v>
      </c>
      <c r="W14" s="11">
        <v>7</v>
      </c>
      <c r="X14" s="1">
        <f>W14*0.25</f>
        <v>1.75</v>
      </c>
      <c r="Y14" s="1">
        <f>X14*U14/60</f>
        <v>7.3791666666666664</v>
      </c>
      <c r="Z14" s="11">
        <v>7</v>
      </c>
      <c r="AA14" s="1">
        <f>Z14*1.9</f>
        <v>13.299999999999999</v>
      </c>
      <c r="AB14" s="1">
        <f t="shared" si="0"/>
        <v>56.081666666666663</v>
      </c>
    </row>
    <row r="15" spans="2:29">
      <c r="B15" s="168"/>
      <c r="C15" s="2">
        <v>0.50486111111111109</v>
      </c>
      <c r="D15" s="3" t="s">
        <v>456</v>
      </c>
      <c r="E15" s="127">
        <v>0.29801249296500798</v>
      </c>
      <c r="F15" s="3" t="s">
        <v>370</v>
      </c>
      <c r="G15" s="3">
        <v>116</v>
      </c>
      <c r="H15" s="3">
        <v>79</v>
      </c>
      <c r="I15" s="3">
        <v>83</v>
      </c>
      <c r="J15" s="3"/>
      <c r="K15" s="1">
        <v>5</v>
      </c>
      <c r="L15" s="1">
        <v>5</v>
      </c>
      <c r="M15" s="3"/>
      <c r="N15" s="3"/>
      <c r="O15" s="3"/>
      <c r="R15" s="197"/>
      <c r="S15" s="2">
        <v>0.6875</v>
      </c>
      <c r="T15" s="2">
        <v>0.77083333333333337</v>
      </c>
      <c r="U15" s="11">
        <v>0</v>
      </c>
      <c r="V15" s="11">
        <v>120</v>
      </c>
      <c r="W15" s="11" t="s">
        <v>99</v>
      </c>
      <c r="X15" s="1" t="s">
        <v>99</v>
      </c>
      <c r="Y15" s="1"/>
      <c r="Z15" s="107">
        <v>5</v>
      </c>
      <c r="AA15" s="108">
        <v>10</v>
      </c>
      <c r="AB15" s="108">
        <f t="shared" si="0"/>
        <v>20</v>
      </c>
    </row>
    <row r="16" spans="2:29">
      <c r="B16" s="168"/>
      <c r="C16" s="2">
        <v>0.51180555555555551</v>
      </c>
      <c r="D16" s="3"/>
      <c r="E16" s="3"/>
      <c r="F16" s="3" t="s">
        <v>370</v>
      </c>
      <c r="G16" s="3">
        <v>125</v>
      </c>
      <c r="H16" s="3">
        <v>90</v>
      </c>
      <c r="I16" s="3">
        <v>76</v>
      </c>
      <c r="J16" s="3"/>
      <c r="K16" s="16">
        <v>7</v>
      </c>
      <c r="L16" s="16">
        <v>7</v>
      </c>
      <c r="M16" s="3"/>
      <c r="N16" s="3"/>
      <c r="O16" s="3"/>
      <c r="R16" s="101" t="s">
        <v>473</v>
      </c>
      <c r="S16" s="2">
        <v>0.77083333333333337</v>
      </c>
      <c r="T16" s="2">
        <v>0.77430555555555547</v>
      </c>
      <c r="U16" s="11">
        <v>1445</v>
      </c>
      <c r="V16" s="11">
        <f>24*60+5</f>
        <v>1445</v>
      </c>
      <c r="W16" s="11">
        <v>5</v>
      </c>
      <c r="X16" s="1">
        <f>W16*0.25</f>
        <v>1.25</v>
      </c>
      <c r="Y16" s="1">
        <f>X16*U16/60</f>
        <v>30.104166666666668</v>
      </c>
      <c r="Z16" s="11">
        <v>5</v>
      </c>
      <c r="AA16" s="1">
        <f>Z16*1.9</f>
        <v>9.5</v>
      </c>
      <c r="AB16" s="1">
        <f t="shared" si="0"/>
        <v>228.79166666666666</v>
      </c>
      <c r="AC16">
        <f>AB16+AC15</f>
        <v>228.79166666666666</v>
      </c>
    </row>
    <row r="17" spans="2:28">
      <c r="B17" s="168"/>
      <c r="C17" s="2">
        <v>0.52222222222222225</v>
      </c>
      <c r="D17" s="3" t="s">
        <v>457</v>
      </c>
      <c r="E17" s="3">
        <v>0</v>
      </c>
      <c r="F17" s="3" t="s">
        <v>370</v>
      </c>
      <c r="G17" s="3">
        <v>106</v>
      </c>
      <c r="H17" s="3">
        <v>64</v>
      </c>
      <c r="I17" s="3">
        <v>72</v>
      </c>
      <c r="J17" s="3"/>
      <c r="K17" s="1">
        <v>7</v>
      </c>
      <c r="L17" s="1">
        <v>7</v>
      </c>
      <c r="M17" s="3"/>
      <c r="N17" s="3"/>
      <c r="O17" s="3" t="s">
        <v>662</v>
      </c>
      <c r="R17" s="101" t="s">
        <v>474</v>
      </c>
      <c r="S17" s="2">
        <v>0.85069444444444453</v>
      </c>
      <c r="T17" s="2">
        <v>0.54999999999999993</v>
      </c>
      <c r="U17" s="11">
        <f>35+16*60+12</f>
        <v>1007</v>
      </c>
      <c r="V17" s="11">
        <f>35+16*60+12</f>
        <v>1007</v>
      </c>
      <c r="W17" s="11">
        <v>6</v>
      </c>
      <c r="X17" s="1">
        <f>W17*0.25</f>
        <v>1.5</v>
      </c>
      <c r="Y17" s="1">
        <f>X17*U17/60</f>
        <v>25.175000000000001</v>
      </c>
      <c r="Z17" s="11">
        <v>6</v>
      </c>
      <c r="AA17" s="1">
        <f>Z17*1.9</f>
        <v>11.399999999999999</v>
      </c>
      <c r="AB17" s="1">
        <f t="shared" si="0"/>
        <v>191.32999999999998</v>
      </c>
    </row>
    <row r="18" spans="2:28">
      <c r="B18" s="168"/>
      <c r="C18" s="2">
        <v>0.54652777777777783</v>
      </c>
      <c r="D18" s="3" t="s">
        <v>458</v>
      </c>
      <c r="E18" s="127">
        <v>4.5161435305095303E-2</v>
      </c>
      <c r="F18" s="3" t="s">
        <v>370</v>
      </c>
      <c r="G18" s="3">
        <v>84</v>
      </c>
      <c r="H18" s="3">
        <v>54</v>
      </c>
      <c r="I18" s="3">
        <v>79</v>
      </c>
      <c r="J18" s="3"/>
      <c r="K18" s="1">
        <v>7</v>
      </c>
      <c r="L18" s="1">
        <v>7</v>
      </c>
      <c r="M18" s="3"/>
      <c r="N18" s="3"/>
      <c r="O18" s="3" t="s">
        <v>663</v>
      </c>
      <c r="R18" s="10" t="s">
        <v>21</v>
      </c>
      <c r="S18" s="11"/>
      <c r="T18" s="11"/>
      <c r="U18" s="10">
        <f>SUM(U12:U17)</f>
        <v>2725</v>
      </c>
      <c r="V18" s="10">
        <f>SUM(V12:V17)</f>
        <v>2845</v>
      </c>
      <c r="Y18" s="10">
        <f>SUM(Y12:Y17)</f>
        <v>64.470833333333331</v>
      </c>
      <c r="AB18" s="10">
        <f>SUM(AB12:AB17)</f>
        <v>509.9783333333333</v>
      </c>
    </row>
    <row r="19" spans="2:28">
      <c r="B19" s="168"/>
      <c r="C19" s="2">
        <v>0.58472222222222225</v>
      </c>
      <c r="D19" s="3" t="s">
        <v>459</v>
      </c>
      <c r="E19" s="3">
        <v>0</v>
      </c>
      <c r="F19" s="3" t="s">
        <v>370</v>
      </c>
      <c r="G19" s="3">
        <v>86</v>
      </c>
      <c r="H19" s="3">
        <v>61</v>
      </c>
      <c r="I19" s="3">
        <v>82</v>
      </c>
      <c r="J19" s="3"/>
      <c r="K19" s="1">
        <v>7</v>
      </c>
      <c r="L19" s="1">
        <v>7</v>
      </c>
      <c r="M19" s="3"/>
      <c r="N19" s="3"/>
      <c r="O19" s="3"/>
      <c r="U19">
        <f>U18/60</f>
        <v>45.416666666666664</v>
      </c>
      <c r="V19">
        <f>V18/60</f>
        <v>47.416666666666664</v>
      </c>
    </row>
    <row r="20" spans="2:28">
      <c r="B20" s="168"/>
      <c r="C20" s="30">
        <v>0.6875</v>
      </c>
      <c r="D20" s="31"/>
      <c r="E20" s="31"/>
      <c r="F20" s="31">
        <v>0</v>
      </c>
      <c r="G20" s="31">
        <v>115</v>
      </c>
      <c r="H20" s="31">
        <v>80</v>
      </c>
      <c r="I20" s="31">
        <v>80</v>
      </c>
      <c r="J20" s="31"/>
      <c r="K20" s="32" t="s">
        <v>20</v>
      </c>
      <c r="L20" s="105">
        <v>5</v>
      </c>
      <c r="M20" s="3"/>
      <c r="N20" s="3"/>
      <c r="O20" s="3" t="s">
        <v>469</v>
      </c>
    </row>
    <row r="21" spans="2:28">
      <c r="B21" s="168"/>
      <c r="C21" s="2">
        <v>0.75138888888888899</v>
      </c>
      <c r="D21" s="3" t="s">
        <v>460</v>
      </c>
      <c r="E21" s="127">
        <v>0.80101292402988</v>
      </c>
      <c r="F21" s="3">
        <v>0</v>
      </c>
      <c r="G21" s="3">
        <v>133</v>
      </c>
      <c r="H21" s="3">
        <v>79</v>
      </c>
      <c r="I21" s="3">
        <v>106</v>
      </c>
      <c r="J21" s="3"/>
      <c r="K21" s="1">
        <v>0</v>
      </c>
      <c r="L21" s="105">
        <v>5</v>
      </c>
      <c r="M21" s="3"/>
      <c r="N21" s="3"/>
      <c r="O21" s="3" t="s">
        <v>470</v>
      </c>
    </row>
    <row r="22" spans="2:28">
      <c r="B22" s="168"/>
      <c r="C22" s="33">
        <v>0.77083333333333337</v>
      </c>
      <c r="D22" s="34"/>
      <c r="E22" s="34"/>
      <c r="F22" s="34">
        <v>0</v>
      </c>
      <c r="G22" s="34">
        <v>133</v>
      </c>
      <c r="H22" s="34">
        <v>79</v>
      </c>
      <c r="I22" s="34">
        <v>106</v>
      </c>
      <c r="J22" s="34"/>
      <c r="K22" s="35" t="s">
        <v>58</v>
      </c>
      <c r="L22" s="105">
        <v>5</v>
      </c>
      <c r="M22" s="3"/>
      <c r="N22" s="3"/>
      <c r="O22" s="3"/>
      <c r="Q22">
        <v>120</v>
      </c>
    </row>
    <row r="23" spans="2:28">
      <c r="B23" s="169"/>
      <c r="C23" s="2">
        <v>0.97291666666666676</v>
      </c>
      <c r="D23" s="3" t="s">
        <v>461</v>
      </c>
      <c r="E23" s="127">
        <v>1.4760136770135599</v>
      </c>
      <c r="F23" s="3">
        <v>0</v>
      </c>
      <c r="G23" s="3">
        <v>117</v>
      </c>
      <c r="H23" s="3">
        <v>71</v>
      </c>
      <c r="I23" s="3">
        <v>108</v>
      </c>
      <c r="J23" s="3"/>
      <c r="K23" s="1">
        <v>5</v>
      </c>
      <c r="L23" s="1">
        <v>5</v>
      </c>
      <c r="M23" s="3"/>
      <c r="N23" s="3"/>
      <c r="O23" s="3"/>
    </row>
    <row r="24" spans="2:28">
      <c r="B24" s="167">
        <v>43788</v>
      </c>
      <c r="C24" s="2">
        <v>0.51388888888888895</v>
      </c>
      <c r="D24" s="3" t="s">
        <v>462</v>
      </c>
      <c r="E24" s="127">
        <v>3.5469102550504599</v>
      </c>
      <c r="F24" s="3">
        <v>0</v>
      </c>
      <c r="G24" s="3">
        <v>129</v>
      </c>
      <c r="H24" s="3">
        <v>78</v>
      </c>
      <c r="I24" s="3">
        <v>106</v>
      </c>
      <c r="J24" s="3"/>
      <c r="K24" s="1">
        <v>5</v>
      </c>
      <c r="L24" s="1">
        <v>5</v>
      </c>
      <c r="M24" s="3"/>
      <c r="N24" s="3"/>
      <c r="O24" s="3"/>
    </row>
    <row r="25" spans="2:28">
      <c r="B25" s="168"/>
      <c r="C25" s="30">
        <v>0.77430555555555547</v>
      </c>
      <c r="D25" s="31"/>
      <c r="E25" s="31"/>
      <c r="F25" s="31"/>
      <c r="G25" s="31"/>
      <c r="H25" s="31"/>
      <c r="I25" s="31"/>
      <c r="J25" s="31"/>
      <c r="K25" s="32" t="s">
        <v>20</v>
      </c>
      <c r="L25" s="32" t="s">
        <v>20</v>
      </c>
      <c r="M25" s="3"/>
      <c r="N25" s="3"/>
      <c r="O25" s="3"/>
      <c r="P25">
        <v>110</v>
      </c>
    </row>
    <row r="26" spans="2:28">
      <c r="B26" s="169"/>
      <c r="C26" s="33">
        <v>0.85069444444444453</v>
      </c>
      <c r="D26" s="34"/>
      <c r="E26" s="34"/>
      <c r="F26" s="34">
        <v>3</v>
      </c>
      <c r="G26" s="34">
        <v>134</v>
      </c>
      <c r="H26" s="34">
        <v>76</v>
      </c>
      <c r="I26" s="34">
        <v>102</v>
      </c>
      <c r="J26" s="34"/>
      <c r="K26" s="35" t="s">
        <v>261</v>
      </c>
      <c r="L26" s="35" t="s">
        <v>261</v>
      </c>
      <c r="M26" s="3"/>
      <c r="N26" s="3"/>
      <c r="O26" s="3"/>
    </row>
    <row r="27" spans="2:28">
      <c r="B27" s="167">
        <v>43789</v>
      </c>
      <c r="C27" s="30">
        <v>0.54999999999999993</v>
      </c>
      <c r="D27" s="31"/>
      <c r="E27" s="31"/>
      <c r="F27" s="31"/>
      <c r="G27" s="31"/>
      <c r="H27" s="31"/>
      <c r="I27" s="31"/>
      <c r="J27" s="31"/>
      <c r="K27" s="32" t="s">
        <v>20</v>
      </c>
      <c r="L27" s="32" t="s">
        <v>20</v>
      </c>
      <c r="M27" s="3"/>
      <c r="N27" s="3"/>
      <c r="O27" s="3"/>
    </row>
    <row r="28" spans="2:28">
      <c r="B28" s="168"/>
      <c r="C28" s="2">
        <v>0.59722222222222221</v>
      </c>
      <c r="D28" s="3" t="s">
        <v>463</v>
      </c>
      <c r="E28" s="134">
        <v>527.15477096759196</v>
      </c>
      <c r="F28" s="3">
        <v>1</v>
      </c>
      <c r="G28" s="3">
        <v>169</v>
      </c>
      <c r="H28" s="3">
        <v>94</v>
      </c>
      <c r="I28" s="3">
        <v>104</v>
      </c>
      <c r="J28" s="3"/>
      <c r="K28" s="1"/>
      <c r="L28" s="3"/>
      <c r="M28" s="3"/>
      <c r="N28" s="3"/>
      <c r="O28" s="3"/>
    </row>
    <row r="29" spans="2:28">
      <c r="B29" s="169"/>
      <c r="C29" s="2">
        <v>0.85416666666666663</v>
      </c>
      <c r="D29" s="3" t="s">
        <v>464</v>
      </c>
      <c r="E29" s="127">
        <v>4.5521075356537404</v>
      </c>
      <c r="F29" s="3">
        <v>5</v>
      </c>
      <c r="G29" s="3">
        <v>145</v>
      </c>
      <c r="H29" s="3">
        <v>93</v>
      </c>
      <c r="I29" s="3">
        <v>100</v>
      </c>
      <c r="J29" s="3"/>
      <c r="K29" s="1"/>
      <c r="L29" s="3"/>
      <c r="M29" s="3"/>
      <c r="N29" s="3"/>
      <c r="O29" s="3"/>
    </row>
    <row r="30" spans="2:28">
      <c r="B30" s="96">
        <v>43790</v>
      </c>
      <c r="C30" s="2">
        <v>0.65</v>
      </c>
      <c r="D30" s="3" t="s">
        <v>465</v>
      </c>
      <c r="E30" s="127">
        <v>12.5395044741818</v>
      </c>
      <c r="F30" s="3" t="s">
        <v>231</v>
      </c>
      <c r="G30" s="3">
        <v>154</v>
      </c>
      <c r="H30" s="3">
        <v>94</v>
      </c>
      <c r="I30" s="3">
        <v>106</v>
      </c>
      <c r="J30" s="3"/>
      <c r="K30" s="1"/>
      <c r="L30" s="3"/>
      <c r="M30" s="3"/>
      <c r="N30" s="3"/>
      <c r="O30" s="3"/>
    </row>
    <row r="31" spans="2:28">
      <c r="B31" s="96">
        <v>43791</v>
      </c>
      <c r="C31" s="2">
        <v>0.97013888888888899</v>
      </c>
      <c r="D31" s="3" t="s">
        <v>466</v>
      </c>
      <c r="E31" s="127">
        <v>0</v>
      </c>
      <c r="F31" s="3">
        <v>0</v>
      </c>
      <c r="G31" s="3">
        <v>142</v>
      </c>
      <c r="H31" s="3">
        <v>92</v>
      </c>
      <c r="I31" s="3">
        <v>102</v>
      </c>
      <c r="J31" s="3"/>
      <c r="K31" s="1"/>
      <c r="L31" s="3"/>
      <c r="M31" s="3"/>
      <c r="N31" s="3"/>
      <c r="O31" s="3"/>
    </row>
    <row r="32" spans="2:28">
      <c r="B32" s="96">
        <v>43792</v>
      </c>
      <c r="C32" s="2">
        <v>0.40277777777777773</v>
      </c>
      <c r="D32" s="3" t="s">
        <v>467</v>
      </c>
      <c r="E32" s="127">
        <v>0.28527012815879799</v>
      </c>
      <c r="F32" s="3">
        <v>0</v>
      </c>
      <c r="G32" s="3">
        <v>133</v>
      </c>
      <c r="H32" s="3">
        <v>98</v>
      </c>
      <c r="I32" s="3">
        <v>112</v>
      </c>
      <c r="J32" s="3"/>
      <c r="K32" s="1"/>
      <c r="L32" s="3"/>
      <c r="M32" s="3"/>
      <c r="N32" s="3"/>
      <c r="O32" s="3"/>
    </row>
  </sheetData>
  <mergeCells count="30">
    <mergeCell ref="W10:Y10"/>
    <mergeCell ref="Z10:AB10"/>
    <mergeCell ref="M13:N13"/>
    <mergeCell ref="J11:J12"/>
    <mergeCell ref="K11:L11"/>
    <mergeCell ref="M11:N11"/>
    <mergeCell ref="O11:O12"/>
    <mergeCell ref="B2:B3"/>
    <mergeCell ref="C2:C3"/>
    <mergeCell ref="G2:I2"/>
    <mergeCell ref="K2:L2"/>
    <mergeCell ref="B11:B12"/>
    <mergeCell ref="C11:C12"/>
    <mergeCell ref="D11:D12"/>
    <mergeCell ref="F11:F12"/>
    <mergeCell ref="G11:H11"/>
    <mergeCell ref="K5:L5"/>
    <mergeCell ref="K6:L6"/>
    <mergeCell ref="Q2:R2"/>
    <mergeCell ref="G3:I3"/>
    <mergeCell ref="K3:O4"/>
    <mergeCell ref="Q3:R3"/>
    <mergeCell ref="G4:H4"/>
    <mergeCell ref="B13:B23"/>
    <mergeCell ref="B24:B26"/>
    <mergeCell ref="B27:B29"/>
    <mergeCell ref="R12:R15"/>
    <mergeCell ref="U11:V11"/>
    <mergeCell ref="I11:I12"/>
    <mergeCell ref="E11:E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2:AB40"/>
  <sheetViews>
    <sheetView zoomScale="90" zoomScaleNormal="90" workbookViewId="0">
      <selection activeCell="AA16" sqref="AA16"/>
    </sheetView>
  </sheetViews>
  <sheetFormatPr defaultRowHeight="14.4"/>
  <cols>
    <col min="1" max="1" width="4" customWidth="1"/>
    <col min="2" max="2" width="11.44140625" bestFit="1" customWidth="1"/>
    <col min="3" max="3" width="16.21875" customWidth="1"/>
    <col min="4" max="5" width="9.77734375" customWidth="1"/>
    <col min="6" max="6" width="8.109375" customWidth="1"/>
    <col min="7" max="7" width="11.33203125" customWidth="1"/>
    <col min="8" max="8" width="8.21875" bestFit="1" customWidth="1"/>
    <col min="9" max="9" width="7.77734375" customWidth="1"/>
    <col min="10" max="10" width="8.5546875" customWidth="1"/>
    <col min="11" max="11" width="7.44140625" customWidth="1"/>
    <col min="12" max="12" width="6.44140625" customWidth="1"/>
    <col min="13" max="14" width="7.33203125" customWidth="1"/>
    <col min="15" max="15" width="14.21875" customWidth="1"/>
    <col min="16" max="16" width="6.5546875" customWidth="1"/>
    <col min="17" max="17" width="6.44140625" customWidth="1"/>
    <col min="18" max="18" width="9.33203125" customWidth="1"/>
    <col min="19" max="19" width="10.44140625" customWidth="1"/>
    <col min="21" max="21" width="7.33203125" customWidth="1"/>
    <col min="22" max="22" width="7.44140625" customWidth="1"/>
    <col min="23" max="23" width="5.33203125" bestFit="1" customWidth="1"/>
    <col min="24" max="24" width="7.44140625" customWidth="1"/>
    <col min="25" max="25" width="7.88671875" customWidth="1"/>
    <col min="26" max="26" width="5.33203125" bestFit="1" customWidth="1"/>
    <col min="27" max="27" width="7.6640625" customWidth="1"/>
    <col min="28" max="28" width="7.5546875" customWidth="1"/>
    <col min="29" max="29" width="7.109375" customWidth="1"/>
  </cols>
  <sheetData>
    <row r="2" spans="2:28">
      <c r="B2" s="170" t="s">
        <v>0</v>
      </c>
      <c r="C2" s="172" t="s">
        <v>475</v>
      </c>
      <c r="G2" s="175" t="s">
        <v>24</v>
      </c>
      <c r="H2" s="175"/>
      <c r="I2" s="175"/>
      <c r="K2" s="161" t="s">
        <v>32</v>
      </c>
      <c r="L2" s="162"/>
      <c r="Q2" s="159" t="s">
        <v>33</v>
      </c>
      <c r="R2" s="160"/>
      <c r="S2" s="17" t="s">
        <v>129</v>
      </c>
    </row>
    <row r="3" spans="2:28">
      <c r="B3" s="171"/>
      <c r="C3" s="173"/>
      <c r="G3" s="176" t="s">
        <v>38</v>
      </c>
      <c r="H3" s="176"/>
      <c r="I3" s="176"/>
      <c r="K3" s="194" t="s">
        <v>128</v>
      </c>
      <c r="L3" s="194"/>
      <c r="M3" s="194"/>
      <c r="N3" s="194"/>
      <c r="O3" s="194"/>
      <c r="Q3" s="159" t="s">
        <v>34</v>
      </c>
      <c r="R3" s="160"/>
      <c r="S3" s="17" t="s">
        <v>130</v>
      </c>
      <c r="T3" s="17" t="s">
        <v>471</v>
      </c>
    </row>
    <row r="4" spans="2:28" ht="21">
      <c r="B4" s="88" t="s">
        <v>23</v>
      </c>
      <c r="C4" s="89">
        <v>1018</v>
      </c>
      <c r="G4" s="174" t="s">
        <v>19</v>
      </c>
      <c r="H4" s="174"/>
      <c r="K4" s="194"/>
      <c r="L4" s="194"/>
      <c r="M4" s="194"/>
      <c r="N4" s="194"/>
      <c r="O4" s="194"/>
    </row>
    <row r="5" spans="2:28">
      <c r="B5" s="6" t="s">
        <v>1</v>
      </c>
      <c r="C5" s="7">
        <v>59</v>
      </c>
      <c r="G5" s="9" t="s">
        <v>25</v>
      </c>
      <c r="H5" s="25">
        <v>0.44097222222222227</v>
      </c>
      <c r="I5" t="s">
        <v>476</v>
      </c>
      <c r="K5" s="157" t="s">
        <v>25</v>
      </c>
      <c r="L5" s="158"/>
      <c r="M5" s="40" t="s">
        <v>496</v>
      </c>
      <c r="N5" s="25">
        <v>0.44930555555555557</v>
      </c>
      <c r="O5">
        <f>13+(13+48+6)*60+15</f>
        <v>4048</v>
      </c>
      <c r="P5">
        <f>O5-81</f>
        <v>3967</v>
      </c>
    </row>
    <row r="6" spans="2:28">
      <c r="B6" s="6" t="s">
        <v>2</v>
      </c>
      <c r="C6" s="8">
        <v>170</v>
      </c>
      <c r="G6" s="9" t="s">
        <v>26</v>
      </c>
      <c r="H6" s="25">
        <v>0.56944444444444442</v>
      </c>
      <c r="K6" s="157" t="s">
        <v>26</v>
      </c>
      <c r="L6" s="158"/>
      <c r="M6" s="40" t="s">
        <v>497</v>
      </c>
      <c r="N6" s="25">
        <v>0.26041666666666669</v>
      </c>
    </row>
    <row r="7" spans="2:28">
      <c r="B7" s="6" t="s">
        <v>3</v>
      </c>
      <c r="C7" s="8" t="s">
        <v>102</v>
      </c>
    </row>
    <row r="8" spans="2:28">
      <c r="B8" s="6" t="s">
        <v>8</v>
      </c>
      <c r="C8" s="8">
        <v>34</v>
      </c>
    </row>
    <row r="10" spans="2:28" ht="15" thickBot="1">
      <c r="U10" s="106" t="s">
        <v>63</v>
      </c>
      <c r="V10" s="106" t="s">
        <v>62</v>
      </c>
      <c r="W10" s="154" t="s">
        <v>63</v>
      </c>
      <c r="X10" s="155"/>
      <c r="Y10" s="156"/>
      <c r="Z10" s="154" t="s">
        <v>62</v>
      </c>
      <c r="AA10" s="155"/>
      <c r="AB10" s="156"/>
    </row>
    <row r="11" spans="2:28" ht="15" customHeight="1">
      <c r="B11" s="165" t="s">
        <v>4</v>
      </c>
      <c r="C11" s="165" t="s">
        <v>5</v>
      </c>
      <c r="D11" s="165" t="s">
        <v>6</v>
      </c>
      <c r="E11" s="165" t="s">
        <v>671</v>
      </c>
      <c r="F11" s="165" t="s">
        <v>28</v>
      </c>
      <c r="G11" s="177" t="s">
        <v>7</v>
      </c>
      <c r="H11" s="178"/>
      <c r="I11" s="165" t="s">
        <v>9</v>
      </c>
      <c r="J11" s="165" t="s">
        <v>29</v>
      </c>
      <c r="K11" s="177" t="s">
        <v>27</v>
      </c>
      <c r="L11" s="178"/>
      <c r="M11" s="177" t="s">
        <v>31</v>
      </c>
      <c r="N11" s="178"/>
      <c r="O11" s="165" t="s">
        <v>30</v>
      </c>
      <c r="R11" s="10" t="s">
        <v>10</v>
      </c>
      <c r="S11" s="10" t="s">
        <v>11</v>
      </c>
      <c r="T11" s="10" t="s">
        <v>12</v>
      </c>
      <c r="U11" s="184" t="s">
        <v>13</v>
      </c>
      <c r="V11" s="185"/>
      <c r="W11" s="23" t="s">
        <v>14</v>
      </c>
      <c r="X11" s="22" t="s">
        <v>15</v>
      </c>
      <c r="Y11" s="22" t="s">
        <v>35</v>
      </c>
      <c r="Z11" s="24" t="s">
        <v>14</v>
      </c>
      <c r="AA11" s="24" t="s">
        <v>36</v>
      </c>
      <c r="AB11" s="24" t="s">
        <v>37</v>
      </c>
    </row>
    <row r="12" spans="2:28">
      <c r="B12" s="166"/>
      <c r="C12" s="166"/>
      <c r="D12" s="166"/>
      <c r="E12" s="166"/>
      <c r="F12" s="166"/>
      <c r="G12" s="87" t="s">
        <v>16</v>
      </c>
      <c r="H12" s="19" t="s">
        <v>17</v>
      </c>
      <c r="I12" s="166"/>
      <c r="J12" s="166"/>
      <c r="K12" s="20" t="s">
        <v>63</v>
      </c>
      <c r="L12" s="21" t="s">
        <v>87</v>
      </c>
      <c r="M12" s="20" t="s">
        <v>63</v>
      </c>
      <c r="N12" s="21" t="s">
        <v>87</v>
      </c>
      <c r="O12" s="166"/>
      <c r="R12" s="197" t="s">
        <v>496</v>
      </c>
      <c r="S12" s="2">
        <v>0.44930555555555557</v>
      </c>
      <c r="T12" s="2">
        <v>0.4513888888888889</v>
      </c>
      <c r="U12" s="11">
        <v>3</v>
      </c>
      <c r="V12" s="11">
        <v>3</v>
      </c>
      <c r="W12" s="1">
        <v>100</v>
      </c>
      <c r="X12" s="1">
        <f>W12*0.25</f>
        <v>25</v>
      </c>
      <c r="Y12" s="1">
        <f>X12*U12/60</f>
        <v>1.25</v>
      </c>
      <c r="Z12" s="1">
        <v>100</v>
      </c>
      <c r="AA12" s="1">
        <f t="shared" ref="AA12:AA17" si="0">Z12*1.9</f>
        <v>190</v>
      </c>
      <c r="AB12" s="1">
        <f t="shared" ref="AB12:AB17" si="1">AA12*V12/60</f>
        <v>9.5</v>
      </c>
    </row>
    <row r="13" spans="2:28">
      <c r="B13" s="212" t="s">
        <v>476</v>
      </c>
      <c r="C13" s="2">
        <v>0.44861111111111113</v>
      </c>
      <c r="D13" s="3" t="s">
        <v>477</v>
      </c>
      <c r="E13" s="3">
        <v>0</v>
      </c>
      <c r="F13" s="3"/>
      <c r="G13" s="3">
        <v>123</v>
      </c>
      <c r="H13" s="3">
        <v>84</v>
      </c>
      <c r="I13" s="3">
        <v>99</v>
      </c>
      <c r="J13" s="3"/>
      <c r="K13" s="1"/>
      <c r="L13" s="3"/>
      <c r="M13" s="182"/>
      <c r="N13" s="183"/>
      <c r="O13" s="3"/>
      <c r="R13" s="197"/>
      <c r="S13" s="2">
        <v>0.4513888888888889</v>
      </c>
      <c r="T13" s="2">
        <v>0.45833333333333331</v>
      </c>
      <c r="U13" s="11">
        <v>10</v>
      </c>
      <c r="V13" s="11">
        <v>10</v>
      </c>
      <c r="W13" s="1">
        <v>5</v>
      </c>
      <c r="X13" s="1">
        <f>W13*0.25</f>
        <v>1.25</v>
      </c>
      <c r="Y13" s="1">
        <f>X13*U13/60</f>
        <v>0.20833333333333334</v>
      </c>
      <c r="Z13" s="1">
        <v>5</v>
      </c>
      <c r="AA13" s="1">
        <f t="shared" si="0"/>
        <v>9.5</v>
      </c>
      <c r="AB13" s="1">
        <f t="shared" si="1"/>
        <v>1.5833333333333333</v>
      </c>
    </row>
    <row r="14" spans="2:28">
      <c r="B14" s="213"/>
      <c r="C14" s="33">
        <v>0.44930555555555557</v>
      </c>
      <c r="D14" s="3"/>
      <c r="E14" s="3"/>
      <c r="F14" s="3" t="s">
        <v>370</v>
      </c>
      <c r="G14" s="3">
        <v>122</v>
      </c>
      <c r="H14" s="3">
        <v>84</v>
      </c>
      <c r="I14" s="3">
        <v>96</v>
      </c>
      <c r="J14" s="3"/>
      <c r="K14" s="1"/>
      <c r="L14" s="3"/>
      <c r="M14" s="182" t="s">
        <v>91</v>
      </c>
      <c r="N14" s="183"/>
      <c r="O14" s="3" t="s">
        <v>489</v>
      </c>
      <c r="R14" s="197"/>
      <c r="S14" s="2">
        <v>0.45833333333333331</v>
      </c>
      <c r="T14" s="2">
        <v>0.46875</v>
      </c>
      <c r="U14" s="11">
        <v>15</v>
      </c>
      <c r="V14" s="11">
        <v>15</v>
      </c>
      <c r="W14" s="1">
        <v>8</v>
      </c>
      <c r="X14" s="1">
        <f>W14*0.25</f>
        <v>2</v>
      </c>
      <c r="Y14" s="1">
        <f t="shared" ref="Y14:Y28" si="2">X14*U14/60</f>
        <v>0.5</v>
      </c>
      <c r="Z14" s="1">
        <v>8</v>
      </c>
      <c r="AA14" s="1">
        <f t="shared" si="0"/>
        <v>15.2</v>
      </c>
      <c r="AB14" s="1">
        <f t="shared" si="1"/>
        <v>3.8</v>
      </c>
    </row>
    <row r="15" spans="2:28">
      <c r="B15" s="213"/>
      <c r="C15" s="33">
        <v>0.4513888888888889</v>
      </c>
      <c r="D15" s="34"/>
      <c r="E15" s="34"/>
      <c r="F15" s="34" t="s">
        <v>370</v>
      </c>
      <c r="G15" s="34">
        <v>124</v>
      </c>
      <c r="H15" s="34">
        <v>85</v>
      </c>
      <c r="I15" s="34">
        <v>94</v>
      </c>
      <c r="J15" s="34"/>
      <c r="K15" s="16" t="s">
        <v>58</v>
      </c>
      <c r="L15" s="16" t="s">
        <v>58</v>
      </c>
      <c r="M15" s="3"/>
      <c r="N15" s="3"/>
      <c r="O15" s="3"/>
      <c r="R15" s="197"/>
      <c r="S15" s="2">
        <v>0.46875</v>
      </c>
      <c r="T15" s="2">
        <v>0.47083333333333338</v>
      </c>
      <c r="U15" s="11">
        <v>3</v>
      </c>
      <c r="V15" s="11">
        <v>3</v>
      </c>
      <c r="W15" s="1">
        <v>60</v>
      </c>
      <c r="X15" s="1">
        <f>W15*0.25</f>
        <v>15</v>
      </c>
      <c r="Y15" s="1">
        <f t="shared" si="2"/>
        <v>0.75</v>
      </c>
      <c r="Z15" s="1">
        <v>60</v>
      </c>
      <c r="AA15" s="1">
        <f t="shared" si="0"/>
        <v>114</v>
      </c>
      <c r="AB15" s="1">
        <f t="shared" si="1"/>
        <v>5.7</v>
      </c>
    </row>
    <row r="16" spans="2:28">
      <c r="B16" s="213"/>
      <c r="C16" s="2">
        <v>0.4548611111111111</v>
      </c>
      <c r="D16" s="3" t="s">
        <v>478</v>
      </c>
      <c r="E16" s="127">
        <v>0.65773614703260896</v>
      </c>
      <c r="F16" s="3" t="s">
        <v>370</v>
      </c>
      <c r="G16" s="3">
        <v>120</v>
      </c>
      <c r="H16" s="3">
        <v>83</v>
      </c>
      <c r="I16" s="3">
        <v>100</v>
      </c>
      <c r="J16" s="3"/>
      <c r="K16" s="1">
        <v>5</v>
      </c>
      <c r="L16" s="1">
        <v>5</v>
      </c>
      <c r="M16" s="3"/>
      <c r="N16" s="3"/>
      <c r="O16" s="3"/>
      <c r="R16" s="197"/>
      <c r="S16" s="2">
        <v>0.47083333333333338</v>
      </c>
      <c r="T16" s="2">
        <v>0.53055555555555556</v>
      </c>
      <c r="U16" s="11">
        <v>86</v>
      </c>
      <c r="V16" s="11">
        <v>86</v>
      </c>
      <c r="W16" s="11">
        <v>8</v>
      </c>
      <c r="X16" s="1">
        <f t="shared" ref="X16:X28" si="3">W16*0.25</f>
        <v>2</v>
      </c>
      <c r="Y16" s="1">
        <f t="shared" si="2"/>
        <v>2.8666666666666667</v>
      </c>
      <c r="Z16" s="11">
        <v>8</v>
      </c>
      <c r="AA16" s="1">
        <f t="shared" si="0"/>
        <v>15.2</v>
      </c>
      <c r="AB16" s="1">
        <f t="shared" si="1"/>
        <v>21.786666666666669</v>
      </c>
    </row>
    <row r="17" spans="2:28">
      <c r="B17" s="213"/>
      <c r="C17" s="2">
        <v>0.45833333333333331</v>
      </c>
      <c r="D17" s="3"/>
      <c r="F17" s="3" t="s">
        <v>370</v>
      </c>
      <c r="G17" s="3">
        <v>115</v>
      </c>
      <c r="H17" s="3">
        <v>64</v>
      </c>
      <c r="I17" s="3">
        <v>113</v>
      </c>
      <c r="J17" s="3"/>
      <c r="K17" s="16">
        <v>8</v>
      </c>
      <c r="L17" s="16">
        <v>8</v>
      </c>
      <c r="M17" s="3"/>
      <c r="N17" s="3"/>
      <c r="O17" s="3"/>
      <c r="R17" s="197"/>
      <c r="S17" s="2">
        <v>0.53055555555555556</v>
      </c>
      <c r="T17" s="2">
        <v>0.53263888888888888</v>
      </c>
      <c r="U17" s="11">
        <v>3</v>
      </c>
      <c r="V17" s="11">
        <v>3</v>
      </c>
      <c r="W17" s="11">
        <v>80</v>
      </c>
      <c r="X17" s="1">
        <f t="shared" si="3"/>
        <v>20</v>
      </c>
      <c r="Y17" s="1">
        <f t="shared" si="2"/>
        <v>1</v>
      </c>
      <c r="Z17" s="11">
        <v>80</v>
      </c>
      <c r="AA17" s="1">
        <f t="shared" si="0"/>
        <v>152</v>
      </c>
      <c r="AB17" s="1">
        <f t="shared" si="1"/>
        <v>7.6</v>
      </c>
    </row>
    <row r="18" spans="2:28">
      <c r="B18" s="213"/>
      <c r="C18" s="2">
        <v>0.46875</v>
      </c>
      <c r="D18" s="3"/>
      <c r="F18" s="3" t="s">
        <v>370</v>
      </c>
      <c r="G18" s="3">
        <v>130</v>
      </c>
      <c r="H18" s="3">
        <v>77</v>
      </c>
      <c r="I18" s="3">
        <v>115</v>
      </c>
      <c r="J18" s="3"/>
      <c r="K18" s="1">
        <v>8</v>
      </c>
      <c r="L18" s="1">
        <v>8</v>
      </c>
      <c r="M18" s="44">
        <v>3</v>
      </c>
      <c r="N18" s="44"/>
      <c r="O18" s="44" t="s">
        <v>489</v>
      </c>
      <c r="R18" s="197"/>
      <c r="S18" s="2">
        <v>0.53263888888888888</v>
      </c>
      <c r="T18" s="2">
        <v>0.59722222222222221</v>
      </c>
      <c r="U18" s="11">
        <v>93</v>
      </c>
      <c r="V18" s="11">
        <v>93</v>
      </c>
      <c r="W18" s="11">
        <v>8</v>
      </c>
      <c r="X18" s="1">
        <f t="shared" si="3"/>
        <v>2</v>
      </c>
      <c r="Y18" s="1">
        <f t="shared" si="2"/>
        <v>3.1</v>
      </c>
      <c r="Z18" s="11">
        <v>8</v>
      </c>
      <c r="AA18" s="1">
        <f t="shared" ref="AA18:AA28" si="4">Z18*1.9</f>
        <v>15.2</v>
      </c>
      <c r="AB18" s="1">
        <f t="shared" ref="AB18:AB29" si="5">AA18*V18/60</f>
        <v>23.56</v>
      </c>
    </row>
    <row r="19" spans="2:28">
      <c r="B19" s="213"/>
      <c r="C19" s="2">
        <v>0.47222222222222227</v>
      </c>
      <c r="D19" s="3" t="s">
        <v>479</v>
      </c>
      <c r="E19" s="127">
        <v>1.47835652900255</v>
      </c>
      <c r="F19" s="3" t="s">
        <v>370</v>
      </c>
      <c r="G19" s="3">
        <v>120</v>
      </c>
      <c r="H19" s="3">
        <v>85</v>
      </c>
      <c r="I19" s="3">
        <v>117</v>
      </c>
      <c r="J19" s="3"/>
      <c r="K19" s="1">
        <v>8</v>
      </c>
      <c r="L19" s="1">
        <v>8</v>
      </c>
      <c r="M19" s="3"/>
      <c r="N19" s="3"/>
      <c r="O19" s="3"/>
      <c r="R19" s="197"/>
      <c r="S19" s="2">
        <v>0.59722222222222221</v>
      </c>
      <c r="T19" s="2">
        <v>0.59930555555555554</v>
      </c>
      <c r="U19" s="11">
        <v>3</v>
      </c>
      <c r="V19" s="11">
        <v>3</v>
      </c>
      <c r="W19" s="11">
        <v>60</v>
      </c>
      <c r="X19" s="1">
        <f t="shared" si="3"/>
        <v>15</v>
      </c>
      <c r="Y19" s="1">
        <f t="shared" si="2"/>
        <v>0.75</v>
      </c>
      <c r="Z19" s="11">
        <v>60</v>
      </c>
      <c r="AA19" s="1">
        <f t="shared" si="4"/>
        <v>114</v>
      </c>
      <c r="AB19" s="1">
        <f t="shared" si="5"/>
        <v>5.7</v>
      </c>
    </row>
    <row r="20" spans="2:28">
      <c r="B20" s="213"/>
      <c r="C20" s="2">
        <v>0.49305555555555558</v>
      </c>
      <c r="D20" s="3" t="s">
        <v>480</v>
      </c>
      <c r="E20" s="127">
        <v>2.0307853344090798</v>
      </c>
      <c r="F20" s="3" t="s">
        <v>370</v>
      </c>
      <c r="G20" s="3">
        <v>133</v>
      </c>
      <c r="H20" s="3">
        <v>95</v>
      </c>
      <c r="I20" s="3">
        <v>82</v>
      </c>
      <c r="J20" s="3"/>
      <c r="K20" s="1">
        <v>8</v>
      </c>
      <c r="L20" s="1">
        <v>8</v>
      </c>
      <c r="M20" s="3"/>
      <c r="N20" s="3"/>
      <c r="O20" s="3"/>
      <c r="R20" s="197"/>
      <c r="S20" s="2">
        <v>0.59930555555555554</v>
      </c>
      <c r="T20" s="2">
        <v>0.60416666666666663</v>
      </c>
      <c r="U20" s="11">
        <v>7</v>
      </c>
      <c r="V20" s="11">
        <v>7</v>
      </c>
      <c r="W20" s="11">
        <v>8</v>
      </c>
      <c r="X20" s="1">
        <f t="shared" si="3"/>
        <v>2</v>
      </c>
      <c r="Y20" s="1">
        <f t="shared" si="2"/>
        <v>0.23333333333333334</v>
      </c>
      <c r="Z20" s="11">
        <v>8</v>
      </c>
      <c r="AA20" s="1">
        <f t="shared" si="4"/>
        <v>15.2</v>
      </c>
      <c r="AB20" s="1">
        <f t="shared" si="5"/>
        <v>1.7733333333333332</v>
      </c>
    </row>
    <row r="21" spans="2:28">
      <c r="B21" s="213"/>
      <c r="C21" s="2">
        <v>0.53055555555555556</v>
      </c>
      <c r="D21" s="3"/>
      <c r="F21" s="3" t="s">
        <v>370</v>
      </c>
      <c r="G21" s="3">
        <v>126</v>
      </c>
      <c r="H21" s="3">
        <v>79</v>
      </c>
      <c r="I21" s="3">
        <v>79</v>
      </c>
      <c r="J21" s="3"/>
      <c r="K21" s="1">
        <v>8</v>
      </c>
      <c r="L21" s="1">
        <v>8</v>
      </c>
      <c r="M21" s="44">
        <v>4</v>
      </c>
      <c r="N21" s="44"/>
      <c r="O21" s="44" t="s">
        <v>489</v>
      </c>
      <c r="R21" s="97" t="s">
        <v>495</v>
      </c>
      <c r="S21" s="2">
        <v>0.60416666666666663</v>
      </c>
      <c r="T21" s="2">
        <v>0.5</v>
      </c>
      <c r="U21" s="11">
        <f>21.5*60</f>
        <v>1290</v>
      </c>
      <c r="V21" s="11">
        <f>21.5*60</f>
        <v>1290</v>
      </c>
      <c r="W21" s="11">
        <v>10</v>
      </c>
      <c r="X21" s="1">
        <f t="shared" si="3"/>
        <v>2.5</v>
      </c>
      <c r="Y21" s="1">
        <f t="shared" si="2"/>
        <v>53.75</v>
      </c>
      <c r="Z21" s="11">
        <v>10</v>
      </c>
      <c r="AA21" s="1">
        <f t="shared" si="4"/>
        <v>19</v>
      </c>
      <c r="AB21" s="1">
        <f t="shared" si="5"/>
        <v>408.5</v>
      </c>
    </row>
    <row r="22" spans="2:28">
      <c r="B22" s="213"/>
      <c r="C22" s="2">
        <v>0.53472222222222221</v>
      </c>
      <c r="D22" s="3" t="s">
        <v>481</v>
      </c>
      <c r="E22" s="127">
        <v>2.3859251382618298</v>
      </c>
      <c r="F22" s="3" t="s">
        <v>370</v>
      </c>
      <c r="G22" s="3">
        <v>117</v>
      </c>
      <c r="H22" s="3">
        <v>90</v>
      </c>
      <c r="I22" s="3">
        <v>87</v>
      </c>
      <c r="J22" s="3"/>
      <c r="K22" s="1">
        <v>8</v>
      </c>
      <c r="L22" s="1">
        <v>8</v>
      </c>
      <c r="M22" s="3"/>
      <c r="N22" s="3"/>
      <c r="O22" s="3"/>
      <c r="R22" s="197" t="s">
        <v>498</v>
      </c>
      <c r="S22" s="2">
        <v>0.5</v>
      </c>
      <c r="T22" s="2">
        <v>0.50347222222222221</v>
      </c>
      <c r="U22" s="11">
        <v>5</v>
      </c>
      <c r="V22" s="11">
        <v>5</v>
      </c>
      <c r="W22" s="11">
        <v>12</v>
      </c>
      <c r="X22" s="1">
        <f t="shared" si="3"/>
        <v>3</v>
      </c>
      <c r="Y22" s="1">
        <f t="shared" si="2"/>
        <v>0.25</v>
      </c>
      <c r="Z22" s="11">
        <v>12</v>
      </c>
      <c r="AA22" s="1">
        <f t="shared" si="4"/>
        <v>22.799999999999997</v>
      </c>
      <c r="AB22" s="1">
        <f t="shared" si="5"/>
        <v>1.8999999999999997</v>
      </c>
    </row>
    <row r="23" spans="2:28">
      <c r="B23" s="213"/>
      <c r="C23" s="2">
        <v>0.59722222222222221</v>
      </c>
      <c r="D23" s="3"/>
      <c r="F23" s="3" t="s">
        <v>490</v>
      </c>
      <c r="G23" s="3">
        <v>98</v>
      </c>
      <c r="H23" s="3">
        <v>55</v>
      </c>
      <c r="I23" s="3">
        <v>98</v>
      </c>
      <c r="J23" s="3"/>
      <c r="K23" s="1">
        <v>8</v>
      </c>
      <c r="L23" s="1">
        <v>8</v>
      </c>
      <c r="M23" s="44">
        <v>3</v>
      </c>
      <c r="N23" s="44"/>
      <c r="O23" s="3" t="s">
        <v>491</v>
      </c>
      <c r="R23" s="197"/>
      <c r="S23" s="2">
        <v>0.50347222222222221</v>
      </c>
      <c r="T23" s="2">
        <v>0.50486111111111109</v>
      </c>
      <c r="U23" s="11">
        <v>2</v>
      </c>
      <c r="V23" s="11">
        <v>2</v>
      </c>
      <c r="W23" s="11">
        <v>60</v>
      </c>
      <c r="X23" s="1">
        <f t="shared" si="3"/>
        <v>15</v>
      </c>
      <c r="Y23" s="1">
        <f t="shared" si="2"/>
        <v>0.5</v>
      </c>
      <c r="Z23" s="11">
        <v>60</v>
      </c>
      <c r="AA23" s="1">
        <f t="shared" si="4"/>
        <v>114</v>
      </c>
      <c r="AB23" s="1">
        <f t="shared" si="5"/>
        <v>3.8</v>
      </c>
    </row>
    <row r="24" spans="2:28">
      <c r="B24" s="213"/>
      <c r="C24" s="2">
        <v>0.60416666666666663</v>
      </c>
      <c r="D24" s="3"/>
      <c r="F24" s="3" t="s">
        <v>232</v>
      </c>
      <c r="G24" s="3">
        <v>107</v>
      </c>
      <c r="H24" s="3">
        <v>58</v>
      </c>
      <c r="I24" s="3">
        <v>105</v>
      </c>
      <c r="J24" s="3"/>
      <c r="K24" s="16">
        <v>10</v>
      </c>
      <c r="L24" s="16">
        <v>10</v>
      </c>
      <c r="M24" s="3"/>
      <c r="N24" s="3"/>
      <c r="O24" s="3"/>
      <c r="R24" s="197"/>
      <c r="S24" s="2">
        <v>0.50486111111111109</v>
      </c>
      <c r="T24" s="2">
        <v>0.59027777777777779</v>
      </c>
      <c r="U24" s="11">
        <v>123</v>
      </c>
      <c r="V24" s="11">
        <v>123</v>
      </c>
      <c r="W24" s="11">
        <v>12</v>
      </c>
      <c r="X24" s="1">
        <f t="shared" si="3"/>
        <v>3</v>
      </c>
      <c r="Y24" s="1">
        <f t="shared" si="2"/>
        <v>6.15</v>
      </c>
      <c r="Z24" s="11">
        <v>12</v>
      </c>
      <c r="AA24" s="1">
        <f t="shared" si="4"/>
        <v>22.799999999999997</v>
      </c>
      <c r="AB24" s="1">
        <f t="shared" si="5"/>
        <v>46.739999999999995</v>
      </c>
    </row>
    <row r="25" spans="2:28">
      <c r="B25" s="213"/>
      <c r="C25" s="2">
        <v>0.70138888888888884</v>
      </c>
      <c r="D25" s="3" t="s">
        <v>482</v>
      </c>
      <c r="E25" s="127">
        <v>2.4163613712502299</v>
      </c>
      <c r="F25" s="3">
        <v>5</v>
      </c>
      <c r="G25" s="3">
        <v>106</v>
      </c>
      <c r="H25" s="3">
        <v>62</v>
      </c>
      <c r="I25" s="3">
        <v>88</v>
      </c>
      <c r="J25" s="3"/>
      <c r="K25" s="1">
        <v>10</v>
      </c>
      <c r="L25" s="1">
        <v>10</v>
      </c>
      <c r="M25" s="3"/>
      <c r="N25" s="3"/>
      <c r="O25" s="3"/>
      <c r="R25" s="197"/>
      <c r="S25" s="2">
        <v>0.59027777777777779</v>
      </c>
      <c r="T25" s="2">
        <v>0.59166666666666667</v>
      </c>
      <c r="U25" s="11">
        <v>2</v>
      </c>
      <c r="V25" s="11">
        <v>2</v>
      </c>
      <c r="W25" s="11">
        <v>60</v>
      </c>
      <c r="X25" s="1">
        <f t="shared" si="3"/>
        <v>15</v>
      </c>
      <c r="Y25" s="1">
        <f t="shared" si="2"/>
        <v>0.5</v>
      </c>
      <c r="Z25" s="11">
        <v>60</v>
      </c>
      <c r="AA25" s="1">
        <f t="shared" si="4"/>
        <v>114</v>
      </c>
      <c r="AB25" s="1">
        <f t="shared" si="5"/>
        <v>3.8</v>
      </c>
    </row>
    <row r="26" spans="2:28">
      <c r="B26" s="214"/>
      <c r="C26" s="2">
        <v>0.95138888888888884</v>
      </c>
      <c r="D26" s="3" t="s">
        <v>483</v>
      </c>
      <c r="E26" s="127">
        <v>4.9803787332579796</v>
      </c>
      <c r="F26" s="3">
        <v>5</v>
      </c>
      <c r="G26" s="3">
        <v>98</v>
      </c>
      <c r="H26" s="3">
        <v>54</v>
      </c>
      <c r="I26" s="3">
        <v>77</v>
      </c>
      <c r="J26" s="3"/>
      <c r="K26" s="1">
        <v>10</v>
      </c>
      <c r="L26" s="1">
        <v>10</v>
      </c>
      <c r="M26" s="3"/>
      <c r="N26" s="3"/>
      <c r="O26" s="3"/>
      <c r="R26" s="197"/>
      <c r="S26" s="2">
        <v>0.59166666666666667</v>
      </c>
      <c r="T26" s="2">
        <v>0.84305555555555556</v>
      </c>
      <c r="U26" s="11">
        <f>48+5*60+14</f>
        <v>362</v>
      </c>
      <c r="V26" s="11">
        <f>48+5*60+14</f>
        <v>362</v>
      </c>
      <c r="W26" s="11">
        <v>13</v>
      </c>
      <c r="X26" s="1">
        <f t="shared" si="3"/>
        <v>3.25</v>
      </c>
      <c r="Y26" s="1">
        <f t="shared" si="2"/>
        <v>19.608333333333334</v>
      </c>
      <c r="Z26" s="11">
        <v>13</v>
      </c>
      <c r="AA26" s="1">
        <f t="shared" si="4"/>
        <v>24.7</v>
      </c>
      <c r="AB26" s="1">
        <f t="shared" si="5"/>
        <v>149.02333333333334</v>
      </c>
    </row>
    <row r="27" spans="2:28">
      <c r="B27" s="167">
        <v>43797</v>
      </c>
      <c r="C27" s="2">
        <v>0.4513888888888889</v>
      </c>
      <c r="D27" s="3" t="s">
        <v>484</v>
      </c>
      <c r="E27" s="127">
        <v>10.3955975622487</v>
      </c>
      <c r="F27" s="3">
        <v>8</v>
      </c>
      <c r="G27" s="3">
        <v>124</v>
      </c>
      <c r="H27" s="3">
        <v>74</v>
      </c>
      <c r="I27" s="3">
        <v>74</v>
      </c>
      <c r="J27" s="3"/>
      <c r="K27" s="1">
        <v>10</v>
      </c>
      <c r="L27" s="1">
        <v>10</v>
      </c>
      <c r="M27" s="3"/>
      <c r="N27" s="3"/>
      <c r="O27" s="3"/>
      <c r="R27" s="97" t="s">
        <v>499</v>
      </c>
      <c r="S27" s="2">
        <v>0.85763888888888884</v>
      </c>
      <c r="T27" s="2">
        <v>0.83333333333333337</v>
      </c>
      <c r="U27" s="11">
        <f>1440-35</f>
        <v>1405</v>
      </c>
      <c r="V27" s="11">
        <f>1440-35</f>
        <v>1405</v>
      </c>
      <c r="W27" s="11">
        <v>13</v>
      </c>
      <c r="X27" s="1">
        <f t="shared" si="3"/>
        <v>3.25</v>
      </c>
      <c r="Y27" s="1">
        <f t="shared" si="2"/>
        <v>76.104166666666671</v>
      </c>
      <c r="Z27" s="11">
        <v>13</v>
      </c>
      <c r="AA27" s="1">
        <f t="shared" si="4"/>
        <v>24.7</v>
      </c>
      <c r="AB27" s="1">
        <f t="shared" si="5"/>
        <v>578.39166666666665</v>
      </c>
    </row>
    <row r="28" spans="2:28">
      <c r="B28" s="168"/>
      <c r="C28" s="2">
        <v>0.5</v>
      </c>
      <c r="D28" s="3"/>
      <c r="E28" s="3"/>
      <c r="F28" s="3">
        <v>8</v>
      </c>
      <c r="G28" s="3">
        <v>123</v>
      </c>
      <c r="H28" s="3">
        <v>73</v>
      </c>
      <c r="I28" s="3">
        <v>69</v>
      </c>
      <c r="J28" s="3"/>
      <c r="K28" s="16">
        <v>12</v>
      </c>
      <c r="L28" s="16">
        <v>12</v>
      </c>
      <c r="M28" s="3"/>
      <c r="N28" s="3"/>
      <c r="O28" s="3"/>
      <c r="R28" s="97" t="s">
        <v>500</v>
      </c>
      <c r="S28" s="2">
        <v>0.875</v>
      </c>
      <c r="T28" s="2">
        <v>0.26041666666666669</v>
      </c>
      <c r="U28" s="11">
        <f>9.25*60</f>
        <v>555</v>
      </c>
      <c r="V28" s="11">
        <f>9.25*60</f>
        <v>555</v>
      </c>
      <c r="W28" s="11">
        <v>10</v>
      </c>
      <c r="X28" s="1">
        <f t="shared" si="3"/>
        <v>2.5</v>
      </c>
      <c r="Y28" s="1">
        <f t="shared" si="2"/>
        <v>23.125</v>
      </c>
      <c r="Z28" s="11">
        <v>13</v>
      </c>
      <c r="AA28" s="1">
        <f t="shared" si="4"/>
        <v>24.7</v>
      </c>
      <c r="AB28" s="1">
        <f t="shared" si="5"/>
        <v>228.47499999999999</v>
      </c>
    </row>
    <row r="29" spans="2:28">
      <c r="B29" s="168"/>
      <c r="C29" s="2">
        <v>0.50347222222222221</v>
      </c>
      <c r="D29" s="3"/>
      <c r="E29" s="3"/>
      <c r="F29" s="3">
        <v>9</v>
      </c>
      <c r="G29" s="3">
        <v>124</v>
      </c>
      <c r="H29" s="3">
        <v>74</v>
      </c>
      <c r="I29" s="3">
        <v>70</v>
      </c>
      <c r="J29" s="3"/>
      <c r="K29" s="1">
        <v>12</v>
      </c>
      <c r="L29" s="1">
        <v>12</v>
      </c>
      <c r="M29" s="44">
        <v>2</v>
      </c>
      <c r="N29" s="44"/>
      <c r="O29" s="44" t="s">
        <v>492</v>
      </c>
      <c r="R29" s="97" t="s">
        <v>497</v>
      </c>
      <c r="S29" s="2">
        <v>0.26041666666666669</v>
      </c>
      <c r="T29" s="2">
        <v>0.53333333333333333</v>
      </c>
      <c r="U29" s="11">
        <v>0</v>
      </c>
      <c r="V29" s="11">
        <f>45+180+48</f>
        <v>273</v>
      </c>
      <c r="W29" s="11" t="s">
        <v>99</v>
      </c>
      <c r="X29" s="1" t="s">
        <v>99</v>
      </c>
      <c r="Y29" s="1">
        <v>0</v>
      </c>
      <c r="Z29" s="1">
        <v>10</v>
      </c>
      <c r="AA29" s="1">
        <v>20</v>
      </c>
      <c r="AB29" s="1">
        <f t="shared" si="5"/>
        <v>91</v>
      </c>
    </row>
    <row r="30" spans="2:28">
      <c r="B30" s="168"/>
      <c r="C30" s="2">
        <v>0.59027777777777779</v>
      </c>
      <c r="D30" s="3"/>
      <c r="E30" s="3"/>
      <c r="F30" s="3">
        <v>7</v>
      </c>
      <c r="G30" s="3">
        <v>116</v>
      </c>
      <c r="H30" s="3">
        <v>76</v>
      </c>
      <c r="I30" s="3">
        <v>88</v>
      </c>
      <c r="J30" s="3"/>
      <c r="K30" s="1">
        <v>12</v>
      </c>
      <c r="L30" s="1">
        <v>12</v>
      </c>
      <c r="M30" s="44">
        <v>2</v>
      </c>
      <c r="N30" s="44"/>
      <c r="O30" s="44" t="s">
        <v>492</v>
      </c>
      <c r="R30" s="10" t="s">
        <v>21</v>
      </c>
      <c r="S30" s="11"/>
      <c r="T30" s="11"/>
      <c r="U30" s="10">
        <f>SUM(U12:U29)</f>
        <v>3967</v>
      </c>
      <c r="V30" s="10">
        <f>SUM(V12:V29)</f>
        <v>4240</v>
      </c>
      <c r="Y30" s="10">
        <f>SUM(Y12:Y29)</f>
        <v>190.64583333333334</v>
      </c>
      <c r="AB30" s="10">
        <f>SUM(AB12:AB29)</f>
        <v>1592.6333333333332</v>
      </c>
    </row>
    <row r="31" spans="2:28">
      <c r="B31" s="168"/>
      <c r="C31" s="2">
        <v>0.59166666666666667</v>
      </c>
      <c r="D31" s="3"/>
      <c r="E31" s="3"/>
      <c r="F31" s="3">
        <v>7</v>
      </c>
      <c r="G31" s="3">
        <v>116</v>
      </c>
      <c r="H31" s="3">
        <v>76</v>
      </c>
      <c r="I31" s="3">
        <v>89</v>
      </c>
      <c r="J31" s="3"/>
      <c r="K31" s="16">
        <v>13</v>
      </c>
      <c r="L31" s="16">
        <v>13</v>
      </c>
      <c r="M31" s="3"/>
      <c r="N31" s="3"/>
      <c r="O31" s="3"/>
      <c r="U31">
        <f>U30/60</f>
        <v>66.11666666666666</v>
      </c>
      <c r="V31">
        <f>V30/60</f>
        <v>70.666666666666671</v>
      </c>
    </row>
    <row r="32" spans="2:28">
      <c r="B32" s="168"/>
      <c r="C32" s="30">
        <v>0.84305555555555556</v>
      </c>
      <c r="D32" s="31"/>
      <c r="E32" s="31"/>
      <c r="F32" s="31"/>
      <c r="G32" s="31"/>
      <c r="H32" s="31"/>
      <c r="I32" s="31"/>
      <c r="J32" s="31"/>
      <c r="K32" s="32" t="s">
        <v>20</v>
      </c>
      <c r="L32" s="32" t="s">
        <v>20</v>
      </c>
      <c r="M32" s="3"/>
      <c r="N32" s="3"/>
      <c r="O32" s="3"/>
      <c r="P32">
        <v>21</v>
      </c>
    </row>
    <row r="33" spans="2:16">
      <c r="B33" s="169"/>
      <c r="C33" s="33">
        <v>0.85763888888888884</v>
      </c>
      <c r="D33" s="34"/>
      <c r="E33" s="34"/>
      <c r="F33" s="34">
        <v>4</v>
      </c>
      <c r="G33" s="34">
        <v>107</v>
      </c>
      <c r="H33" s="34">
        <v>74</v>
      </c>
      <c r="I33" s="34">
        <v>91</v>
      </c>
      <c r="J33" s="34"/>
      <c r="K33" s="35" t="s">
        <v>493</v>
      </c>
      <c r="L33" s="35" t="s">
        <v>493</v>
      </c>
      <c r="M33" s="3"/>
      <c r="N33" s="3"/>
      <c r="O33" s="3"/>
    </row>
    <row r="34" spans="2:16">
      <c r="B34" s="167">
        <v>43798</v>
      </c>
      <c r="C34" s="2">
        <v>0.47222222222222227</v>
      </c>
      <c r="D34" s="3" t="s">
        <v>485</v>
      </c>
      <c r="E34" s="127">
        <v>34.4488432227567</v>
      </c>
      <c r="F34" s="3"/>
      <c r="G34" s="3">
        <v>135</v>
      </c>
      <c r="H34" s="3">
        <v>74</v>
      </c>
      <c r="I34" s="3">
        <v>92</v>
      </c>
      <c r="J34" s="3"/>
      <c r="K34" s="1">
        <v>13</v>
      </c>
      <c r="L34" s="1">
        <v>13</v>
      </c>
      <c r="M34" s="3"/>
      <c r="N34" s="3"/>
      <c r="O34" s="3"/>
    </row>
    <row r="35" spans="2:16">
      <c r="B35" s="168"/>
      <c r="C35" s="30">
        <v>0.83333333333333337</v>
      </c>
      <c r="D35" s="31"/>
      <c r="E35" s="31"/>
      <c r="F35" s="31"/>
      <c r="G35" s="31"/>
      <c r="H35" s="31"/>
      <c r="I35" s="31"/>
      <c r="J35" s="31"/>
      <c r="K35" s="32" t="s">
        <v>20</v>
      </c>
      <c r="L35" s="32" t="s">
        <v>20</v>
      </c>
      <c r="M35" s="3"/>
      <c r="N35" s="3"/>
      <c r="O35" s="3"/>
      <c r="P35">
        <v>60</v>
      </c>
    </row>
    <row r="36" spans="2:16">
      <c r="B36" s="169"/>
      <c r="C36" s="33">
        <v>0.875</v>
      </c>
      <c r="D36" s="34"/>
      <c r="E36" s="34"/>
      <c r="F36" s="34"/>
      <c r="G36" s="34"/>
      <c r="H36" s="34"/>
      <c r="I36" s="34"/>
      <c r="J36" s="34"/>
      <c r="K36" s="35" t="s">
        <v>175</v>
      </c>
      <c r="L36" s="35" t="s">
        <v>175</v>
      </c>
      <c r="M36" s="3"/>
      <c r="N36" s="3"/>
      <c r="O36" s="3"/>
    </row>
    <row r="37" spans="2:16">
      <c r="B37" s="167">
        <v>43799</v>
      </c>
      <c r="C37" s="30">
        <v>0.26041666666666669</v>
      </c>
      <c r="D37" s="31"/>
      <c r="E37" s="31"/>
      <c r="F37" s="31"/>
      <c r="G37" s="31"/>
      <c r="H37" s="31"/>
      <c r="I37" s="31"/>
      <c r="J37" s="31"/>
      <c r="K37" s="32" t="s">
        <v>20</v>
      </c>
      <c r="L37" s="34" t="s">
        <v>494</v>
      </c>
      <c r="M37" s="3"/>
      <c r="N37" s="3"/>
      <c r="O37" s="3" t="s">
        <v>470</v>
      </c>
    </row>
    <row r="38" spans="2:16">
      <c r="B38" s="169"/>
      <c r="C38" s="30">
        <v>0.53333333333333333</v>
      </c>
      <c r="D38" s="31"/>
      <c r="E38" s="31"/>
      <c r="F38" s="31"/>
      <c r="G38" s="31"/>
      <c r="H38" s="31"/>
      <c r="I38" s="31"/>
      <c r="J38" s="31"/>
      <c r="K38" s="32"/>
      <c r="L38" s="32" t="s">
        <v>20</v>
      </c>
      <c r="M38" s="3"/>
      <c r="N38" s="3"/>
      <c r="O38" s="3"/>
    </row>
    <row r="39" spans="2:16">
      <c r="B39" s="96">
        <v>43801</v>
      </c>
      <c r="C39" s="2">
        <v>0.39583333333333331</v>
      </c>
      <c r="D39" s="3" t="s">
        <v>486</v>
      </c>
      <c r="E39" s="127">
        <v>2.7663097120991802</v>
      </c>
      <c r="F39" s="3" t="s">
        <v>488</v>
      </c>
      <c r="G39" s="3">
        <v>118</v>
      </c>
      <c r="H39" s="3">
        <v>79</v>
      </c>
      <c r="I39" s="3">
        <v>99</v>
      </c>
      <c r="J39" s="3"/>
      <c r="K39" s="1"/>
      <c r="L39" s="3"/>
      <c r="M39" s="3"/>
      <c r="N39" s="3"/>
      <c r="O39" s="3"/>
    </row>
    <row r="40" spans="2:16">
      <c r="B40" s="96">
        <v>43802</v>
      </c>
      <c r="C40" s="2">
        <v>0.54861111111111105</v>
      </c>
      <c r="D40" s="3" t="s">
        <v>487</v>
      </c>
      <c r="E40" s="127">
        <v>1.5809353119498499</v>
      </c>
      <c r="F40" s="3"/>
      <c r="G40" s="3">
        <v>109</v>
      </c>
      <c r="H40" s="3">
        <v>78</v>
      </c>
      <c r="I40" s="3">
        <v>100</v>
      </c>
      <c r="J40" s="1"/>
      <c r="K40" s="1"/>
      <c r="L40" s="1"/>
      <c r="M40" s="1"/>
      <c r="N40" s="1"/>
      <c r="O40" s="1"/>
    </row>
  </sheetData>
  <mergeCells count="33">
    <mergeCell ref="W10:Y10"/>
    <mergeCell ref="Z10:AB10"/>
    <mergeCell ref="M13:N13"/>
    <mergeCell ref="M14:N14"/>
    <mergeCell ref="J11:J12"/>
    <mergeCell ref="K11:L11"/>
    <mergeCell ref="M11:N11"/>
    <mergeCell ref="O11:O12"/>
    <mergeCell ref="B2:B3"/>
    <mergeCell ref="C2:C3"/>
    <mergeCell ref="G2:I2"/>
    <mergeCell ref="K2:L2"/>
    <mergeCell ref="B11:B12"/>
    <mergeCell ref="C11:C12"/>
    <mergeCell ref="D11:D12"/>
    <mergeCell ref="F11:F12"/>
    <mergeCell ref="G11:H11"/>
    <mergeCell ref="K5:L5"/>
    <mergeCell ref="K6:L6"/>
    <mergeCell ref="Q2:R2"/>
    <mergeCell ref="G3:I3"/>
    <mergeCell ref="K3:O4"/>
    <mergeCell ref="Q3:R3"/>
    <mergeCell ref="G4:H4"/>
    <mergeCell ref="B13:B26"/>
    <mergeCell ref="B27:B33"/>
    <mergeCell ref="B34:B36"/>
    <mergeCell ref="B37:B38"/>
    <mergeCell ref="U11:V11"/>
    <mergeCell ref="R12:R20"/>
    <mergeCell ref="R22:R26"/>
    <mergeCell ref="I11:I12"/>
    <mergeCell ref="E11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AC53"/>
  <sheetViews>
    <sheetView zoomScale="90" zoomScaleNormal="90" workbookViewId="0">
      <selection activeCell="V16" sqref="V16"/>
    </sheetView>
  </sheetViews>
  <sheetFormatPr defaultRowHeight="14.4"/>
  <cols>
    <col min="1" max="1" width="3" customWidth="1"/>
    <col min="2" max="2" width="11.44140625" bestFit="1" customWidth="1"/>
    <col min="3" max="3" width="14.33203125" customWidth="1"/>
    <col min="4" max="4" width="9.77734375" customWidth="1"/>
    <col min="5" max="6" width="13.21875" customWidth="1"/>
    <col min="7" max="7" width="11.33203125" customWidth="1"/>
    <col min="8" max="8" width="8.21875" bestFit="1" customWidth="1"/>
    <col min="9" max="9" width="7.77734375" customWidth="1"/>
    <col min="10" max="10" width="8.5546875" customWidth="1"/>
    <col min="11" max="11" width="7.44140625" customWidth="1"/>
    <col min="12" max="12" width="6.44140625" customWidth="1"/>
    <col min="13" max="13" width="11.77734375" customWidth="1"/>
    <col min="14" max="14" width="7.33203125" customWidth="1"/>
    <col min="15" max="15" width="14.21875" customWidth="1"/>
    <col min="16" max="16" width="6.33203125" customWidth="1"/>
    <col min="17" max="17" width="6.44140625" customWidth="1"/>
    <col min="18" max="18" width="15.33203125" customWidth="1"/>
    <col min="19" max="19" width="14" customWidth="1"/>
    <col min="20" max="20" width="7.77734375" customWidth="1"/>
    <col min="21" max="21" width="9.77734375" bestFit="1" customWidth="1"/>
    <col min="22" max="22" width="8.88671875" customWidth="1"/>
    <col min="23" max="23" width="7.44140625" customWidth="1"/>
    <col min="24" max="24" width="7.88671875" customWidth="1"/>
    <col min="25" max="25" width="7.109375" customWidth="1"/>
    <col min="26" max="26" width="6.6640625" customWidth="1"/>
    <col min="27" max="27" width="7.5546875" customWidth="1"/>
    <col min="28" max="28" width="7.109375" customWidth="1"/>
  </cols>
  <sheetData>
    <row r="2" spans="2:29">
      <c r="B2" s="170" t="s">
        <v>0</v>
      </c>
      <c r="C2" s="172" t="s">
        <v>22</v>
      </c>
      <c r="G2" s="175" t="s">
        <v>24</v>
      </c>
      <c r="H2" s="175"/>
      <c r="I2" s="175"/>
      <c r="K2" s="161" t="s">
        <v>32</v>
      </c>
      <c r="L2" s="162"/>
      <c r="Q2" s="159" t="s">
        <v>64</v>
      </c>
      <c r="R2" s="160"/>
      <c r="S2" s="17" t="s">
        <v>40</v>
      </c>
    </row>
    <row r="3" spans="2:29">
      <c r="B3" s="171"/>
      <c r="C3" s="173"/>
      <c r="G3" s="176" t="s">
        <v>38</v>
      </c>
      <c r="H3" s="176"/>
      <c r="I3" s="176"/>
      <c r="K3" s="163" t="s">
        <v>39</v>
      </c>
      <c r="L3" s="163"/>
      <c r="M3" s="163"/>
      <c r="N3" s="163"/>
      <c r="O3" s="164"/>
      <c r="Q3" s="159" t="s">
        <v>42</v>
      </c>
      <c r="R3" s="160"/>
      <c r="S3" s="17" t="s">
        <v>41</v>
      </c>
    </row>
    <row r="4" spans="2:29" ht="21">
      <c r="B4" s="12" t="s">
        <v>23</v>
      </c>
      <c r="C4" s="13">
        <v>1001</v>
      </c>
      <c r="G4" s="174" t="s">
        <v>19</v>
      </c>
      <c r="H4" s="174"/>
      <c r="K4" s="163"/>
      <c r="L4" s="163"/>
      <c r="M4" s="163"/>
      <c r="N4" s="163"/>
      <c r="O4" s="163"/>
    </row>
    <row r="5" spans="2:29">
      <c r="B5" s="6" t="s">
        <v>1</v>
      </c>
      <c r="C5" s="7">
        <v>90</v>
      </c>
      <c r="G5" s="9" t="s">
        <v>25</v>
      </c>
      <c r="H5" s="25">
        <v>0.52430555555555558</v>
      </c>
      <c r="K5" s="157" t="s">
        <v>25</v>
      </c>
      <c r="L5" s="158"/>
      <c r="M5" s="26">
        <v>43637</v>
      </c>
      <c r="N5" s="25">
        <v>0.51527777777777783</v>
      </c>
      <c r="P5">
        <f>38+70*60+17-14-5</f>
        <v>4236</v>
      </c>
    </row>
    <row r="6" spans="2:29">
      <c r="B6" s="6" t="s">
        <v>2</v>
      </c>
      <c r="C6" s="8">
        <v>177</v>
      </c>
      <c r="G6" s="9" t="s">
        <v>26</v>
      </c>
      <c r="H6" s="25">
        <v>0.59722222222222221</v>
      </c>
      <c r="K6" s="157" t="s">
        <v>26</v>
      </c>
      <c r="L6" s="158"/>
      <c r="M6" s="26">
        <v>43640</v>
      </c>
      <c r="N6" s="29">
        <v>0.37361111111111112</v>
      </c>
      <c r="O6" s="25">
        <v>0.47013888888888888</v>
      </c>
    </row>
    <row r="7" spans="2:29">
      <c r="B7" s="6" t="s">
        <v>3</v>
      </c>
      <c r="C7" s="8" t="s">
        <v>18</v>
      </c>
      <c r="G7" t="s">
        <v>123</v>
      </c>
    </row>
    <row r="8" spans="2:29">
      <c r="B8" s="6" t="s">
        <v>8</v>
      </c>
      <c r="C8" s="8">
        <v>44</v>
      </c>
    </row>
    <row r="10" spans="2:29" ht="15" thickBot="1">
      <c r="W10" s="154" t="s">
        <v>63</v>
      </c>
      <c r="X10" s="155"/>
      <c r="Y10" s="156"/>
      <c r="Z10" s="154" t="s">
        <v>62</v>
      </c>
      <c r="AA10" s="155"/>
      <c r="AB10" s="156"/>
    </row>
    <row r="11" spans="2:29" ht="15" customHeight="1">
      <c r="B11" s="165" t="s">
        <v>4</v>
      </c>
      <c r="C11" s="165" t="s">
        <v>5</v>
      </c>
      <c r="D11" s="165" t="s">
        <v>6</v>
      </c>
      <c r="E11" s="165" t="s">
        <v>671</v>
      </c>
      <c r="F11" s="165" t="s">
        <v>671</v>
      </c>
      <c r="G11" s="165" t="s">
        <v>28</v>
      </c>
      <c r="H11" s="177" t="s">
        <v>7</v>
      </c>
      <c r="I11" s="178"/>
      <c r="J11" s="165" t="s">
        <v>9</v>
      </c>
      <c r="K11" s="165" t="s">
        <v>29</v>
      </c>
      <c r="L11" s="177" t="s">
        <v>27</v>
      </c>
      <c r="M11" s="178"/>
      <c r="N11" s="177" t="s">
        <v>31</v>
      </c>
      <c r="O11" s="178"/>
      <c r="P11" s="165" t="s">
        <v>30</v>
      </c>
      <c r="S11" s="10" t="s">
        <v>10</v>
      </c>
      <c r="T11" s="10" t="s">
        <v>11</v>
      </c>
      <c r="U11" s="10" t="s">
        <v>12</v>
      </c>
      <c r="V11" s="10" t="s">
        <v>13</v>
      </c>
      <c r="W11" s="23" t="s">
        <v>14</v>
      </c>
      <c r="X11" s="22" t="s">
        <v>15</v>
      </c>
      <c r="Y11" s="22" t="s">
        <v>35</v>
      </c>
      <c r="Z11" s="24" t="s">
        <v>14</v>
      </c>
      <c r="AA11" s="24" t="s">
        <v>36</v>
      </c>
      <c r="AB11" s="24" t="s">
        <v>37</v>
      </c>
    </row>
    <row r="12" spans="2:29" ht="28.8">
      <c r="B12" s="166"/>
      <c r="C12" s="166"/>
      <c r="D12" s="166"/>
      <c r="E12" s="166"/>
      <c r="F12" s="166"/>
      <c r="G12" s="166"/>
      <c r="H12" s="18" t="s">
        <v>16</v>
      </c>
      <c r="I12" s="19" t="s">
        <v>17</v>
      </c>
      <c r="J12" s="166"/>
      <c r="K12" s="166"/>
      <c r="L12" s="20" t="s">
        <v>63</v>
      </c>
      <c r="M12" s="21" t="s">
        <v>87</v>
      </c>
      <c r="N12" s="20" t="s">
        <v>63</v>
      </c>
      <c r="O12" s="21" t="s">
        <v>87</v>
      </c>
      <c r="P12" s="166"/>
      <c r="S12" s="36" t="s">
        <v>59</v>
      </c>
      <c r="T12" s="2">
        <v>0.51527777777777783</v>
      </c>
      <c r="U12" s="2">
        <v>1.0416666666666666E-2</v>
      </c>
      <c r="V12" s="11">
        <f>38+11*60+15</f>
        <v>713</v>
      </c>
      <c r="W12" s="11">
        <v>6</v>
      </c>
      <c r="X12" s="1">
        <f>W12*0.5</f>
        <v>3</v>
      </c>
      <c r="Y12" s="1">
        <f>X12*V12/60</f>
        <v>35.65</v>
      </c>
      <c r="Z12" s="11">
        <v>6</v>
      </c>
      <c r="AA12" s="1">
        <f>Z12*1.8</f>
        <v>10.8</v>
      </c>
      <c r="AB12" s="1">
        <f>AA12*V12/60</f>
        <v>128.34</v>
      </c>
      <c r="AC12">
        <f>Y12/1000</f>
        <v>3.5650000000000001E-2</v>
      </c>
    </row>
    <row r="13" spans="2:29">
      <c r="B13" s="167">
        <v>43637</v>
      </c>
      <c r="C13" s="2">
        <v>0.51388888888888895</v>
      </c>
      <c r="D13" s="3"/>
      <c r="E13" s="3"/>
      <c r="F13" s="3"/>
      <c r="G13" s="3">
        <v>0</v>
      </c>
      <c r="H13" s="3">
        <v>124</v>
      </c>
      <c r="I13" s="3">
        <v>78</v>
      </c>
      <c r="J13" s="3">
        <v>78</v>
      </c>
      <c r="K13" s="3"/>
      <c r="L13" s="1">
        <v>0</v>
      </c>
      <c r="M13" s="1">
        <v>0</v>
      </c>
      <c r="N13" s="3"/>
      <c r="O13" s="3"/>
      <c r="P13" s="3"/>
      <c r="Q13" s="27"/>
      <c r="S13" s="37">
        <v>43638</v>
      </c>
      <c r="T13" s="2">
        <v>1.0416666666666666E-2</v>
      </c>
      <c r="U13" s="2">
        <v>0.74513888888888891</v>
      </c>
      <c r="V13" s="11">
        <f>45+16*60+53</f>
        <v>1058</v>
      </c>
      <c r="W13" s="11">
        <v>5</v>
      </c>
      <c r="X13" s="1">
        <f>W13*0.5</f>
        <v>2.5</v>
      </c>
      <c r="Y13" s="1">
        <f>X13*V13/60</f>
        <v>44.083333333333336</v>
      </c>
      <c r="Z13" s="11">
        <v>5</v>
      </c>
      <c r="AA13" s="1">
        <f>Z13*1.8</f>
        <v>9</v>
      </c>
      <c r="AB13" s="1">
        <f>AA13*V13/60</f>
        <v>158.69999999999999</v>
      </c>
      <c r="AC13">
        <f>Y13/1000</f>
        <v>4.4083333333333335E-2</v>
      </c>
    </row>
    <row r="14" spans="2:29">
      <c r="B14" s="168"/>
      <c r="C14" s="2">
        <v>0.51874999999999993</v>
      </c>
      <c r="D14" s="3" t="s">
        <v>43</v>
      </c>
      <c r="E14" s="127">
        <v>5.5278958666931599</v>
      </c>
      <c r="F14" s="127">
        <v>1.57647187120454</v>
      </c>
      <c r="G14" s="3" t="s">
        <v>370</v>
      </c>
      <c r="H14" s="3">
        <v>97</v>
      </c>
      <c r="I14" s="3">
        <v>55</v>
      </c>
      <c r="J14" s="3">
        <v>78</v>
      </c>
      <c r="K14" s="3"/>
      <c r="L14" s="1">
        <v>0</v>
      </c>
      <c r="M14" s="1">
        <v>0</v>
      </c>
      <c r="N14" s="3"/>
      <c r="O14" s="3"/>
      <c r="P14" s="3"/>
      <c r="Q14" s="27"/>
      <c r="S14" s="15" t="s">
        <v>60</v>
      </c>
      <c r="T14" s="2">
        <v>0.74861111111111101</v>
      </c>
      <c r="U14" s="2">
        <v>0.65486111111111112</v>
      </c>
      <c r="V14" s="11">
        <f>2+21*60+43</f>
        <v>1305</v>
      </c>
      <c r="W14" s="11">
        <v>5</v>
      </c>
      <c r="X14" s="1">
        <f>W14*0.5</f>
        <v>2.5</v>
      </c>
      <c r="Y14" s="1">
        <f>X14*V14/60</f>
        <v>54.375</v>
      </c>
      <c r="Z14" s="11">
        <v>5</v>
      </c>
      <c r="AA14" s="1">
        <f>Z14*1.8</f>
        <v>9</v>
      </c>
      <c r="AB14" s="1">
        <f>AA14*V14/60</f>
        <v>195.75</v>
      </c>
      <c r="AC14">
        <f>Y14/1000</f>
        <v>5.4375E-2</v>
      </c>
    </row>
    <row r="15" spans="2:29">
      <c r="B15" s="168"/>
      <c r="C15" s="2">
        <v>0.54722222222222217</v>
      </c>
      <c r="D15" s="3" t="s">
        <v>44</v>
      </c>
      <c r="E15" s="127">
        <v>6.9676228869747403</v>
      </c>
      <c r="F15" s="127">
        <v>3.4904788848783901</v>
      </c>
      <c r="G15" s="3" t="s">
        <v>370</v>
      </c>
      <c r="H15" s="3">
        <v>113</v>
      </c>
      <c r="I15" s="3">
        <v>54</v>
      </c>
      <c r="J15" s="3">
        <v>78</v>
      </c>
      <c r="K15" s="3"/>
      <c r="L15" s="1">
        <v>6</v>
      </c>
      <c r="M15" s="1">
        <v>6</v>
      </c>
      <c r="N15" s="3"/>
      <c r="O15" s="3"/>
      <c r="P15" s="3"/>
      <c r="Q15" s="27"/>
      <c r="S15" s="37" t="s">
        <v>61</v>
      </c>
      <c r="T15" s="2">
        <v>0.6645833333333333</v>
      </c>
      <c r="U15" s="2">
        <v>0.47013888888888888</v>
      </c>
      <c r="V15" s="11">
        <f>3+19*60+17</f>
        <v>1160</v>
      </c>
      <c r="W15" s="11">
        <v>5</v>
      </c>
      <c r="X15" s="1">
        <f>W15*0.5</f>
        <v>2.5</v>
      </c>
      <c r="Y15" s="1">
        <f>X15*V15/60</f>
        <v>48.333333333333336</v>
      </c>
      <c r="Z15" s="11">
        <v>5</v>
      </c>
      <c r="AA15" s="1">
        <f>Z15*1.8</f>
        <v>9</v>
      </c>
      <c r="AB15" s="1">
        <f>AA15*V15/60</f>
        <v>174</v>
      </c>
      <c r="AC15">
        <f>Y15/1000</f>
        <v>4.8333333333333332E-2</v>
      </c>
    </row>
    <row r="16" spans="2:29">
      <c r="B16" s="168"/>
      <c r="C16" s="2">
        <v>0.56874999999999998</v>
      </c>
      <c r="D16" s="3" t="s">
        <v>45</v>
      </c>
      <c r="E16" s="127">
        <v>8.1702979444085404</v>
      </c>
      <c r="F16" s="127">
        <v>5.5278958666931599</v>
      </c>
      <c r="G16" s="3" t="s">
        <v>370</v>
      </c>
      <c r="H16" s="3">
        <v>113</v>
      </c>
      <c r="I16" s="3">
        <v>59</v>
      </c>
      <c r="J16" s="3">
        <v>71</v>
      </c>
      <c r="K16" s="3"/>
      <c r="L16" s="1">
        <v>6</v>
      </c>
      <c r="M16" s="1">
        <v>6</v>
      </c>
      <c r="N16" s="3"/>
      <c r="O16" s="3"/>
      <c r="P16" s="3"/>
      <c r="Q16" s="27"/>
      <c r="S16" s="10" t="s">
        <v>21</v>
      </c>
      <c r="T16" s="11"/>
      <c r="U16" s="11"/>
      <c r="V16" s="10">
        <f>SUM(V12:V15)</f>
        <v>4236</v>
      </c>
      <c r="Y16" s="10">
        <f>SUM(Y12:Y15)</f>
        <v>182.44166666666669</v>
      </c>
      <c r="AB16" s="10">
        <f>SUM(AB12:AB15)</f>
        <v>656.79</v>
      </c>
    </row>
    <row r="17" spans="2:28">
      <c r="B17" s="168"/>
      <c r="C17" s="2">
        <v>0.68055555555555547</v>
      </c>
      <c r="D17" s="3" t="s">
        <v>46</v>
      </c>
      <c r="E17" s="127">
        <v>1.57647187120454</v>
      </c>
      <c r="F17" s="127">
        <v>6.9676228869747403</v>
      </c>
      <c r="G17" s="3">
        <v>3</v>
      </c>
      <c r="H17" s="3">
        <v>120</v>
      </c>
      <c r="I17" s="3">
        <v>80</v>
      </c>
      <c r="J17" s="3">
        <v>70</v>
      </c>
      <c r="K17" s="3"/>
      <c r="L17" s="1">
        <v>6</v>
      </c>
      <c r="M17" s="1">
        <v>6</v>
      </c>
      <c r="N17" s="3"/>
      <c r="O17" s="3"/>
      <c r="P17" s="3"/>
      <c r="Q17" s="27"/>
      <c r="V17" s="10">
        <f>V16/60</f>
        <v>70.599999999999994</v>
      </c>
    </row>
    <row r="18" spans="2:28">
      <c r="B18" s="169"/>
      <c r="C18" s="2">
        <v>0.77777777777777779</v>
      </c>
      <c r="D18" s="3" t="s">
        <v>47</v>
      </c>
      <c r="E18" s="127">
        <v>3.4904788848783901</v>
      </c>
      <c r="F18" s="127">
        <v>8.1702979444085404</v>
      </c>
      <c r="G18" s="3">
        <v>1</v>
      </c>
      <c r="H18" s="3">
        <v>120</v>
      </c>
      <c r="I18" s="3">
        <v>76</v>
      </c>
      <c r="J18" s="3">
        <v>72</v>
      </c>
      <c r="K18" s="3"/>
      <c r="L18" s="1">
        <v>6</v>
      </c>
      <c r="M18" s="1">
        <v>6</v>
      </c>
      <c r="N18" s="3"/>
      <c r="O18" s="3"/>
      <c r="P18" s="3"/>
      <c r="Q18" s="27"/>
      <c r="Y18">
        <f>Y16/V16*60</f>
        <v>2.5841595845136927</v>
      </c>
      <c r="AB18">
        <f>AB16/V16*60</f>
        <v>9.3029745042492902</v>
      </c>
    </row>
    <row r="19" spans="2:28">
      <c r="B19" s="167">
        <v>43638</v>
      </c>
      <c r="C19" s="2">
        <v>1.0416666666666666E-2</v>
      </c>
      <c r="D19" s="60" t="s">
        <v>48</v>
      </c>
      <c r="E19" s="127">
        <v>8.1554240324755405</v>
      </c>
      <c r="F19" s="127">
        <v>8.1554240324755405</v>
      </c>
      <c r="G19" s="3">
        <v>1</v>
      </c>
      <c r="H19" s="3">
        <v>113</v>
      </c>
      <c r="I19" s="3">
        <v>63</v>
      </c>
      <c r="J19" s="3">
        <v>86</v>
      </c>
      <c r="K19" s="3"/>
      <c r="L19" s="16">
        <v>5</v>
      </c>
      <c r="M19" s="16">
        <v>5</v>
      </c>
      <c r="N19" s="3"/>
      <c r="O19" s="3"/>
      <c r="P19" s="3" t="s">
        <v>57</v>
      </c>
      <c r="Q19" s="27"/>
    </row>
    <row r="20" spans="2:28">
      <c r="B20" s="168"/>
      <c r="C20" s="30">
        <v>0.74513888888888891</v>
      </c>
      <c r="D20" s="31"/>
      <c r="G20" s="31">
        <v>3</v>
      </c>
      <c r="H20" s="31">
        <v>144</v>
      </c>
      <c r="I20" s="31">
        <v>85</v>
      </c>
      <c r="J20" s="31">
        <v>73</v>
      </c>
      <c r="K20" s="31"/>
      <c r="L20" s="32" t="s">
        <v>20</v>
      </c>
      <c r="M20" s="32" t="s">
        <v>20</v>
      </c>
      <c r="N20" s="31"/>
      <c r="O20" s="31"/>
      <c r="P20" s="31"/>
      <c r="Q20" s="27"/>
    </row>
    <row r="21" spans="2:28">
      <c r="B21" s="169"/>
      <c r="C21" s="33">
        <v>0.74861111111111101</v>
      </c>
      <c r="D21" s="60" t="s">
        <v>646</v>
      </c>
      <c r="E21" s="127">
        <v>12.0189959155393</v>
      </c>
      <c r="F21" s="127">
        <v>12.0189959155393</v>
      </c>
      <c r="G21" s="34">
        <v>2</v>
      </c>
      <c r="H21" s="34">
        <v>116</v>
      </c>
      <c r="I21" s="34">
        <v>68</v>
      </c>
      <c r="J21" s="34">
        <v>90</v>
      </c>
      <c r="K21" s="34"/>
      <c r="L21" s="35" t="s">
        <v>58</v>
      </c>
      <c r="M21" s="35" t="s">
        <v>58</v>
      </c>
      <c r="N21" s="3"/>
      <c r="O21" s="3"/>
      <c r="P21" s="3"/>
      <c r="Q21" s="27"/>
      <c r="S21" s="59" t="s">
        <v>153</v>
      </c>
      <c r="T21" t="s">
        <v>649</v>
      </c>
    </row>
    <row r="22" spans="2:28">
      <c r="B22" s="167">
        <v>43639</v>
      </c>
      <c r="C22" s="2">
        <v>0.52430555555555558</v>
      </c>
      <c r="D22" s="60" t="s">
        <v>645</v>
      </c>
      <c r="E22" s="127">
        <v>21.140485460155201</v>
      </c>
      <c r="F22" s="127">
        <v>21.140485460155201</v>
      </c>
      <c r="G22" s="3">
        <v>3</v>
      </c>
      <c r="H22" s="3">
        <v>144</v>
      </c>
      <c r="I22" s="3">
        <v>85</v>
      </c>
      <c r="J22" s="3">
        <v>75</v>
      </c>
      <c r="K22" s="3"/>
      <c r="L22" s="1">
        <v>5</v>
      </c>
      <c r="M22" s="1">
        <v>5</v>
      </c>
      <c r="N22" s="3"/>
      <c r="O22" s="3"/>
      <c r="P22" s="3"/>
      <c r="Q22" s="27"/>
      <c r="S22" s="59" t="s">
        <v>154</v>
      </c>
      <c r="T22" t="s">
        <v>650</v>
      </c>
    </row>
    <row r="23" spans="2:28">
      <c r="B23" s="168"/>
      <c r="C23" s="30">
        <v>0.65486111111111112</v>
      </c>
      <c r="D23" s="31"/>
      <c r="G23" s="31">
        <v>3</v>
      </c>
      <c r="H23" s="31">
        <v>135</v>
      </c>
      <c r="I23" s="31">
        <v>84</v>
      </c>
      <c r="J23" s="31">
        <v>80</v>
      </c>
      <c r="K23" s="31"/>
      <c r="L23" s="32" t="s">
        <v>20</v>
      </c>
      <c r="M23" s="32" t="s">
        <v>20</v>
      </c>
      <c r="N23" s="31"/>
      <c r="O23" s="31"/>
      <c r="P23" s="31"/>
      <c r="Q23" s="27"/>
      <c r="S23" s="59" t="s">
        <v>155</v>
      </c>
      <c r="T23" t="s">
        <v>651</v>
      </c>
    </row>
    <row r="24" spans="2:28">
      <c r="B24" s="169"/>
      <c r="C24" s="33">
        <v>0.6645833333333333</v>
      </c>
      <c r="D24" s="34"/>
      <c r="G24" s="34">
        <v>3</v>
      </c>
      <c r="H24" s="34">
        <v>130</v>
      </c>
      <c r="I24" s="34">
        <v>80</v>
      </c>
      <c r="J24" s="34">
        <v>80</v>
      </c>
      <c r="K24" s="34"/>
      <c r="L24" s="35" t="s">
        <v>58</v>
      </c>
      <c r="M24" s="35" t="s">
        <v>58</v>
      </c>
      <c r="N24" s="3"/>
      <c r="O24" s="3"/>
      <c r="P24" s="3"/>
      <c r="Q24" s="27"/>
      <c r="S24" s="59" t="s">
        <v>156</v>
      </c>
      <c r="T24" s="27" t="s">
        <v>652</v>
      </c>
    </row>
    <row r="25" spans="2:28">
      <c r="B25" s="167">
        <v>43640</v>
      </c>
      <c r="C25" s="30">
        <v>0.47013888888888888</v>
      </c>
      <c r="D25" s="31"/>
      <c r="G25" s="31"/>
      <c r="H25" s="31"/>
      <c r="I25" s="31"/>
      <c r="J25" s="31"/>
      <c r="K25" s="31"/>
      <c r="L25" s="32" t="s">
        <v>20</v>
      </c>
      <c r="M25" s="32" t="s">
        <v>20</v>
      </c>
      <c r="N25" s="31"/>
      <c r="O25" s="31"/>
      <c r="P25" s="31"/>
      <c r="Q25" s="27"/>
      <c r="S25" s="59" t="s">
        <v>157</v>
      </c>
      <c r="T25" t="s">
        <v>653</v>
      </c>
    </row>
    <row r="26" spans="2:28">
      <c r="B26" s="168"/>
      <c r="C26" s="2">
        <v>0.47569444444444442</v>
      </c>
      <c r="D26" s="3" t="s">
        <v>49</v>
      </c>
      <c r="E26" s="127">
        <v>24.0333022130331</v>
      </c>
      <c r="F26" s="127">
        <v>24.0333022130331</v>
      </c>
      <c r="G26" s="3"/>
      <c r="H26" s="3"/>
      <c r="I26" s="3"/>
      <c r="J26" s="3"/>
      <c r="K26" s="3"/>
      <c r="L26" s="1"/>
      <c r="M26" s="3"/>
      <c r="N26" s="3"/>
      <c r="O26" s="3"/>
      <c r="P26" s="3"/>
      <c r="Q26" s="27"/>
      <c r="S26" s="59" t="s">
        <v>158</v>
      </c>
    </row>
    <row r="27" spans="2:28">
      <c r="B27" s="168"/>
      <c r="C27" s="2">
        <v>0.48402777777777778</v>
      </c>
      <c r="D27" s="3" t="s">
        <v>50</v>
      </c>
      <c r="E27" s="127">
        <v>21.226786858060301</v>
      </c>
      <c r="F27" s="127">
        <v>21.226786858060301</v>
      </c>
      <c r="G27" s="3"/>
      <c r="H27" s="3"/>
      <c r="I27" s="3"/>
      <c r="J27" s="3"/>
      <c r="K27" s="3"/>
      <c r="L27" s="1"/>
      <c r="M27" s="3"/>
      <c r="N27" s="3"/>
      <c r="O27" s="3"/>
      <c r="P27" s="3"/>
      <c r="Q27" s="27"/>
      <c r="S27" s="59"/>
    </row>
    <row r="28" spans="2:28">
      <c r="B28" s="168"/>
      <c r="C28" s="2">
        <v>0.49861111111111112</v>
      </c>
      <c r="D28" s="3" t="s">
        <v>51</v>
      </c>
      <c r="E28" s="127">
        <v>28.438899224309399</v>
      </c>
      <c r="F28" s="127">
        <v>28.438899224309399</v>
      </c>
      <c r="G28" s="3"/>
      <c r="H28" s="3"/>
      <c r="I28" s="3"/>
      <c r="J28" s="3"/>
      <c r="K28" s="3"/>
      <c r="L28" s="1"/>
      <c r="M28" s="3"/>
      <c r="N28" s="3"/>
      <c r="O28" s="3"/>
      <c r="P28" s="3"/>
      <c r="S28" s="59" t="s">
        <v>159</v>
      </c>
    </row>
    <row r="29" spans="2:28">
      <c r="B29" s="168"/>
      <c r="C29" s="2">
        <v>0.63194444444444442</v>
      </c>
      <c r="D29" s="3" t="s">
        <v>52</v>
      </c>
      <c r="E29" s="127">
        <v>30.580214188529801</v>
      </c>
      <c r="F29" s="127">
        <v>30.580214188529801</v>
      </c>
      <c r="G29" s="3" t="s">
        <v>56</v>
      </c>
      <c r="H29" s="3">
        <v>115</v>
      </c>
      <c r="I29" s="3">
        <v>69</v>
      </c>
      <c r="J29" s="3">
        <v>87</v>
      </c>
      <c r="K29" s="3"/>
      <c r="L29" s="1"/>
      <c r="M29" s="3"/>
      <c r="N29" s="3"/>
      <c r="O29" s="3"/>
      <c r="P29" s="3"/>
      <c r="S29" s="59" t="s">
        <v>647</v>
      </c>
    </row>
    <row r="30" spans="2:28">
      <c r="B30" s="169"/>
      <c r="C30" s="2">
        <v>0.87361111111111101</v>
      </c>
      <c r="D30" s="3" t="s">
        <v>53</v>
      </c>
      <c r="E30" s="127">
        <v>29.535060713048502</v>
      </c>
      <c r="F30" s="127">
        <v>29.535060713048502</v>
      </c>
      <c r="G30" s="3" t="s">
        <v>56</v>
      </c>
      <c r="H30" s="3">
        <v>124</v>
      </c>
      <c r="I30" s="3">
        <v>72</v>
      </c>
      <c r="J30" s="3">
        <v>80</v>
      </c>
      <c r="K30" s="3"/>
      <c r="L30" s="1"/>
      <c r="M30" s="3"/>
      <c r="N30" s="3"/>
      <c r="O30" s="3"/>
      <c r="P30" s="3"/>
      <c r="S30" s="59"/>
    </row>
    <row r="31" spans="2:28">
      <c r="B31" s="28">
        <v>43641</v>
      </c>
      <c r="C31" s="2">
        <v>0.87361111111111101</v>
      </c>
      <c r="D31" s="3" t="s">
        <v>54</v>
      </c>
      <c r="E31" s="127">
        <v>8.9587433125402605</v>
      </c>
      <c r="F31" s="127">
        <v>8.9587433125402605</v>
      </c>
      <c r="G31" s="3" t="s">
        <v>56</v>
      </c>
      <c r="H31" s="3"/>
      <c r="I31" s="3"/>
      <c r="J31" s="3"/>
      <c r="K31" s="3"/>
      <c r="L31" s="1"/>
      <c r="M31" s="3"/>
      <c r="N31" s="3"/>
      <c r="O31" s="3"/>
      <c r="P31" s="3"/>
      <c r="S31" s="59" t="s">
        <v>648</v>
      </c>
    </row>
    <row r="32" spans="2:28">
      <c r="B32" s="28">
        <v>43643</v>
      </c>
      <c r="C32" s="4" t="s">
        <v>161</v>
      </c>
      <c r="D32" s="60" t="s">
        <v>55</v>
      </c>
      <c r="E32" s="127">
        <v>3.53353092529083</v>
      </c>
      <c r="F32" s="127">
        <v>3.53353092529083</v>
      </c>
      <c r="G32" s="3">
        <v>0</v>
      </c>
      <c r="H32" s="3">
        <v>141</v>
      </c>
      <c r="I32" s="3">
        <v>86</v>
      </c>
      <c r="J32" s="3">
        <v>91</v>
      </c>
      <c r="K32" s="3"/>
      <c r="L32" s="1"/>
      <c r="M32" s="3"/>
      <c r="N32" s="3"/>
      <c r="O32" s="3"/>
      <c r="P32" s="3"/>
      <c r="S32" s="59"/>
    </row>
    <row r="33" spans="2:18">
      <c r="R33" s="59" t="s">
        <v>160</v>
      </c>
    </row>
    <row r="34" spans="2:18">
      <c r="C34" s="72">
        <v>0.51527777777777783</v>
      </c>
    </row>
    <row r="35" spans="2:18">
      <c r="B35" s="128">
        <v>43637</v>
      </c>
      <c r="C35" s="2">
        <v>0.51874999999999993</v>
      </c>
      <c r="D35" s="127">
        <v>1.57647187120454</v>
      </c>
    </row>
    <row r="36" spans="2:18">
      <c r="B36" s="128">
        <v>43637</v>
      </c>
      <c r="C36" s="2">
        <v>0.54722222222222217</v>
      </c>
      <c r="D36" s="127">
        <v>3.4904788848783901</v>
      </c>
    </row>
    <row r="37" spans="2:18">
      <c r="B37" s="128">
        <v>43637</v>
      </c>
      <c r="C37" s="2">
        <v>0.56874999999999998</v>
      </c>
      <c r="D37" s="127">
        <v>5.5278958666931599</v>
      </c>
    </row>
    <row r="38" spans="2:18">
      <c r="B38" s="128">
        <v>43637</v>
      </c>
      <c r="C38" s="2">
        <v>0.68055555555555547</v>
      </c>
      <c r="D38" s="127">
        <v>6.9676228869747403</v>
      </c>
    </row>
    <row r="39" spans="2:18">
      <c r="B39" s="128">
        <v>43637</v>
      </c>
      <c r="C39" s="2">
        <v>0.77777777777777779</v>
      </c>
      <c r="D39" s="127">
        <v>8.1702979444085404</v>
      </c>
    </row>
    <row r="40" spans="2:18">
      <c r="B40" s="128">
        <v>43638</v>
      </c>
      <c r="C40" s="2">
        <v>1.0416666666666666E-2</v>
      </c>
      <c r="D40" s="127">
        <v>8.1554240324755405</v>
      </c>
    </row>
    <row r="41" spans="2:18">
      <c r="B41" s="129"/>
      <c r="C41" s="2">
        <v>1.0416666666666666E-2</v>
      </c>
    </row>
    <row r="42" spans="2:18">
      <c r="B42" s="130"/>
      <c r="C42" s="33">
        <v>0.74861111111111101</v>
      </c>
      <c r="D42" s="127">
        <v>12.0189959155393</v>
      </c>
    </row>
    <row r="43" spans="2:18">
      <c r="B43" s="129"/>
      <c r="C43" s="33">
        <v>0.74861111111111101</v>
      </c>
      <c r="D43" s="127"/>
    </row>
    <row r="44" spans="2:18">
      <c r="B44" s="128">
        <v>43639</v>
      </c>
      <c r="C44" s="2">
        <v>0.52430555555555558</v>
      </c>
      <c r="D44" s="127">
        <v>21.140485460155201</v>
      </c>
    </row>
    <row r="45" spans="2:18">
      <c r="B45" s="129"/>
      <c r="C45" s="30">
        <v>0.65486111111111112</v>
      </c>
    </row>
    <row r="46" spans="2:18">
      <c r="B46" s="130"/>
      <c r="C46" s="33">
        <v>0.6645833333333333</v>
      </c>
    </row>
    <row r="47" spans="2:18">
      <c r="B47" s="128">
        <v>43640</v>
      </c>
      <c r="C47" s="30">
        <v>0.47013888888888888</v>
      </c>
    </row>
    <row r="48" spans="2:18">
      <c r="B48" s="129"/>
      <c r="C48" s="2">
        <v>0.47569444444444442</v>
      </c>
      <c r="D48" s="127">
        <v>24.0333022130331</v>
      </c>
    </row>
    <row r="49" spans="2:4">
      <c r="B49" s="129"/>
      <c r="C49" s="2">
        <v>0.48402777777777778</v>
      </c>
      <c r="D49" s="127">
        <v>21.226786858060301</v>
      </c>
    </row>
    <row r="50" spans="2:4">
      <c r="B50" s="129"/>
      <c r="C50" s="2">
        <v>0.49861111111111112</v>
      </c>
      <c r="D50" s="127">
        <v>28.438899224309399</v>
      </c>
    </row>
    <row r="51" spans="2:4">
      <c r="B51" s="129"/>
      <c r="C51" s="2">
        <v>0.63194444444444442</v>
      </c>
      <c r="D51" s="127">
        <v>30.580214188529801</v>
      </c>
    </row>
    <row r="52" spans="2:4">
      <c r="B52" s="130"/>
      <c r="C52" s="2">
        <v>0.87361111111111101</v>
      </c>
      <c r="D52" s="127">
        <v>29.535060713048502</v>
      </c>
    </row>
    <row r="53" spans="2:4">
      <c r="B53" s="131">
        <v>43641</v>
      </c>
      <c r="C53" s="2">
        <v>0.87361111111111101</v>
      </c>
      <c r="D53" s="127">
        <v>8.9587433125402605</v>
      </c>
    </row>
  </sheetData>
  <mergeCells count="29">
    <mergeCell ref="B22:B24"/>
    <mergeCell ref="B25:B30"/>
    <mergeCell ref="N11:O11"/>
    <mergeCell ref="L11:M11"/>
    <mergeCell ref="K11:K12"/>
    <mergeCell ref="E11:E12"/>
    <mergeCell ref="F11:F12"/>
    <mergeCell ref="P11:P12"/>
    <mergeCell ref="B13:B18"/>
    <mergeCell ref="B19:B21"/>
    <mergeCell ref="B2:B3"/>
    <mergeCell ref="C2:C3"/>
    <mergeCell ref="G4:H4"/>
    <mergeCell ref="G2:I2"/>
    <mergeCell ref="G3:I3"/>
    <mergeCell ref="C11:C12"/>
    <mergeCell ref="B11:B12"/>
    <mergeCell ref="D11:D12"/>
    <mergeCell ref="G11:G12"/>
    <mergeCell ref="J11:J12"/>
    <mergeCell ref="H11:I11"/>
    <mergeCell ref="W10:Y10"/>
    <mergeCell ref="Z10:AB10"/>
    <mergeCell ref="K5:L5"/>
    <mergeCell ref="K6:L6"/>
    <mergeCell ref="Q2:R2"/>
    <mergeCell ref="Q3:R3"/>
    <mergeCell ref="K2:L2"/>
    <mergeCell ref="K3:O4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2:AB43"/>
  <sheetViews>
    <sheetView zoomScale="90" zoomScaleNormal="90" workbookViewId="0">
      <selection activeCell="AA18" sqref="AA18"/>
    </sheetView>
  </sheetViews>
  <sheetFormatPr defaultRowHeight="14.4"/>
  <cols>
    <col min="1" max="1" width="4" customWidth="1"/>
    <col min="2" max="2" width="11.44140625" bestFit="1" customWidth="1"/>
    <col min="3" max="3" width="16.21875" customWidth="1"/>
    <col min="4" max="5" width="9.77734375" customWidth="1"/>
    <col min="6" max="6" width="8.109375" customWidth="1"/>
    <col min="7" max="7" width="11.33203125" customWidth="1"/>
    <col min="8" max="8" width="8.21875" bestFit="1" customWidth="1"/>
    <col min="9" max="9" width="7.77734375" customWidth="1"/>
    <col min="10" max="10" width="8.5546875" customWidth="1"/>
    <col min="11" max="11" width="7.44140625" customWidth="1"/>
    <col min="12" max="12" width="6.44140625" customWidth="1"/>
    <col min="13" max="14" width="7.33203125" customWidth="1"/>
    <col min="15" max="15" width="14.21875" customWidth="1"/>
    <col min="16" max="16" width="6.5546875" customWidth="1"/>
    <col min="17" max="17" width="6.44140625" customWidth="1"/>
    <col min="19" max="19" width="10.44140625" customWidth="1"/>
    <col min="21" max="21" width="7" customWidth="1"/>
    <col min="22" max="22" width="6.6640625" customWidth="1"/>
    <col min="23" max="23" width="5.33203125" bestFit="1" customWidth="1"/>
    <col min="24" max="24" width="6.6640625" bestFit="1" customWidth="1"/>
    <col min="25" max="25" width="7.88671875" customWidth="1"/>
    <col min="26" max="26" width="5.33203125" bestFit="1" customWidth="1"/>
    <col min="27" max="27" width="5.77734375" bestFit="1" customWidth="1"/>
    <col min="28" max="28" width="7.5546875" customWidth="1"/>
    <col min="29" max="29" width="7.109375" customWidth="1"/>
  </cols>
  <sheetData>
    <row r="2" spans="2:28">
      <c r="B2" s="170" t="s">
        <v>0</v>
      </c>
      <c r="C2" s="172" t="s">
        <v>501</v>
      </c>
      <c r="G2" s="175" t="s">
        <v>24</v>
      </c>
      <c r="H2" s="175"/>
      <c r="I2" s="175"/>
      <c r="K2" s="161" t="s">
        <v>32</v>
      </c>
      <c r="L2" s="162"/>
      <c r="Q2" s="159" t="s">
        <v>33</v>
      </c>
      <c r="R2" s="160"/>
      <c r="S2" s="17" t="s">
        <v>129</v>
      </c>
    </row>
    <row r="3" spans="2:28">
      <c r="B3" s="171"/>
      <c r="C3" s="173"/>
      <c r="G3" s="176" t="s">
        <v>38</v>
      </c>
      <c r="H3" s="176"/>
      <c r="I3" s="176"/>
      <c r="K3" s="194" t="s">
        <v>128</v>
      </c>
      <c r="L3" s="194"/>
      <c r="M3" s="194"/>
      <c r="N3" s="194"/>
      <c r="O3" s="194"/>
      <c r="Q3" s="159" t="s">
        <v>34</v>
      </c>
      <c r="R3" s="160"/>
      <c r="S3" s="17" t="s">
        <v>130</v>
      </c>
      <c r="T3" s="17" t="s">
        <v>471</v>
      </c>
    </row>
    <row r="4" spans="2:28" ht="21">
      <c r="B4" s="88" t="s">
        <v>23</v>
      </c>
      <c r="C4" s="89">
        <v>1019</v>
      </c>
      <c r="G4" s="174" t="s">
        <v>19</v>
      </c>
      <c r="H4" s="174"/>
      <c r="K4" s="194"/>
      <c r="L4" s="194"/>
      <c r="M4" s="194"/>
      <c r="N4" s="194"/>
      <c r="O4" s="194"/>
    </row>
    <row r="5" spans="2:28">
      <c r="B5" s="6" t="s">
        <v>1</v>
      </c>
      <c r="C5" s="7">
        <v>46</v>
      </c>
      <c r="G5" s="9" t="s">
        <v>25</v>
      </c>
      <c r="H5" s="25">
        <v>0.38194444444444442</v>
      </c>
      <c r="I5" t="s">
        <v>503</v>
      </c>
      <c r="K5" s="157" t="s">
        <v>25</v>
      </c>
      <c r="L5" s="158"/>
      <c r="M5" s="40" t="s">
        <v>502</v>
      </c>
      <c r="N5" s="25">
        <v>0.38750000000000001</v>
      </c>
      <c r="O5">
        <f>42+(14+48+12)*60+43</f>
        <v>4525</v>
      </c>
      <c r="P5">
        <f>O5-48-31-15</f>
        <v>4431</v>
      </c>
    </row>
    <row r="6" spans="2:28">
      <c r="B6" s="6" t="s">
        <v>2</v>
      </c>
      <c r="C6" s="8">
        <v>160</v>
      </c>
      <c r="G6" s="9" t="s">
        <v>26</v>
      </c>
      <c r="H6" s="25">
        <v>0.46180555555555558</v>
      </c>
      <c r="K6" s="157" t="s">
        <v>26</v>
      </c>
      <c r="L6" s="158"/>
      <c r="M6" s="40" t="s">
        <v>525</v>
      </c>
      <c r="N6" s="25">
        <v>0.52986111111111112</v>
      </c>
    </row>
    <row r="7" spans="2:28">
      <c r="B7" s="6" t="s">
        <v>3</v>
      </c>
      <c r="C7" s="8" t="s">
        <v>102</v>
      </c>
    </row>
    <row r="8" spans="2:28">
      <c r="B8" s="6" t="s">
        <v>8</v>
      </c>
      <c r="C8" s="8">
        <v>66</v>
      </c>
    </row>
    <row r="10" spans="2:28" ht="15" thickBot="1">
      <c r="U10" s="106" t="s">
        <v>63</v>
      </c>
      <c r="V10" s="106" t="s">
        <v>62</v>
      </c>
      <c r="W10" s="154" t="s">
        <v>63</v>
      </c>
      <c r="X10" s="155"/>
      <c r="Y10" s="156"/>
      <c r="Z10" s="154" t="s">
        <v>62</v>
      </c>
      <c r="AA10" s="155"/>
      <c r="AB10" s="156"/>
    </row>
    <row r="11" spans="2:28" ht="15" customHeight="1">
      <c r="B11" s="165" t="s">
        <v>4</v>
      </c>
      <c r="C11" s="165" t="s">
        <v>5</v>
      </c>
      <c r="D11" s="165" t="s">
        <v>6</v>
      </c>
      <c r="E11" s="165" t="s">
        <v>671</v>
      </c>
      <c r="F11" s="165" t="s">
        <v>28</v>
      </c>
      <c r="G11" s="177" t="s">
        <v>7</v>
      </c>
      <c r="H11" s="178"/>
      <c r="I11" s="165" t="s">
        <v>9</v>
      </c>
      <c r="J11" s="165" t="s">
        <v>29</v>
      </c>
      <c r="K11" s="177" t="s">
        <v>27</v>
      </c>
      <c r="L11" s="178"/>
      <c r="M11" s="177" t="s">
        <v>31</v>
      </c>
      <c r="N11" s="178"/>
      <c r="O11" s="165" t="s">
        <v>30</v>
      </c>
      <c r="R11" s="10" t="s">
        <v>10</v>
      </c>
      <c r="S11" s="10" t="s">
        <v>11</v>
      </c>
      <c r="T11" s="10" t="s">
        <v>12</v>
      </c>
      <c r="U11" s="202" t="s">
        <v>13</v>
      </c>
      <c r="V11" s="203"/>
      <c r="W11" s="23" t="s">
        <v>14</v>
      </c>
      <c r="X11" s="22" t="s">
        <v>15</v>
      </c>
      <c r="Y11" s="22" t="s">
        <v>35</v>
      </c>
      <c r="Z11" s="24" t="s">
        <v>14</v>
      </c>
      <c r="AA11" s="24" t="s">
        <v>36</v>
      </c>
      <c r="AB11" s="24" t="s">
        <v>37</v>
      </c>
    </row>
    <row r="12" spans="2:28">
      <c r="B12" s="166"/>
      <c r="C12" s="166"/>
      <c r="D12" s="166"/>
      <c r="E12" s="166"/>
      <c r="F12" s="166"/>
      <c r="G12" s="87" t="s">
        <v>16</v>
      </c>
      <c r="H12" s="19" t="s">
        <v>17</v>
      </c>
      <c r="I12" s="166"/>
      <c r="J12" s="166"/>
      <c r="K12" s="20" t="s">
        <v>63</v>
      </c>
      <c r="L12" s="21" t="s">
        <v>87</v>
      </c>
      <c r="M12" s="20" t="s">
        <v>63</v>
      </c>
      <c r="N12" s="21" t="s">
        <v>87</v>
      </c>
      <c r="O12" s="166"/>
      <c r="R12" s="199" t="s">
        <v>502</v>
      </c>
      <c r="S12" s="2">
        <v>0.38750000000000001</v>
      </c>
      <c r="T12" s="2">
        <v>0.39097222222222222</v>
      </c>
      <c r="U12" s="11">
        <v>5</v>
      </c>
      <c r="V12" s="11">
        <v>5</v>
      </c>
      <c r="W12" s="11">
        <v>60</v>
      </c>
      <c r="X12" s="1">
        <f t="shared" ref="X12:X14" si="0">W12*0.25</f>
        <v>15</v>
      </c>
      <c r="Y12" s="1">
        <f t="shared" ref="Y12:Y14" si="1">X12*U12/60</f>
        <v>1.25</v>
      </c>
      <c r="Z12" s="11">
        <v>60</v>
      </c>
      <c r="AA12" s="1">
        <f t="shared" ref="AA12:AA14" si="2">Z12*1.9</f>
        <v>114</v>
      </c>
      <c r="AB12" s="1">
        <f t="shared" ref="AB12:AB14" si="3">AA12*V12/60</f>
        <v>9.5</v>
      </c>
    </row>
    <row r="13" spans="2:28">
      <c r="B13" s="167">
        <v>43815</v>
      </c>
      <c r="C13" s="2">
        <v>0.38194444444444442</v>
      </c>
      <c r="D13" s="3" t="s">
        <v>505</v>
      </c>
      <c r="E13" s="127">
        <v>2.65882551939703</v>
      </c>
      <c r="F13" s="3" t="s">
        <v>370</v>
      </c>
      <c r="G13" s="3">
        <v>90</v>
      </c>
      <c r="H13" s="3">
        <v>58</v>
      </c>
      <c r="I13" s="3">
        <v>62</v>
      </c>
      <c r="J13" s="3"/>
      <c r="K13" s="1"/>
      <c r="L13" s="3"/>
      <c r="M13" s="3"/>
      <c r="N13" s="3"/>
      <c r="O13" s="3"/>
      <c r="R13" s="200"/>
      <c r="S13" s="2">
        <v>0.39097222222222222</v>
      </c>
      <c r="T13" s="2">
        <v>0.59444444444444444</v>
      </c>
      <c r="U13" s="11">
        <f>37+240+16</f>
        <v>293</v>
      </c>
      <c r="V13" s="11">
        <f>37+240+16</f>
        <v>293</v>
      </c>
      <c r="W13" s="11">
        <v>5</v>
      </c>
      <c r="X13" s="1">
        <f t="shared" si="0"/>
        <v>1.25</v>
      </c>
      <c r="Y13" s="1">
        <f t="shared" si="1"/>
        <v>6.104166666666667</v>
      </c>
      <c r="Z13" s="11">
        <v>5</v>
      </c>
      <c r="AA13" s="1">
        <f t="shared" si="2"/>
        <v>9.5</v>
      </c>
      <c r="AB13" s="1">
        <f t="shared" si="3"/>
        <v>46.391666666666666</v>
      </c>
    </row>
    <row r="14" spans="2:28">
      <c r="B14" s="168"/>
      <c r="C14" s="33">
        <v>0.38750000000000001</v>
      </c>
      <c r="D14" s="3"/>
      <c r="F14" s="3" t="s">
        <v>370</v>
      </c>
      <c r="G14" s="3">
        <v>88</v>
      </c>
      <c r="H14" s="3">
        <v>61</v>
      </c>
      <c r="I14" s="3">
        <v>59</v>
      </c>
      <c r="J14" s="3"/>
      <c r="K14" s="1"/>
      <c r="L14" s="3"/>
      <c r="M14" s="182" t="s">
        <v>664</v>
      </c>
      <c r="N14" s="183"/>
      <c r="O14" s="3" t="s">
        <v>665</v>
      </c>
      <c r="R14" s="200"/>
      <c r="S14" s="2">
        <v>0.62777777777777777</v>
      </c>
      <c r="T14" s="2">
        <v>0.64166666666666672</v>
      </c>
      <c r="U14" s="11">
        <v>20</v>
      </c>
      <c r="V14" s="11">
        <v>20</v>
      </c>
      <c r="W14" s="11">
        <v>5</v>
      </c>
      <c r="X14" s="1">
        <f t="shared" si="0"/>
        <v>1.25</v>
      </c>
      <c r="Y14" s="1">
        <f t="shared" si="1"/>
        <v>0.41666666666666669</v>
      </c>
      <c r="Z14" s="11">
        <v>5</v>
      </c>
      <c r="AA14" s="1">
        <f t="shared" si="2"/>
        <v>9.5</v>
      </c>
      <c r="AB14" s="1">
        <f t="shared" si="3"/>
        <v>3.1666666666666665</v>
      </c>
    </row>
    <row r="15" spans="2:28">
      <c r="B15" s="168"/>
      <c r="C15" s="33">
        <v>0.39097222222222222</v>
      </c>
      <c r="D15" s="34"/>
      <c r="E15" s="34"/>
      <c r="F15" s="34"/>
      <c r="G15" s="34"/>
      <c r="H15" s="34"/>
      <c r="I15" s="34"/>
      <c r="J15" s="34"/>
      <c r="K15" s="35" t="s">
        <v>58</v>
      </c>
      <c r="L15" s="35" t="s">
        <v>58</v>
      </c>
      <c r="M15" s="3"/>
      <c r="N15" s="3"/>
      <c r="O15" s="3"/>
      <c r="R15" s="200"/>
      <c r="S15" s="145">
        <v>0.64166666666666672</v>
      </c>
      <c r="T15" s="146"/>
      <c r="U15" s="11">
        <v>1</v>
      </c>
      <c r="V15" s="11">
        <v>1</v>
      </c>
      <c r="W15" s="11" t="s">
        <v>91</v>
      </c>
      <c r="X15" s="1">
        <f>Y15*60</f>
        <v>75</v>
      </c>
      <c r="Y15" s="1">
        <v>1.25</v>
      </c>
      <c r="Z15" s="11" t="s">
        <v>91</v>
      </c>
      <c r="AA15" s="1">
        <f>AB15*60</f>
        <v>570</v>
      </c>
      <c r="AB15" s="1">
        <v>9.5</v>
      </c>
    </row>
    <row r="16" spans="2:28">
      <c r="B16" s="168"/>
      <c r="C16" s="2">
        <v>0.3923611111111111</v>
      </c>
      <c r="D16" s="3" t="s">
        <v>506</v>
      </c>
      <c r="E16" s="127">
        <v>2.97890804271954</v>
      </c>
      <c r="F16" s="3" t="s">
        <v>370</v>
      </c>
      <c r="G16" s="3">
        <v>138</v>
      </c>
      <c r="H16" s="3">
        <v>78</v>
      </c>
      <c r="I16" s="3">
        <v>85</v>
      </c>
      <c r="J16" s="3"/>
      <c r="K16" s="1">
        <v>5</v>
      </c>
      <c r="L16" s="1">
        <v>5</v>
      </c>
      <c r="M16" s="3"/>
      <c r="N16" s="3"/>
      <c r="O16" s="3" t="s">
        <v>526</v>
      </c>
      <c r="R16" s="201"/>
      <c r="S16" s="2">
        <v>0.64236111111111105</v>
      </c>
      <c r="T16" s="2">
        <v>0.79236111111111107</v>
      </c>
      <c r="U16" s="11">
        <f>35+181</f>
        <v>216</v>
      </c>
      <c r="V16" s="11">
        <f>35+181</f>
        <v>216</v>
      </c>
      <c r="W16" s="11">
        <v>8</v>
      </c>
      <c r="X16" s="1">
        <f>W16*0.25</f>
        <v>2</v>
      </c>
      <c r="Y16" s="1">
        <f>X16*U16/60</f>
        <v>7.2</v>
      </c>
      <c r="Z16" s="11">
        <v>8</v>
      </c>
      <c r="AA16" s="1">
        <f>Z16*1.9</f>
        <v>15.2</v>
      </c>
      <c r="AB16" s="1">
        <f>AA16*V16/60</f>
        <v>54.72</v>
      </c>
    </row>
    <row r="17" spans="2:28">
      <c r="B17" s="168"/>
      <c r="C17" s="2">
        <v>0.40902777777777777</v>
      </c>
      <c r="D17" s="3" t="s">
        <v>507</v>
      </c>
      <c r="E17" s="127">
        <v>4.1204430716689897</v>
      </c>
      <c r="F17" s="3" t="s">
        <v>370</v>
      </c>
      <c r="G17" s="3">
        <v>103</v>
      </c>
      <c r="H17" s="3">
        <v>64</v>
      </c>
      <c r="I17" s="3">
        <v>73</v>
      </c>
      <c r="J17" s="3"/>
      <c r="K17" s="1">
        <v>5</v>
      </c>
      <c r="L17" s="1">
        <v>5</v>
      </c>
      <c r="M17" s="3"/>
      <c r="N17" s="3"/>
      <c r="O17" s="3" t="s">
        <v>233</v>
      </c>
      <c r="R17" s="104" t="s">
        <v>531</v>
      </c>
      <c r="S17" s="2">
        <v>0.79236111111111107</v>
      </c>
      <c r="T17" s="2">
        <v>0.65277777777777779</v>
      </c>
      <c r="U17" s="11">
        <f>44*60+40-1</f>
        <v>2679</v>
      </c>
      <c r="V17" s="11">
        <f>44*60+40-1</f>
        <v>2679</v>
      </c>
      <c r="W17" s="11">
        <v>6</v>
      </c>
      <c r="X17" s="1">
        <f>W17*0.25</f>
        <v>1.5</v>
      </c>
      <c r="Y17" s="1">
        <f>X17*U17/60</f>
        <v>66.974999999999994</v>
      </c>
      <c r="Z17" s="11">
        <v>6</v>
      </c>
      <c r="AA17" s="1">
        <f>Z17*1.9</f>
        <v>11.399999999999999</v>
      </c>
      <c r="AB17" s="1">
        <f>AA17*V17/60</f>
        <v>509.00999999999993</v>
      </c>
    </row>
    <row r="18" spans="2:28">
      <c r="B18" s="168"/>
      <c r="C18" s="2">
        <v>0.43958333333333338</v>
      </c>
      <c r="D18" s="3" t="s">
        <v>508</v>
      </c>
      <c r="E18" s="127">
        <v>4.7824237137952199</v>
      </c>
      <c r="F18" s="3" t="s">
        <v>370</v>
      </c>
      <c r="G18" s="3">
        <v>135</v>
      </c>
      <c r="H18" s="3">
        <v>68</v>
      </c>
      <c r="I18" s="3">
        <v>72</v>
      </c>
      <c r="J18" s="3"/>
      <c r="K18" s="1">
        <v>5</v>
      </c>
      <c r="L18" s="1">
        <v>5</v>
      </c>
      <c r="M18" s="3"/>
      <c r="N18" s="3"/>
      <c r="O18" s="3"/>
      <c r="R18" s="104" t="s">
        <v>532</v>
      </c>
      <c r="S18" s="2">
        <v>0.6743055555555556</v>
      </c>
      <c r="T18" s="2">
        <v>3.8194444444444441E-2</v>
      </c>
      <c r="U18" s="11">
        <f>49+8*60-5</f>
        <v>524</v>
      </c>
      <c r="V18" s="11">
        <f>49+8*60-5</f>
        <v>524</v>
      </c>
      <c r="W18" s="11">
        <v>6</v>
      </c>
      <c r="X18" s="1">
        <f>W18*0.25</f>
        <v>1.5</v>
      </c>
      <c r="Y18" s="1">
        <f>X18*U18/60</f>
        <v>13.1</v>
      </c>
      <c r="Z18" s="11">
        <v>6</v>
      </c>
      <c r="AA18" s="1">
        <f>Z18*1.9</f>
        <v>11.399999999999999</v>
      </c>
      <c r="AB18" s="1">
        <f>AA18*V18/60</f>
        <v>99.559999999999988</v>
      </c>
    </row>
    <row r="19" spans="2:28">
      <c r="B19" s="168"/>
      <c r="C19" s="2">
        <v>0.47152777777777777</v>
      </c>
      <c r="D19" s="3" t="s">
        <v>509</v>
      </c>
      <c r="E19" s="127">
        <v>4.75182215333197</v>
      </c>
      <c r="F19" s="3" t="s">
        <v>370</v>
      </c>
      <c r="G19" s="3">
        <v>100</v>
      </c>
      <c r="H19" s="3">
        <v>52</v>
      </c>
      <c r="I19" s="3">
        <v>70</v>
      </c>
      <c r="J19" s="3"/>
      <c r="K19" s="1">
        <v>5</v>
      </c>
      <c r="L19" s="1">
        <v>5</v>
      </c>
      <c r="M19" s="3"/>
      <c r="N19" s="3"/>
      <c r="O19" s="3"/>
      <c r="R19" s="104" t="s">
        <v>525</v>
      </c>
      <c r="S19" s="2">
        <v>4.8611111111111112E-2</v>
      </c>
      <c r="T19" s="2">
        <v>0.52986111111111112</v>
      </c>
      <c r="U19" s="11">
        <f>11*60+33</f>
        <v>693</v>
      </c>
      <c r="V19" s="11">
        <f>11*60+33</f>
        <v>693</v>
      </c>
      <c r="W19" s="11">
        <v>6</v>
      </c>
      <c r="X19" s="1">
        <f>W19*0.25</f>
        <v>1.5</v>
      </c>
      <c r="Y19" s="1">
        <f>X19*U19/60</f>
        <v>17.324999999999999</v>
      </c>
      <c r="Z19" s="11">
        <v>6</v>
      </c>
      <c r="AA19" s="1">
        <f>Z19*1.9</f>
        <v>11.399999999999999</v>
      </c>
      <c r="AB19" s="1">
        <f>AA19*V19/60</f>
        <v>131.66999999999999</v>
      </c>
    </row>
    <row r="20" spans="2:28">
      <c r="B20" s="168"/>
      <c r="C20" s="30">
        <v>0.59444444444444444</v>
      </c>
      <c r="D20" s="31"/>
      <c r="E20" s="31"/>
      <c r="F20" s="31"/>
      <c r="G20" s="31">
        <v>94</v>
      </c>
      <c r="H20" s="31">
        <v>46</v>
      </c>
      <c r="I20" s="31">
        <v>74</v>
      </c>
      <c r="J20" s="31"/>
      <c r="K20" s="32" t="s">
        <v>20</v>
      </c>
      <c r="L20" s="32" t="s">
        <v>20</v>
      </c>
      <c r="M20" s="3"/>
      <c r="N20" s="3"/>
      <c r="O20" s="3"/>
      <c r="P20">
        <v>48</v>
      </c>
      <c r="R20" s="104" t="s">
        <v>533</v>
      </c>
      <c r="S20" s="2">
        <v>0.52986111111111112</v>
      </c>
      <c r="T20" s="81" t="s">
        <v>180</v>
      </c>
      <c r="U20" s="11"/>
      <c r="V20" s="11"/>
      <c r="W20" s="11"/>
      <c r="X20" s="1"/>
      <c r="Y20" s="1"/>
      <c r="Z20" s="1"/>
      <c r="AA20" s="1"/>
      <c r="AB20" s="1"/>
    </row>
    <row r="21" spans="2:28">
      <c r="B21" s="168"/>
      <c r="C21" s="33">
        <v>0.62777777777777777</v>
      </c>
      <c r="D21" s="34"/>
      <c r="E21" s="34"/>
      <c r="F21" s="34"/>
      <c r="G21" s="34">
        <v>125</v>
      </c>
      <c r="H21" s="34">
        <v>59</v>
      </c>
      <c r="I21" s="34">
        <v>72</v>
      </c>
      <c r="J21" s="34"/>
      <c r="K21" s="35" t="s">
        <v>58</v>
      </c>
      <c r="L21" s="35" t="s">
        <v>90</v>
      </c>
      <c r="M21" s="3"/>
      <c r="N21" s="3"/>
      <c r="O21" s="3"/>
      <c r="R21" s="10" t="s">
        <v>21</v>
      </c>
      <c r="S21" s="11"/>
      <c r="T21" s="11"/>
      <c r="U21" s="10">
        <f>SUM(U12:U20)</f>
        <v>4431</v>
      </c>
      <c r="V21" s="10">
        <f>SUM(V12:V20)</f>
        <v>4431</v>
      </c>
      <c r="Y21" s="10">
        <f>SUM(Y12:Y20)</f>
        <v>113.62083333333332</v>
      </c>
      <c r="AB21" s="10">
        <f>SUM(AB12:AB20)</f>
        <v>863.5183333333332</v>
      </c>
    </row>
    <row r="22" spans="2:28">
      <c r="B22" s="168"/>
      <c r="C22" s="2">
        <v>0.64166666666666672</v>
      </c>
      <c r="D22" s="3"/>
      <c r="E22" s="3"/>
      <c r="F22" s="3"/>
      <c r="G22" s="3">
        <v>113</v>
      </c>
      <c r="H22" s="3">
        <v>60</v>
      </c>
      <c r="I22" s="3">
        <v>78</v>
      </c>
      <c r="J22" s="3"/>
      <c r="K22" s="16">
        <v>8</v>
      </c>
      <c r="L22" s="16">
        <v>8</v>
      </c>
      <c r="M22" s="3">
        <v>5</v>
      </c>
      <c r="N22" s="3">
        <v>5</v>
      </c>
      <c r="O22" s="3"/>
    </row>
    <row r="23" spans="2:28">
      <c r="B23" s="168"/>
      <c r="C23" s="2">
        <v>0.64444444444444449</v>
      </c>
      <c r="D23" s="3" t="s">
        <v>510</v>
      </c>
      <c r="E23" s="127">
        <v>5.1396273794147396</v>
      </c>
      <c r="F23" s="75" t="s">
        <v>490</v>
      </c>
      <c r="G23" s="3">
        <v>117</v>
      </c>
      <c r="H23" s="3">
        <v>61</v>
      </c>
      <c r="I23" s="3">
        <v>72</v>
      </c>
      <c r="J23" s="3"/>
      <c r="K23" s="1">
        <v>8</v>
      </c>
      <c r="L23" s="1">
        <v>8</v>
      </c>
      <c r="M23" s="3"/>
      <c r="N23" s="3"/>
      <c r="O23" s="3" t="s">
        <v>527</v>
      </c>
    </row>
    <row r="24" spans="2:28">
      <c r="B24" s="168"/>
      <c r="C24" s="2">
        <v>0.79236111111111107</v>
      </c>
      <c r="D24" s="3"/>
      <c r="F24" s="75"/>
      <c r="G24" s="3">
        <v>109</v>
      </c>
      <c r="H24" s="3">
        <v>60</v>
      </c>
      <c r="I24" s="3">
        <v>79</v>
      </c>
      <c r="J24" s="3"/>
      <c r="K24" s="16">
        <v>6</v>
      </c>
      <c r="L24" s="16">
        <v>6</v>
      </c>
      <c r="M24" s="3"/>
      <c r="N24" s="3"/>
      <c r="O24" s="3"/>
    </row>
    <row r="25" spans="2:28">
      <c r="B25" s="169"/>
      <c r="C25" s="2">
        <v>0.88750000000000007</v>
      </c>
      <c r="D25" s="3" t="s">
        <v>511</v>
      </c>
      <c r="E25" s="127">
        <v>6.3637162991793899</v>
      </c>
      <c r="F25" s="3" t="s">
        <v>490</v>
      </c>
      <c r="G25" s="3">
        <v>107</v>
      </c>
      <c r="H25" s="3">
        <v>60</v>
      </c>
      <c r="I25" s="3">
        <v>92</v>
      </c>
      <c r="J25" s="3"/>
      <c r="K25" s="1">
        <v>6</v>
      </c>
      <c r="L25" s="1">
        <v>6</v>
      </c>
      <c r="M25" s="3"/>
      <c r="N25" s="3"/>
      <c r="O25" s="3" t="s">
        <v>528</v>
      </c>
    </row>
    <row r="26" spans="2:28">
      <c r="B26" s="103">
        <v>43816</v>
      </c>
      <c r="C26" s="2">
        <v>0.38750000000000001</v>
      </c>
      <c r="D26" s="3" t="s">
        <v>512</v>
      </c>
      <c r="E26" s="127">
        <v>13.861122286389699</v>
      </c>
      <c r="F26" s="3">
        <v>7</v>
      </c>
      <c r="G26" s="3">
        <v>100</v>
      </c>
      <c r="H26" s="3">
        <v>65</v>
      </c>
      <c r="I26" s="3">
        <v>85</v>
      </c>
      <c r="J26" s="3"/>
      <c r="K26" s="1">
        <v>6</v>
      </c>
      <c r="L26" s="1">
        <v>6</v>
      </c>
      <c r="M26" s="3"/>
      <c r="N26" s="3"/>
      <c r="O26" s="3" t="s">
        <v>529</v>
      </c>
    </row>
    <row r="27" spans="2:28">
      <c r="B27" s="167">
        <v>43817</v>
      </c>
      <c r="C27" s="2">
        <v>0.38750000000000001</v>
      </c>
      <c r="D27" s="3" t="s">
        <v>513</v>
      </c>
      <c r="E27" s="127">
        <v>13.8145503106328</v>
      </c>
      <c r="F27" s="3">
        <v>7</v>
      </c>
      <c r="G27" s="3">
        <v>109</v>
      </c>
      <c r="H27" s="3">
        <v>57</v>
      </c>
      <c r="I27" s="3">
        <v>104</v>
      </c>
      <c r="J27" s="3"/>
      <c r="K27" s="1">
        <v>6</v>
      </c>
      <c r="L27" s="1">
        <v>6</v>
      </c>
      <c r="M27" s="3"/>
      <c r="N27" s="3"/>
      <c r="O27" s="3" t="s">
        <v>530</v>
      </c>
    </row>
    <row r="28" spans="2:28">
      <c r="B28" s="168"/>
      <c r="C28" s="30">
        <v>0.65277777777777779</v>
      </c>
      <c r="D28" s="31"/>
      <c r="E28" s="31"/>
      <c r="F28" s="31"/>
      <c r="G28" s="31"/>
      <c r="H28" s="31"/>
      <c r="I28" s="31"/>
      <c r="J28" s="31"/>
      <c r="K28" s="32" t="s">
        <v>20</v>
      </c>
      <c r="L28" s="32" t="s">
        <v>20</v>
      </c>
      <c r="M28" s="3"/>
      <c r="N28" s="3"/>
      <c r="O28" s="3"/>
      <c r="P28">
        <v>31</v>
      </c>
      <c r="U28">
        <f>U21/60</f>
        <v>73.849999999999994</v>
      </c>
    </row>
    <row r="29" spans="2:28">
      <c r="B29" s="169"/>
      <c r="C29" s="33">
        <v>0.6743055555555556</v>
      </c>
      <c r="D29" s="34"/>
      <c r="E29" s="34"/>
      <c r="F29" s="34"/>
      <c r="G29" s="34"/>
      <c r="H29" s="34"/>
      <c r="I29" s="34"/>
      <c r="J29" s="34"/>
      <c r="K29" s="35" t="s">
        <v>261</v>
      </c>
      <c r="L29" s="35" t="s">
        <v>261</v>
      </c>
      <c r="M29" s="3"/>
      <c r="N29" s="3"/>
      <c r="O29" s="3"/>
    </row>
    <row r="30" spans="2:28">
      <c r="B30" s="167">
        <v>43818</v>
      </c>
      <c r="C30" s="30">
        <v>3.8194444444444441E-2</v>
      </c>
      <c r="D30" s="31"/>
      <c r="E30" s="31"/>
      <c r="F30" s="31"/>
      <c r="G30" s="31"/>
      <c r="H30" s="31"/>
      <c r="I30" s="31"/>
      <c r="J30" s="31"/>
      <c r="K30" s="32" t="s">
        <v>20</v>
      </c>
      <c r="L30" s="32" t="s">
        <v>20</v>
      </c>
      <c r="M30" s="3"/>
      <c r="N30" s="3"/>
      <c r="O30" s="3"/>
      <c r="P30">
        <v>15</v>
      </c>
    </row>
    <row r="31" spans="2:28">
      <c r="B31" s="168"/>
      <c r="C31" s="33">
        <v>4.8611111111111112E-2</v>
      </c>
      <c r="D31" s="34"/>
      <c r="E31" s="34"/>
      <c r="F31" s="34"/>
      <c r="G31" s="34"/>
      <c r="H31" s="34"/>
      <c r="I31" s="34"/>
      <c r="J31" s="34"/>
      <c r="K31" s="35" t="s">
        <v>261</v>
      </c>
      <c r="L31" s="35" t="s">
        <v>261</v>
      </c>
      <c r="M31" s="3"/>
      <c r="N31" s="3"/>
      <c r="O31" s="3"/>
    </row>
    <row r="32" spans="2:28">
      <c r="B32" s="168"/>
      <c r="C32" s="2">
        <v>0.52916666666666667</v>
      </c>
      <c r="D32" s="3" t="s">
        <v>514</v>
      </c>
      <c r="E32" s="127">
        <v>50.093691301924302</v>
      </c>
      <c r="F32" s="3">
        <v>5</v>
      </c>
      <c r="G32" s="3">
        <v>102</v>
      </c>
      <c r="H32" s="3">
        <v>66</v>
      </c>
      <c r="I32" s="3">
        <v>80</v>
      </c>
      <c r="J32" s="3"/>
      <c r="K32" s="1">
        <v>6</v>
      </c>
      <c r="L32" s="1">
        <v>6</v>
      </c>
      <c r="M32" s="3"/>
      <c r="N32" s="3"/>
      <c r="O32" s="3"/>
    </row>
    <row r="33" spans="2:15">
      <c r="B33" s="168"/>
      <c r="C33" s="30">
        <v>0.52986111111111112</v>
      </c>
      <c r="D33" s="31"/>
      <c r="E33" s="31"/>
      <c r="F33" s="31"/>
      <c r="G33" s="31"/>
      <c r="H33" s="31"/>
      <c r="I33" s="31"/>
      <c r="J33" s="31"/>
      <c r="K33" s="32" t="s">
        <v>20</v>
      </c>
      <c r="L33" s="34" t="s">
        <v>470</v>
      </c>
      <c r="M33" s="3"/>
      <c r="N33" s="3"/>
      <c r="O33" s="3"/>
    </row>
    <row r="34" spans="2:15">
      <c r="B34" s="168"/>
      <c r="C34" s="2">
        <v>0.53125</v>
      </c>
      <c r="D34" s="3" t="s">
        <v>515</v>
      </c>
      <c r="E34" s="127">
        <v>41.971095950139997</v>
      </c>
      <c r="F34" s="3">
        <v>5</v>
      </c>
      <c r="G34" s="3">
        <v>100</v>
      </c>
      <c r="H34" s="3">
        <v>62</v>
      </c>
      <c r="I34" s="3">
        <v>80</v>
      </c>
      <c r="K34" s="3"/>
      <c r="L34" s="3">
        <v>7</v>
      </c>
      <c r="M34" s="3"/>
      <c r="N34" s="3"/>
      <c r="O34" s="3"/>
    </row>
    <row r="35" spans="2:15">
      <c r="B35" s="168"/>
      <c r="C35" s="2">
        <v>0.53263888888888888</v>
      </c>
      <c r="D35" s="3" t="s">
        <v>516</v>
      </c>
      <c r="E35" s="127">
        <v>52.340316691067102</v>
      </c>
      <c r="F35" s="3">
        <v>5</v>
      </c>
      <c r="G35" s="3">
        <v>105</v>
      </c>
      <c r="H35" s="3">
        <v>66</v>
      </c>
      <c r="I35" s="3">
        <v>78</v>
      </c>
      <c r="J35" s="3"/>
      <c r="K35" s="1"/>
      <c r="L35" s="3">
        <v>7</v>
      </c>
      <c r="M35" s="3"/>
      <c r="N35" s="3"/>
      <c r="O35" s="3"/>
    </row>
    <row r="36" spans="2:15">
      <c r="B36" s="168"/>
      <c r="C36" s="2">
        <v>0.54305555555555551</v>
      </c>
      <c r="D36" s="3" t="s">
        <v>517</v>
      </c>
      <c r="E36" s="127">
        <v>40.227741033159802</v>
      </c>
      <c r="F36" s="3">
        <v>5</v>
      </c>
      <c r="G36" s="3">
        <v>100</v>
      </c>
      <c r="H36" s="3">
        <v>65</v>
      </c>
      <c r="I36" s="3">
        <v>81</v>
      </c>
      <c r="J36" s="3"/>
      <c r="K36" s="1"/>
      <c r="L36" s="3">
        <v>7</v>
      </c>
      <c r="M36" s="3"/>
      <c r="N36" s="3"/>
      <c r="O36" s="3"/>
    </row>
    <row r="37" spans="2:15">
      <c r="B37" s="168"/>
      <c r="C37" s="2">
        <v>0.55694444444444446</v>
      </c>
      <c r="D37" s="3" t="s">
        <v>518</v>
      </c>
      <c r="E37" s="127">
        <v>67.811062445687597</v>
      </c>
      <c r="F37" s="3">
        <v>5</v>
      </c>
      <c r="G37" s="3">
        <v>101</v>
      </c>
      <c r="H37" s="3">
        <v>65</v>
      </c>
      <c r="I37" s="3">
        <v>75</v>
      </c>
      <c r="J37" s="3"/>
      <c r="K37" s="1"/>
      <c r="L37" s="3">
        <v>7</v>
      </c>
      <c r="M37" s="3"/>
      <c r="N37" s="3"/>
      <c r="O37" s="3"/>
    </row>
    <row r="38" spans="2:15">
      <c r="B38" s="168"/>
      <c r="C38" s="2">
        <v>0.5708333333333333</v>
      </c>
      <c r="D38" s="3" t="s">
        <v>519</v>
      </c>
      <c r="E38" s="127">
        <v>64.052546981660399</v>
      </c>
      <c r="F38" s="3">
        <v>4</v>
      </c>
      <c r="G38" s="3">
        <v>99</v>
      </c>
      <c r="H38" s="3">
        <v>63</v>
      </c>
      <c r="I38" s="3">
        <v>77</v>
      </c>
      <c r="J38" s="3"/>
      <c r="K38" s="1"/>
      <c r="L38" s="3">
        <v>7</v>
      </c>
      <c r="M38" s="3"/>
      <c r="N38" s="3"/>
      <c r="O38" s="3"/>
    </row>
    <row r="39" spans="2:15">
      <c r="B39" s="168"/>
      <c r="C39" s="2">
        <v>0.61249999999999993</v>
      </c>
      <c r="D39" s="3" t="s">
        <v>520</v>
      </c>
      <c r="E39" s="127">
        <v>38.903253984856498</v>
      </c>
      <c r="F39" s="3">
        <v>4</v>
      </c>
      <c r="G39" s="3">
        <v>94</v>
      </c>
      <c r="H39" s="3">
        <v>61</v>
      </c>
      <c r="I39" s="3">
        <v>79</v>
      </c>
      <c r="J39" s="3"/>
      <c r="K39" s="1"/>
      <c r="L39" s="3">
        <v>7</v>
      </c>
      <c r="M39" s="3"/>
      <c r="N39" s="3"/>
      <c r="O39" s="3"/>
    </row>
    <row r="40" spans="2:15">
      <c r="B40" s="169"/>
      <c r="C40" s="4" t="s">
        <v>504</v>
      </c>
      <c r="D40" s="3" t="s">
        <v>521</v>
      </c>
      <c r="E40" s="127">
        <v>52.485640831640097</v>
      </c>
      <c r="F40" s="3">
        <v>3</v>
      </c>
      <c r="G40" s="3">
        <v>101</v>
      </c>
      <c r="H40" s="3">
        <v>69</v>
      </c>
      <c r="I40" s="3">
        <v>83</v>
      </c>
      <c r="J40" s="3"/>
      <c r="K40" s="1"/>
      <c r="L40" s="3">
        <v>7</v>
      </c>
      <c r="M40" s="3"/>
      <c r="N40" s="3"/>
      <c r="O40" s="3"/>
    </row>
    <row r="41" spans="2:15">
      <c r="B41" s="103">
        <v>43819</v>
      </c>
      <c r="C41" s="2">
        <v>8.3333333333333332E-3</v>
      </c>
      <c r="D41" s="3" t="s">
        <v>522</v>
      </c>
      <c r="E41" s="127">
        <v>35.350833625450797</v>
      </c>
      <c r="F41" s="3">
        <v>0</v>
      </c>
      <c r="G41" s="3">
        <v>122</v>
      </c>
      <c r="H41" s="3">
        <v>80</v>
      </c>
      <c r="I41" s="3">
        <v>82</v>
      </c>
      <c r="J41" s="3"/>
      <c r="K41" s="1"/>
      <c r="L41" s="3">
        <v>7</v>
      </c>
      <c r="M41" s="3"/>
      <c r="N41" s="3"/>
      <c r="O41" s="3"/>
    </row>
    <row r="42" spans="2:15">
      <c r="B42" s="103">
        <v>43820</v>
      </c>
      <c r="C42" s="2">
        <v>0.5</v>
      </c>
      <c r="D42" s="3" t="s">
        <v>523</v>
      </c>
      <c r="E42" s="127">
        <v>7.5741281912311704</v>
      </c>
      <c r="F42" s="3">
        <v>0</v>
      </c>
      <c r="G42" s="3">
        <v>110</v>
      </c>
      <c r="H42" s="3">
        <v>70</v>
      </c>
      <c r="I42" s="3">
        <v>76</v>
      </c>
      <c r="J42" s="3"/>
      <c r="K42" s="1"/>
      <c r="L42" s="79">
        <v>7</v>
      </c>
      <c r="M42" s="3"/>
      <c r="N42" s="3"/>
      <c r="O42" s="3"/>
    </row>
    <row r="43" spans="2:15">
      <c r="B43" s="74">
        <v>43821</v>
      </c>
      <c r="C43" s="2">
        <v>0.54305555555555551</v>
      </c>
      <c r="D43" s="11" t="s">
        <v>524</v>
      </c>
      <c r="E43" s="127">
        <v>3.40352974185598</v>
      </c>
      <c r="F43" s="11" t="s">
        <v>232</v>
      </c>
      <c r="G43" s="11">
        <v>113</v>
      </c>
      <c r="H43" s="11">
        <v>71</v>
      </c>
      <c r="I43" s="11">
        <v>76</v>
      </c>
      <c r="J43" s="11"/>
      <c r="K43" s="11"/>
      <c r="L43" s="81">
        <v>0</v>
      </c>
      <c r="M43" s="11"/>
      <c r="N43" s="11"/>
      <c r="O43" s="11"/>
    </row>
  </sheetData>
  <mergeCells count="30">
    <mergeCell ref="B13:B25"/>
    <mergeCell ref="B27:B29"/>
    <mergeCell ref="B30:B40"/>
    <mergeCell ref="U11:V11"/>
    <mergeCell ref="M14:N14"/>
    <mergeCell ref="I11:I12"/>
    <mergeCell ref="W10:Y10"/>
    <mergeCell ref="Z10:AB10"/>
    <mergeCell ref="K11:L11"/>
    <mergeCell ref="M11:N11"/>
    <mergeCell ref="O11:O12"/>
    <mergeCell ref="R12:R16"/>
    <mergeCell ref="B2:B3"/>
    <mergeCell ref="C2:C3"/>
    <mergeCell ref="G2:I2"/>
    <mergeCell ref="K2:L2"/>
    <mergeCell ref="B11:B12"/>
    <mergeCell ref="C11:C12"/>
    <mergeCell ref="D11:D12"/>
    <mergeCell ref="F11:F12"/>
    <mergeCell ref="G11:H11"/>
    <mergeCell ref="J11:J12"/>
    <mergeCell ref="K5:L5"/>
    <mergeCell ref="K6:L6"/>
    <mergeCell ref="E11:E12"/>
    <mergeCell ref="Q2:R2"/>
    <mergeCell ref="G3:I3"/>
    <mergeCell ref="K3:O4"/>
    <mergeCell ref="Q3:R3"/>
    <mergeCell ref="G4:H4"/>
  </mergeCells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A35"/>
  <sheetViews>
    <sheetView zoomScale="90" zoomScaleNormal="90" workbookViewId="0">
      <selection sqref="A1:C2"/>
    </sheetView>
  </sheetViews>
  <sheetFormatPr defaultRowHeight="14.4"/>
  <cols>
    <col min="1" max="1" width="4" customWidth="1"/>
    <col min="2" max="2" width="11.44140625" bestFit="1" customWidth="1"/>
    <col min="3" max="3" width="16.21875" customWidth="1"/>
    <col min="4" max="5" width="9.77734375" customWidth="1"/>
    <col min="6" max="6" width="8.109375" customWidth="1"/>
    <col min="7" max="7" width="11.33203125" customWidth="1"/>
    <col min="8" max="8" width="8.21875" bestFit="1" customWidth="1"/>
    <col min="9" max="9" width="7.77734375" customWidth="1"/>
    <col min="10" max="10" width="8.5546875" customWidth="1"/>
    <col min="11" max="11" width="7.44140625" customWidth="1"/>
    <col min="12" max="12" width="6.44140625" customWidth="1"/>
    <col min="13" max="14" width="7.33203125" customWidth="1"/>
    <col min="15" max="15" width="14.21875" customWidth="1"/>
    <col min="16" max="16" width="6.5546875" customWidth="1"/>
    <col min="17" max="17" width="6.44140625" customWidth="1"/>
    <col min="19" max="19" width="10.44140625" customWidth="1"/>
    <col min="23" max="23" width="7.44140625" customWidth="1"/>
    <col min="24" max="24" width="7.88671875" customWidth="1"/>
    <col min="25" max="25" width="7.109375" customWidth="1"/>
    <col min="26" max="26" width="7.6640625" customWidth="1"/>
    <col min="27" max="27" width="7.5546875" customWidth="1"/>
    <col min="28" max="28" width="7.109375" customWidth="1"/>
  </cols>
  <sheetData>
    <row r="1" spans="1:27">
      <c r="A1" s="211" t="s">
        <v>673</v>
      </c>
      <c r="B1" s="211"/>
      <c r="C1" s="211"/>
    </row>
    <row r="2" spans="1:27">
      <c r="A2" s="211"/>
      <c r="B2" s="211"/>
      <c r="C2" s="211"/>
    </row>
    <row r="3" spans="1:27">
      <c r="B3" s="170" t="s">
        <v>0</v>
      </c>
      <c r="C3" s="172" t="s">
        <v>534</v>
      </c>
      <c r="G3" s="175" t="s">
        <v>24</v>
      </c>
      <c r="H3" s="175"/>
      <c r="I3" s="175"/>
      <c r="K3" s="161" t="s">
        <v>32</v>
      </c>
      <c r="L3" s="162"/>
      <c r="Q3" s="159" t="s">
        <v>33</v>
      </c>
      <c r="R3" s="160"/>
      <c r="S3" s="17" t="s">
        <v>129</v>
      </c>
    </row>
    <row r="4" spans="1:27">
      <c r="B4" s="171"/>
      <c r="C4" s="173"/>
      <c r="G4" s="176" t="s">
        <v>38</v>
      </c>
      <c r="H4" s="176"/>
      <c r="I4" s="176"/>
      <c r="K4" s="194" t="s">
        <v>128</v>
      </c>
      <c r="L4" s="194"/>
      <c r="M4" s="194"/>
      <c r="N4" s="194"/>
      <c r="O4" s="194"/>
      <c r="Q4" s="159" t="s">
        <v>34</v>
      </c>
      <c r="R4" s="160"/>
      <c r="S4" s="17" t="s">
        <v>130</v>
      </c>
    </row>
    <row r="5" spans="1:27" ht="21">
      <c r="B5" s="88" t="s">
        <v>23</v>
      </c>
      <c r="C5" s="89">
        <v>1020</v>
      </c>
      <c r="G5" s="174" t="s">
        <v>19</v>
      </c>
      <c r="H5" s="174"/>
      <c r="K5" s="194"/>
      <c r="L5" s="194"/>
      <c r="M5" s="194"/>
      <c r="N5" s="194"/>
      <c r="O5" s="194"/>
    </row>
    <row r="6" spans="1:27">
      <c r="B6" s="6" t="s">
        <v>1</v>
      </c>
      <c r="C6" s="7">
        <v>78</v>
      </c>
      <c r="G6" s="9" t="s">
        <v>25</v>
      </c>
      <c r="H6" s="25">
        <v>0.375</v>
      </c>
      <c r="I6" t="s">
        <v>503</v>
      </c>
      <c r="K6" s="157" t="s">
        <v>25</v>
      </c>
      <c r="L6" s="158"/>
      <c r="M6" s="40" t="s">
        <v>502</v>
      </c>
      <c r="N6" s="25">
        <v>0.38194444444444442</v>
      </c>
      <c r="O6">
        <f>48*60+38</f>
        <v>2918</v>
      </c>
    </row>
    <row r="7" spans="1:27">
      <c r="B7" s="6" t="s">
        <v>2</v>
      </c>
      <c r="C7" s="8">
        <v>180</v>
      </c>
      <c r="G7" s="9" t="s">
        <v>26</v>
      </c>
      <c r="H7" s="25">
        <v>0.50694444444444442</v>
      </c>
      <c r="K7" s="157" t="s">
        <v>26</v>
      </c>
      <c r="L7" s="158"/>
      <c r="M7" s="40" t="s">
        <v>557</v>
      </c>
      <c r="N7" s="25">
        <v>0.40833333333333338</v>
      </c>
    </row>
    <row r="8" spans="1:27">
      <c r="B8" s="6" t="s">
        <v>3</v>
      </c>
      <c r="C8" s="8" t="s">
        <v>18</v>
      </c>
    </row>
    <row r="9" spans="1:27">
      <c r="B9" s="6" t="s">
        <v>8</v>
      </c>
      <c r="C9" s="8">
        <v>67</v>
      </c>
    </row>
    <row r="11" spans="1:27" ht="15" thickBot="1">
      <c r="V11" s="154" t="s">
        <v>63</v>
      </c>
      <c r="W11" s="155"/>
      <c r="X11" s="156"/>
      <c r="Y11" s="154" t="s">
        <v>62</v>
      </c>
      <c r="Z11" s="155"/>
      <c r="AA11" s="156"/>
    </row>
    <row r="12" spans="1:27" ht="15" customHeight="1">
      <c r="B12" s="165" t="s">
        <v>4</v>
      </c>
      <c r="C12" s="165" t="s">
        <v>5</v>
      </c>
      <c r="D12" s="165" t="s">
        <v>6</v>
      </c>
      <c r="E12" s="165" t="s">
        <v>671</v>
      </c>
      <c r="F12" s="165" t="s">
        <v>28</v>
      </c>
      <c r="G12" s="177" t="s">
        <v>7</v>
      </c>
      <c r="H12" s="178"/>
      <c r="I12" s="165" t="s">
        <v>9</v>
      </c>
      <c r="J12" s="165" t="s">
        <v>29</v>
      </c>
      <c r="K12" s="177" t="s">
        <v>27</v>
      </c>
      <c r="L12" s="178"/>
      <c r="M12" s="177" t="s">
        <v>31</v>
      </c>
      <c r="N12" s="178"/>
      <c r="O12" s="165" t="s">
        <v>30</v>
      </c>
      <c r="R12" s="10" t="s">
        <v>10</v>
      </c>
      <c r="S12" s="10" t="s">
        <v>11</v>
      </c>
      <c r="T12" s="10" t="s">
        <v>12</v>
      </c>
      <c r="U12" s="10" t="s">
        <v>13</v>
      </c>
      <c r="V12" s="23" t="s">
        <v>14</v>
      </c>
      <c r="W12" s="22" t="s">
        <v>15</v>
      </c>
      <c r="X12" s="22" t="s">
        <v>35</v>
      </c>
      <c r="Y12" s="24" t="s">
        <v>14</v>
      </c>
      <c r="Z12" s="24" t="s">
        <v>36</v>
      </c>
      <c r="AA12" s="24" t="s">
        <v>37</v>
      </c>
    </row>
    <row r="13" spans="1:27">
      <c r="B13" s="166"/>
      <c r="C13" s="166"/>
      <c r="D13" s="166"/>
      <c r="E13" s="166"/>
      <c r="F13" s="166"/>
      <c r="G13" s="87" t="s">
        <v>16</v>
      </c>
      <c r="H13" s="19" t="s">
        <v>17</v>
      </c>
      <c r="I13" s="166"/>
      <c r="J13" s="166"/>
      <c r="K13" s="20" t="s">
        <v>63</v>
      </c>
      <c r="L13" s="21" t="s">
        <v>87</v>
      </c>
      <c r="M13" s="20" t="s">
        <v>63</v>
      </c>
      <c r="N13" s="21" t="s">
        <v>87</v>
      </c>
      <c r="O13" s="166"/>
      <c r="R13" s="57"/>
      <c r="S13" s="11"/>
      <c r="T13" s="11"/>
      <c r="U13" s="11"/>
      <c r="V13" s="11"/>
      <c r="W13" s="1"/>
      <c r="X13" s="1"/>
      <c r="Y13" s="1"/>
      <c r="Z13" s="1"/>
      <c r="AA13" s="1"/>
    </row>
    <row r="14" spans="1:27">
      <c r="B14" s="167">
        <v>43815</v>
      </c>
      <c r="C14" s="33">
        <v>0.38194444444444442</v>
      </c>
      <c r="D14" s="34" t="s">
        <v>536</v>
      </c>
      <c r="E14" s="34">
        <v>2.0641014136878599</v>
      </c>
      <c r="F14" s="34" t="s">
        <v>370</v>
      </c>
      <c r="G14" s="34">
        <v>90</v>
      </c>
      <c r="H14" s="34">
        <v>54</v>
      </c>
      <c r="I14" s="34">
        <v>51</v>
      </c>
      <c r="J14" s="34"/>
      <c r="K14" s="35" t="s">
        <v>58</v>
      </c>
      <c r="L14" s="35" t="s">
        <v>58</v>
      </c>
      <c r="M14" s="3"/>
      <c r="N14" s="3"/>
      <c r="O14" s="3"/>
      <c r="R14" s="58"/>
      <c r="S14" s="11"/>
      <c r="T14" s="11"/>
      <c r="U14" s="11"/>
      <c r="V14" s="11"/>
      <c r="W14" s="1"/>
      <c r="X14" s="1"/>
      <c r="Y14" s="1"/>
      <c r="Z14" s="1"/>
      <c r="AA14" s="1"/>
    </row>
    <row r="15" spans="1:27">
      <c r="B15" s="168"/>
      <c r="C15" s="113">
        <v>0.38541666666666669</v>
      </c>
      <c r="D15" s="114" t="s">
        <v>537</v>
      </c>
      <c r="E15" s="114">
        <v>2.3683391497861699</v>
      </c>
      <c r="F15" s="114" t="s">
        <v>370</v>
      </c>
      <c r="G15" s="114">
        <v>96</v>
      </c>
      <c r="H15" s="114">
        <v>68</v>
      </c>
      <c r="I15" s="114">
        <v>80</v>
      </c>
      <c r="J15" s="114"/>
      <c r="K15" s="115"/>
      <c r="L15" s="114"/>
      <c r="M15" s="182" t="s">
        <v>91</v>
      </c>
      <c r="N15" s="183"/>
      <c r="O15" s="3" t="s">
        <v>492</v>
      </c>
      <c r="R15" s="58"/>
      <c r="S15" s="11"/>
      <c r="T15" s="11"/>
      <c r="U15" s="11"/>
      <c r="V15" s="11"/>
      <c r="W15" s="1"/>
      <c r="X15" s="1"/>
      <c r="Y15" s="1"/>
      <c r="Z15" s="1"/>
      <c r="AA15" s="1"/>
    </row>
    <row r="16" spans="1:27">
      <c r="B16" s="168"/>
      <c r="C16" s="113">
        <v>0.38680555555555557</v>
      </c>
      <c r="D16" s="114"/>
      <c r="F16" s="114"/>
      <c r="G16" s="114"/>
      <c r="H16" s="114"/>
      <c r="I16" s="114"/>
      <c r="J16" s="114"/>
      <c r="K16" s="115">
        <v>5</v>
      </c>
      <c r="L16" s="115">
        <v>5</v>
      </c>
      <c r="M16" s="3"/>
      <c r="N16" s="3"/>
      <c r="O16" s="3"/>
      <c r="R16" s="58"/>
      <c r="S16" s="11"/>
      <c r="T16" s="11"/>
      <c r="U16" s="11"/>
      <c r="V16" s="11"/>
      <c r="W16" s="1"/>
      <c r="X16" s="1"/>
      <c r="Y16" s="1"/>
      <c r="Z16" s="1"/>
      <c r="AA16" s="1"/>
    </row>
    <row r="17" spans="2:27">
      <c r="B17" s="168"/>
      <c r="C17" s="2">
        <v>0.40625</v>
      </c>
      <c r="D17" s="3" t="s">
        <v>538</v>
      </c>
      <c r="E17" s="114">
        <v>2.3968520480778301</v>
      </c>
      <c r="F17" s="3" t="s">
        <v>370</v>
      </c>
      <c r="G17" s="3">
        <v>90</v>
      </c>
      <c r="H17" s="3">
        <v>56</v>
      </c>
      <c r="I17" s="3">
        <v>88</v>
      </c>
      <c r="J17" s="3"/>
      <c r="K17" s="111">
        <v>8</v>
      </c>
      <c r="L17" s="111">
        <v>8</v>
      </c>
      <c r="M17" s="3"/>
      <c r="N17" s="3"/>
      <c r="O17" s="3"/>
      <c r="R17" s="58"/>
      <c r="S17" s="11"/>
      <c r="T17" s="11"/>
      <c r="U17" s="11"/>
      <c r="V17" s="11"/>
      <c r="W17" s="1"/>
      <c r="X17" s="1"/>
      <c r="Y17" s="1"/>
      <c r="Z17" s="1"/>
      <c r="AA17" s="1"/>
    </row>
    <row r="18" spans="2:27">
      <c r="B18" s="168"/>
      <c r="C18" s="2">
        <v>0.43194444444444446</v>
      </c>
      <c r="D18" s="3" t="s">
        <v>539</v>
      </c>
      <c r="E18" s="3">
        <v>3.7195754569589399</v>
      </c>
      <c r="F18" s="3" t="s">
        <v>370</v>
      </c>
      <c r="G18" s="3">
        <v>94</v>
      </c>
      <c r="H18" s="3">
        <v>60</v>
      </c>
      <c r="I18" s="3">
        <v>80</v>
      </c>
      <c r="J18" s="3"/>
      <c r="K18" s="1">
        <v>8</v>
      </c>
      <c r="L18" s="1">
        <v>8</v>
      </c>
      <c r="M18" s="3"/>
      <c r="N18" s="3"/>
      <c r="O18" s="3"/>
      <c r="R18" s="58"/>
      <c r="S18" s="11"/>
      <c r="T18" s="11"/>
      <c r="U18" s="11"/>
      <c r="V18" s="11"/>
      <c r="W18" s="1"/>
      <c r="X18" s="1"/>
      <c r="Y18" s="1"/>
      <c r="Z18" s="1"/>
      <c r="AA18" s="1"/>
    </row>
    <row r="19" spans="2:27">
      <c r="B19" s="168"/>
      <c r="C19" s="2">
        <v>0.4375</v>
      </c>
      <c r="D19" s="3"/>
      <c r="F19" s="3" t="s">
        <v>370</v>
      </c>
      <c r="G19" s="3">
        <v>110</v>
      </c>
      <c r="H19" s="3">
        <v>70</v>
      </c>
      <c r="I19" s="3">
        <v>77</v>
      </c>
      <c r="J19" s="3"/>
      <c r="K19" s="16">
        <v>6</v>
      </c>
      <c r="L19" s="16">
        <v>6</v>
      </c>
      <c r="M19" s="3"/>
      <c r="N19" s="3"/>
      <c r="O19" s="3"/>
      <c r="R19" s="58"/>
      <c r="S19" s="11"/>
      <c r="T19" s="11"/>
      <c r="U19" s="11"/>
      <c r="V19" s="11"/>
      <c r="W19" s="1"/>
      <c r="X19" s="1"/>
      <c r="Y19" s="1"/>
      <c r="Z19" s="1"/>
      <c r="AA19" s="1"/>
    </row>
    <row r="20" spans="2:27">
      <c r="B20" s="168"/>
      <c r="C20" s="2">
        <v>0.46875</v>
      </c>
      <c r="D20" s="3" t="s">
        <v>540</v>
      </c>
      <c r="E20" s="3">
        <v>3.3047163727963098</v>
      </c>
      <c r="F20" s="3" t="s">
        <v>370</v>
      </c>
      <c r="G20" s="3">
        <v>106</v>
      </c>
      <c r="H20" s="3">
        <v>56</v>
      </c>
      <c r="I20" s="3">
        <v>59</v>
      </c>
      <c r="J20" s="3"/>
      <c r="K20" s="1">
        <v>6</v>
      </c>
      <c r="L20" s="1">
        <v>6</v>
      </c>
      <c r="M20" s="3"/>
      <c r="N20" s="3"/>
      <c r="O20" s="3"/>
      <c r="R20" s="14"/>
      <c r="S20" s="11"/>
      <c r="T20" s="11"/>
      <c r="U20" s="11"/>
      <c r="V20" s="11"/>
      <c r="W20" s="1"/>
      <c r="X20" s="1"/>
      <c r="Y20" s="1"/>
      <c r="Z20" s="1"/>
      <c r="AA20" s="1"/>
    </row>
    <row r="21" spans="2:27">
      <c r="B21" s="168"/>
      <c r="C21" s="2">
        <v>0.63194444444444442</v>
      </c>
      <c r="D21" s="3" t="s">
        <v>541</v>
      </c>
      <c r="E21" s="3">
        <v>5.10183927203928</v>
      </c>
      <c r="F21" s="3" t="s">
        <v>555</v>
      </c>
      <c r="G21" s="3">
        <v>105</v>
      </c>
      <c r="H21" s="3">
        <v>58</v>
      </c>
      <c r="I21" s="3">
        <v>79</v>
      </c>
      <c r="J21" s="3"/>
      <c r="K21" s="1">
        <v>6</v>
      </c>
      <c r="L21" s="1">
        <v>6</v>
      </c>
      <c r="M21" s="3"/>
      <c r="N21" s="3"/>
      <c r="O21" s="3"/>
      <c r="R21" s="197"/>
      <c r="S21" s="11"/>
      <c r="T21" s="11"/>
      <c r="U21" s="11"/>
      <c r="V21" s="11"/>
      <c r="W21" s="1"/>
      <c r="X21" s="1"/>
      <c r="Y21" s="1"/>
      <c r="Z21" s="1"/>
      <c r="AA21" s="1"/>
    </row>
    <row r="22" spans="2:27">
      <c r="B22" s="169"/>
      <c r="C22" s="2">
        <v>0.875</v>
      </c>
      <c r="D22" s="3" t="s">
        <v>542</v>
      </c>
      <c r="E22" s="3">
        <v>7.0855092474828503</v>
      </c>
      <c r="F22" s="3">
        <v>1</v>
      </c>
      <c r="G22" s="3">
        <v>110</v>
      </c>
      <c r="H22" s="3">
        <v>61</v>
      </c>
      <c r="I22" s="3">
        <v>69</v>
      </c>
      <c r="J22" s="3"/>
      <c r="K22" s="1">
        <v>6</v>
      </c>
      <c r="L22" s="1">
        <v>6</v>
      </c>
      <c r="M22" s="3"/>
      <c r="N22" s="3"/>
      <c r="O22" s="3"/>
      <c r="R22" s="197"/>
      <c r="S22" s="11"/>
      <c r="T22" s="11"/>
      <c r="U22" s="11"/>
      <c r="V22" s="11"/>
      <c r="W22" s="1"/>
      <c r="X22" s="1"/>
      <c r="Y22" s="1"/>
      <c r="Z22" s="1"/>
      <c r="AA22" s="1"/>
    </row>
    <row r="23" spans="2:27">
      <c r="B23" s="167">
        <v>43816</v>
      </c>
      <c r="C23" s="2">
        <v>0.38194444444444442</v>
      </c>
      <c r="D23" s="3" t="s">
        <v>543</v>
      </c>
      <c r="E23" s="3">
        <v>6.82374534736618</v>
      </c>
      <c r="F23" s="3">
        <v>1</v>
      </c>
      <c r="G23" s="3">
        <v>143</v>
      </c>
      <c r="H23" s="3">
        <v>75</v>
      </c>
      <c r="I23" s="3">
        <v>75</v>
      </c>
      <c r="J23" s="3"/>
      <c r="K23" s="1">
        <v>6</v>
      </c>
      <c r="L23" s="1">
        <v>6</v>
      </c>
      <c r="M23" s="3"/>
      <c r="N23" s="3"/>
      <c r="O23" s="3"/>
      <c r="R23" s="197"/>
      <c r="S23" s="11"/>
      <c r="T23" s="11"/>
      <c r="U23" s="11"/>
      <c r="V23" s="11"/>
      <c r="W23" s="1"/>
      <c r="X23" s="1"/>
      <c r="Y23" s="1"/>
      <c r="Z23" s="1"/>
      <c r="AA23" s="1"/>
    </row>
    <row r="24" spans="2:27">
      <c r="B24" s="169"/>
      <c r="C24" s="2">
        <v>0.40277777777777773</v>
      </c>
      <c r="D24" s="3"/>
      <c r="F24" s="3"/>
      <c r="G24" s="3">
        <v>90</v>
      </c>
      <c r="H24" s="3">
        <v>68</v>
      </c>
      <c r="I24" s="3">
        <v>90</v>
      </c>
      <c r="J24" s="3"/>
      <c r="K24" s="16">
        <v>8</v>
      </c>
      <c r="L24" s="16">
        <v>8</v>
      </c>
      <c r="M24" s="3"/>
      <c r="N24" s="3"/>
      <c r="O24" s="79" t="s">
        <v>556</v>
      </c>
      <c r="R24" s="197"/>
      <c r="S24" s="11"/>
      <c r="T24" s="11"/>
      <c r="U24" s="11"/>
      <c r="V24" s="11"/>
      <c r="W24" s="1"/>
      <c r="X24" s="1"/>
      <c r="Y24" s="1"/>
      <c r="Z24" s="1"/>
      <c r="AA24" s="1"/>
    </row>
    <row r="25" spans="2:27">
      <c r="B25" s="167">
        <v>43817</v>
      </c>
      <c r="C25" s="2">
        <v>0.40277777777777773</v>
      </c>
      <c r="D25" s="3" t="s">
        <v>544</v>
      </c>
      <c r="E25" s="3">
        <v>17.1517627531803</v>
      </c>
      <c r="F25" s="3">
        <v>0</v>
      </c>
      <c r="G25" s="3">
        <v>136</v>
      </c>
      <c r="H25" s="3">
        <v>74</v>
      </c>
      <c r="I25" s="3">
        <v>87</v>
      </c>
      <c r="J25" s="3"/>
      <c r="K25" s="111">
        <v>5</v>
      </c>
      <c r="L25" s="111">
        <v>5</v>
      </c>
      <c r="M25" s="3"/>
      <c r="N25" s="3"/>
      <c r="O25" s="3"/>
      <c r="R25" s="197"/>
      <c r="S25" s="11"/>
      <c r="T25" s="11"/>
      <c r="U25" s="11"/>
      <c r="V25" s="11"/>
      <c r="W25" s="1"/>
      <c r="X25" s="1"/>
      <c r="Y25" s="1"/>
      <c r="Z25" s="1"/>
      <c r="AA25" s="1"/>
    </row>
    <row r="26" spans="2:27">
      <c r="B26" s="168"/>
      <c r="C26" s="30">
        <v>0.40833333333333338</v>
      </c>
      <c r="D26" s="31" t="s">
        <v>545</v>
      </c>
      <c r="E26" s="31">
        <v>19.076329916794698</v>
      </c>
      <c r="F26" s="31">
        <v>0</v>
      </c>
      <c r="G26" s="31">
        <v>136</v>
      </c>
      <c r="H26" s="31">
        <v>77</v>
      </c>
      <c r="I26" s="31">
        <v>78</v>
      </c>
      <c r="J26" s="31"/>
      <c r="K26" s="112" t="s">
        <v>20</v>
      </c>
      <c r="L26" s="112" t="s">
        <v>20</v>
      </c>
      <c r="M26" s="3"/>
      <c r="N26" s="3"/>
      <c r="O26" s="3"/>
      <c r="R26" s="197"/>
      <c r="S26" s="11"/>
      <c r="T26" s="11"/>
      <c r="U26" s="11"/>
      <c r="V26" s="11"/>
      <c r="W26" s="1"/>
      <c r="X26" s="1"/>
      <c r="Y26" s="1"/>
      <c r="Z26" s="1"/>
      <c r="AA26" s="1"/>
    </row>
    <row r="27" spans="2:27">
      <c r="B27" s="168"/>
      <c r="C27" s="2">
        <v>0.41041666666666665</v>
      </c>
      <c r="D27" s="3" t="s">
        <v>546</v>
      </c>
      <c r="E27" s="3">
        <v>15.930594736433999</v>
      </c>
      <c r="F27" s="3">
        <v>0</v>
      </c>
      <c r="G27" s="3">
        <v>140</v>
      </c>
      <c r="H27" s="3">
        <v>77</v>
      </c>
      <c r="I27" s="3">
        <v>82</v>
      </c>
      <c r="J27" s="3"/>
      <c r="K27" s="1"/>
      <c r="L27" s="3"/>
      <c r="M27" s="3"/>
      <c r="N27" s="3"/>
      <c r="O27" s="3"/>
      <c r="R27" s="197"/>
      <c r="S27" s="11"/>
      <c r="T27" s="11"/>
      <c r="U27" s="11"/>
      <c r="V27" s="11"/>
      <c r="W27" s="1"/>
      <c r="X27" s="1"/>
      <c r="Y27" s="1"/>
      <c r="Z27" s="1"/>
      <c r="AA27" s="1"/>
    </row>
    <row r="28" spans="2:27">
      <c r="B28" s="168"/>
      <c r="C28" s="2">
        <v>0.41180555555555554</v>
      </c>
      <c r="D28" s="3" t="s">
        <v>547</v>
      </c>
      <c r="E28" s="3">
        <v>15.739445985579</v>
      </c>
      <c r="F28" s="3">
        <v>0</v>
      </c>
      <c r="G28" s="3">
        <v>149</v>
      </c>
      <c r="H28" s="3">
        <v>81</v>
      </c>
      <c r="I28" s="3">
        <v>82</v>
      </c>
      <c r="J28" s="3"/>
      <c r="K28" s="1"/>
      <c r="L28" s="3"/>
      <c r="M28" s="3"/>
      <c r="N28" s="3"/>
      <c r="O28" s="3"/>
      <c r="R28" s="197"/>
      <c r="S28" s="11"/>
      <c r="T28" s="11"/>
      <c r="U28" s="11"/>
      <c r="V28" s="11"/>
      <c r="W28" s="1"/>
      <c r="X28" s="1"/>
      <c r="Y28" s="1"/>
      <c r="Z28" s="1"/>
      <c r="AA28" s="1"/>
    </row>
    <row r="29" spans="2:27">
      <c r="B29" s="168"/>
      <c r="C29" s="2">
        <v>0.42222222222222222</v>
      </c>
      <c r="D29" s="3" t="s">
        <v>548</v>
      </c>
      <c r="E29" s="3">
        <v>15.0139316895572</v>
      </c>
      <c r="F29" s="3">
        <v>0</v>
      </c>
      <c r="G29" s="3">
        <v>143</v>
      </c>
      <c r="H29" s="3">
        <v>81</v>
      </c>
      <c r="I29" s="3">
        <v>91</v>
      </c>
      <c r="J29" s="3"/>
      <c r="K29" s="1"/>
      <c r="L29" s="3"/>
      <c r="M29" s="3"/>
      <c r="N29" s="3"/>
      <c r="O29" s="3"/>
      <c r="R29" s="197"/>
      <c r="S29" s="11"/>
      <c r="T29" s="11"/>
      <c r="U29" s="11"/>
      <c r="V29" s="11"/>
      <c r="W29" s="1"/>
      <c r="X29" s="1"/>
      <c r="Y29" s="1"/>
      <c r="Z29" s="1"/>
      <c r="AA29" s="1"/>
    </row>
    <row r="30" spans="2:27">
      <c r="B30" s="168"/>
      <c r="C30" s="2">
        <v>0.43611111111111112</v>
      </c>
      <c r="D30" s="3" t="s">
        <v>549</v>
      </c>
      <c r="E30" s="3">
        <v>21.838658788601599</v>
      </c>
      <c r="F30" s="3">
        <v>0</v>
      </c>
      <c r="G30" s="3">
        <v>140</v>
      </c>
      <c r="H30" s="3">
        <v>76</v>
      </c>
      <c r="I30" s="3">
        <v>83</v>
      </c>
      <c r="J30" s="3"/>
      <c r="K30" s="1"/>
      <c r="L30" s="3"/>
      <c r="M30" s="3"/>
      <c r="N30" s="3"/>
      <c r="O30" s="3"/>
      <c r="R30" s="14"/>
      <c r="S30" s="11"/>
      <c r="T30" s="11"/>
      <c r="U30" s="11"/>
      <c r="V30" s="11"/>
      <c r="W30" s="1"/>
      <c r="X30" s="1"/>
      <c r="Y30" s="1"/>
      <c r="Z30" s="1"/>
      <c r="AA30" s="1"/>
    </row>
    <row r="31" spans="2:27">
      <c r="B31" s="168"/>
      <c r="C31" s="2">
        <v>0.45347222222222222</v>
      </c>
      <c r="D31" s="3" t="s">
        <v>550</v>
      </c>
      <c r="E31" s="3">
        <v>19.032625743827602</v>
      </c>
      <c r="F31" s="3">
        <v>0</v>
      </c>
      <c r="G31" s="3">
        <v>128</v>
      </c>
      <c r="H31" s="3">
        <v>75</v>
      </c>
      <c r="I31" s="3">
        <v>83</v>
      </c>
      <c r="J31" s="3"/>
      <c r="K31" s="1"/>
      <c r="L31" s="3"/>
      <c r="M31" s="3"/>
      <c r="N31" s="3"/>
      <c r="O31" s="3"/>
      <c r="R31" s="10" t="s">
        <v>21</v>
      </c>
      <c r="S31" s="11"/>
      <c r="T31" s="11"/>
      <c r="U31" s="10">
        <f>SUM(U13:U30)</f>
        <v>0</v>
      </c>
      <c r="X31" s="10">
        <f>SUM(X13:X30)</f>
        <v>0</v>
      </c>
      <c r="AA31" s="10">
        <f>SUM(AA13:AA30)</f>
        <v>0</v>
      </c>
    </row>
    <row r="32" spans="2:27">
      <c r="B32" s="168"/>
      <c r="C32" s="2">
        <v>0.51458333333333328</v>
      </c>
      <c r="D32" s="3" t="s">
        <v>551</v>
      </c>
      <c r="E32" s="3">
        <v>11.380941113088999</v>
      </c>
      <c r="F32" s="3">
        <v>0</v>
      </c>
      <c r="G32" s="3">
        <v>143</v>
      </c>
      <c r="H32" s="3">
        <v>77</v>
      </c>
      <c r="I32" s="3">
        <v>79</v>
      </c>
      <c r="J32" s="3"/>
      <c r="K32" s="1"/>
      <c r="L32" s="3"/>
      <c r="M32" s="3"/>
      <c r="N32" s="3"/>
      <c r="O32" s="3"/>
    </row>
    <row r="33" spans="2:15">
      <c r="B33" s="168"/>
      <c r="C33" s="4" t="s">
        <v>535</v>
      </c>
      <c r="D33" s="3" t="s">
        <v>552</v>
      </c>
      <c r="E33" s="3">
        <v>10.5027809100337</v>
      </c>
      <c r="F33" s="3">
        <v>0</v>
      </c>
      <c r="G33" s="3">
        <v>123</v>
      </c>
      <c r="H33" s="3">
        <v>71</v>
      </c>
      <c r="I33" s="3">
        <v>79</v>
      </c>
      <c r="J33" s="3"/>
      <c r="K33" s="1"/>
      <c r="L33" s="3"/>
      <c r="M33" s="3"/>
      <c r="N33" s="3"/>
      <c r="O33" s="3"/>
    </row>
    <row r="34" spans="2:15">
      <c r="B34" s="169"/>
      <c r="C34" s="2">
        <v>0.90833333333333333</v>
      </c>
      <c r="D34" s="3" t="s">
        <v>553</v>
      </c>
      <c r="E34" s="3">
        <v>6.2662124497809604</v>
      </c>
      <c r="F34" s="3">
        <v>0</v>
      </c>
      <c r="G34" s="3">
        <v>137</v>
      </c>
      <c r="H34" s="3">
        <v>80</v>
      </c>
      <c r="I34" s="3">
        <v>75</v>
      </c>
      <c r="J34" s="3"/>
      <c r="K34" s="1"/>
      <c r="L34" s="3"/>
      <c r="M34" s="3"/>
      <c r="N34" s="3"/>
      <c r="O34" s="3"/>
    </row>
    <row r="35" spans="2:15">
      <c r="B35" s="103">
        <v>43818</v>
      </c>
      <c r="C35" s="2">
        <v>0.90902777777777777</v>
      </c>
      <c r="D35" s="3" t="s">
        <v>554</v>
      </c>
      <c r="E35" s="3">
        <v>4.5029025214154696</v>
      </c>
      <c r="F35" s="3">
        <v>0</v>
      </c>
      <c r="G35" s="3">
        <v>135</v>
      </c>
      <c r="H35" s="3">
        <v>79</v>
      </c>
      <c r="I35" s="3">
        <v>82</v>
      </c>
      <c r="J35" s="3"/>
      <c r="K35" s="1"/>
      <c r="L35" s="3"/>
      <c r="M35" s="3"/>
      <c r="N35" s="3"/>
      <c r="O35" s="3"/>
    </row>
  </sheetData>
  <mergeCells count="30">
    <mergeCell ref="A1:C2"/>
    <mergeCell ref="B14:B22"/>
    <mergeCell ref="B23:B24"/>
    <mergeCell ref="B25:B34"/>
    <mergeCell ref="M15:N15"/>
    <mergeCell ref="I12:I13"/>
    <mergeCell ref="B3:B4"/>
    <mergeCell ref="C3:C4"/>
    <mergeCell ref="G3:I3"/>
    <mergeCell ref="K3:L3"/>
    <mergeCell ref="B12:B13"/>
    <mergeCell ref="C12:C13"/>
    <mergeCell ref="D12:D13"/>
    <mergeCell ref="F12:F13"/>
    <mergeCell ref="G12:H12"/>
    <mergeCell ref="J12:J13"/>
    <mergeCell ref="R21:R29"/>
    <mergeCell ref="V11:X11"/>
    <mergeCell ref="Y11:AA11"/>
    <mergeCell ref="K12:L12"/>
    <mergeCell ref="M12:N12"/>
    <mergeCell ref="O12:O13"/>
    <mergeCell ref="K6:L6"/>
    <mergeCell ref="K7:L7"/>
    <mergeCell ref="E12:E13"/>
    <mergeCell ref="Q3:R3"/>
    <mergeCell ref="G4:I4"/>
    <mergeCell ref="K4:O5"/>
    <mergeCell ref="Q4:R4"/>
    <mergeCell ref="G5:H5"/>
  </mergeCells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B1:AA42"/>
  <sheetViews>
    <sheetView zoomScale="90" zoomScaleNormal="90" workbookViewId="0">
      <selection activeCell="AB41" sqref="AB41"/>
    </sheetView>
  </sheetViews>
  <sheetFormatPr defaultRowHeight="14.4"/>
  <cols>
    <col min="1" max="1" width="4" customWidth="1"/>
    <col min="2" max="2" width="11.44140625" bestFit="1" customWidth="1"/>
    <col min="3" max="3" width="16.21875" customWidth="1"/>
    <col min="4" max="5" width="9.77734375" customWidth="1"/>
    <col min="6" max="6" width="8.109375" customWidth="1"/>
    <col min="7" max="7" width="11.33203125" customWidth="1"/>
    <col min="8" max="8" width="8.21875" bestFit="1" customWidth="1"/>
    <col min="9" max="9" width="7.77734375" customWidth="1"/>
    <col min="10" max="10" width="8.5546875" customWidth="1"/>
    <col min="11" max="11" width="7.44140625" customWidth="1"/>
    <col min="12" max="12" width="6.44140625" customWidth="1"/>
    <col min="13" max="14" width="7.33203125" customWidth="1"/>
    <col min="15" max="15" width="14.21875" customWidth="1"/>
    <col min="16" max="16" width="6.5546875" customWidth="1"/>
    <col min="17" max="17" width="6.44140625" customWidth="1"/>
    <col min="19" max="19" width="10.44140625" customWidth="1"/>
    <col min="23" max="23" width="7.44140625" customWidth="1"/>
    <col min="24" max="24" width="7.88671875" customWidth="1"/>
    <col min="25" max="25" width="7.109375" customWidth="1"/>
    <col min="26" max="26" width="7.6640625" customWidth="1"/>
    <col min="27" max="27" width="7.5546875" customWidth="1"/>
    <col min="28" max="28" width="7.109375" customWidth="1"/>
  </cols>
  <sheetData>
    <row r="1" spans="2:27">
      <c r="B1" s="215" t="s">
        <v>560</v>
      </c>
      <c r="C1" s="215"/>
    </row>
    <row r="2" spans="2:27">
      <c r="B2" s="170" t="s">
        <v>0</v>
      </c>
      <c r="C2" s="172" t="s">
        <v>558</v>
      </c>
      <c r="G2" s="175" t="s">
        <v>24</v>
      </c>
      <c r="H2" s="175"/>
      <c r="I2" s="175"/>
      <c r="K2" s="161" t="s">
        <v>32</v>
      </c>
      <c r="L2" s="162"/>
      <c r="Q2" s="159" t="s">
        <v>64</v>
      </c>
      <c r="R2" s="160"/>
      <c r="S2" s="17" t="s">
        <v>643</v>
      </c>
    </row>
    <row r="3" spans="2:27">
      <c r="B3" s="171"/>
      <c r="C3" s="173"/>
      <c r="G3" s="176" t="s">
        <v>560</v>
      </c>
      <c r="H3" s="176"/>
      <c r="I3" s="176"/>
      <c r="K3" s="194" t="s">
        <v>642</v>
      </c>
      <c r="L3" s="194"/>
      <c r="M3" s="194"/>
      <c r="N3" s="194"/>
      <c r="O3" s="194"/>
      <c r="Q3" s="159" t="s">
        <v>559</v>
      </c>
      <c r="R3" s="160"/>
      <c r="S3" s="17" t="s">
        <v>644</v>
      </c>
    </row>
    <row r="4" spans="2:27" ht="21">
      <c r="B4" s="88" t="s">
        <v>23</v>
      </c>
      <c r="C4" s="89">
        <v>1021</v>
      </c>
      <c r="G4" s="174" t="s">
        <v>19</v>
      </c>
      <c r="H4" s="174"/>
      <c r="K4" s="194"/>
      <c r="L4" s="194"/>
      <c r="M4" s="194"/>
      <c r="N4" s="194"/>
      <c r="O4" s="194"/>
    </row>
    <row r="5" spans="2:27">
      <c r="B5" s="6" t="s">
        <v>1</v>
      </c>
      <c r="C5" s="7">
        <v>57</v>
      </c>
      <c r="G5" s="9" t="s">
        <v>25</v>
      </c>
      <c r="H5" s="25">
        <v>0.3576388888888889</v>
      </c>
      <c r="I5" s="43" t="s">
        <v>562</v>
      </c>
      <c r="K5" s="157" t="s">
        <v>25</v>
      </c>
      <c r="L5" s="158"/>
      <c r="M5" s="25">
        <v>0.38541666666666669</v>
      </c>
      <c r="N5" s="40" t="s">
        <v>591</v>
      </c>
      <c r="O5">
        <f>45+50*60+28-59</f>
        <v>3014</v>
      </c>
    </row>
    <row r="6" spans="2:27">
      <c r="B6" s="6" t="s">
        <v>2</v>
      </c>
      <c r="C6" s="8">
        <v>165</v>
      </c>
      <c r="G6" s="9" t="s">
        <v>26</v>
      </c>
      <c r="H6" s="25">
        <v>0.54513888888888895</v>
      </c>
      <c r="K6" s="157" t="s">
        <v>26</v>
      </c>
      <c r="L6" s="158"/>
      <c r="M6" s="25">
        <v>0.51944444444444449</v>
      </c>
      <c r="N6" s="40" t="s">
        <v>595</v>
      </c>
    </row>
    <row r="7" spans="2:27">
      <c r="B7" s="6" t="s">
        <v>3</v>
      </c>
      <c r="C7" s="8" t="s">
        <v>18</v>
      </c>
    </row>
    <row r="8" spans="2:27">
      <c r="B8" s="6" t="s">
        <v>8</v>
      </c>
      <c r="C8" s="8">
        <v>63</v>
      </c>
    </row>
    <row r="10" spans="2:27" ht="15" thickBot="1">
      <c r="V10" s="154" t="s">
        <v>63</v>
      </c>
      <c r="W10" s="155"/>
      <c r="X10" s="156"/>
      <c r="Y10" s="154" t="s">
        <v>62</v>
      </c>
      <c r="Z10" s="155"/>
      <c r="AA10" s="156"/>
    </row>
    <row r="11" spans="2:27" ht="15" customHeight="1">
      <c r="B11" s="165" t="s">
        <v>4</v>
      </c>
      <c r="C11" s="165" t="s">
        <v>5</v>
      </c>
      <c r="D11" s="165" t="s">
        <v>6</v>
      </c>
      <c r="E11" s="165" t="s">
        <v>671</v>
      </c>
      <c r="F11" s="165" t="s">
        <v>28</v>
      </c>
      <c r="G11" s="177" t="s">
        <v>7</v>
      </c>
      <c r="H11" s="178"/>
      <c r="I11" s="165" t="s">
        <v>9</v>
      </c>
      <c r="J11" s="165" t="s">
        <v>581</v>
      </c>
      <c r="K11" s="177" t="s">
        <v>27</v>
      </c>
      <c r="L11" s="178"/>
      <c r="M11" s="177" t="s">
        <v>31</v>
      </c>
      <c r="N11" s="178"/>
      <c r="O11" s="165" t="s">
        <v>30</v>
      </c>
      <c r="R11" s="10" t="s">
        <v>10</v>
      </c>
      <c r="S11" s="10" t="s">
        <v>11</v>
      </c>
      <c r="T11" s="10" t="s">
        <v>12</v>
      </c>
      <c r="U11" s="10" t="s">
        <v>13</v>
      </c>
      <c r="V11" s="23" t="s">
        <v>14</v>
      </c>
      <c r="W11" s="22" t="s">
        <v>15</v>
      </c>
      <c r="X11" s="22" t="s">
        <v>35</v>
      </c>
      <c r="Y11" s="24" t="s">
        <v>14</v>
      </c>
      <c r="Z11" s="24" t="s">
        <v>36</v>
      </c>
      <c r="AA11" s="24" t="s">
        <v>37</v>
      </c>
    </row>
    <row r="12" spans="2:27">
      <c r="B12" s="166"/>
      <c r="C12" s="166"/>
      <c r="D12" s="166"/>
      <c r="E12" s="166"/>
      <c r="F12" s="166"/>
      <c r="G12" s="87" t="s">
        <v>16</v>
      </c>
      <c r="H12" s="19" t="s">
        <v>17</v>
      </c>
      <c r="I12" s="166"/>
      <c r="J12" s="166"/>
      <c r="K12" s="20" t="s">
        <v>63</v>
      </c>
      <c r="L12" s="20" t="s">
        <v>590</v>
      </c>
      <c r="M12" s="20" t="s">
        <v>63</v>
      </c>
      <c r="N12" s="20" t="s">
        <v>590</v>
      </c>
      <c r="O12" s="166"/>
      <c r="R12" s="197" t="s">
        <v>591</v>
      </c>
      <c r="S12" s="2">
        <v>0.38541666666666669</v>
      </c>
      <c r="T12" s="2">
        <v>0.43402777777777773</v>
      </c>
      <c r="U12" s="11">
        <v>70</v>
      </c>
      <c r="V12" s="11">
        <v>7</v>
      </c>
      <c r="W12" s="1">
        <f t="shared" ref="W12:W19" si="0">V12*0.2</f>
        <v>1.4000000000000001</v>
      </c>
      <c r="X12" s="1">
        <f t="shared" ref="X12:X19" si="1">W12*U12/60</f>
        <v>1.6333333333333335</v>
      </c>
      <c r="Y12" s="11">
        <v>7</v>
      </c>
      <c r="Z12" s="11">
        <v>7</v>
      </c>
      <c r="AA12" s="1">
        <f t="shared" ref="AA12:AA19" si="2">Z12*U12/60</f>
        <v>8.1666666666666661</v>
      </c>
    </row>
    <row r="13" spans="2:27">
      <c r="B13" s="167">
        <v>43847</v>
      </c>
      <c r="C13" s="33">
        <v>0.38541666666666669</v>
      </c>
      <c r="D13" s="34" t="s">
        <v>563</v>
      </c>
      <c r="E13" s="34">
        <v>0.55829600539003499</v>
      </c>
      <c r="F13" s="34"/>
      <c r="G13" s="34">
        <v>105</v>
      </c>
      <c r="H13" s="34">
        <v>59</v>
      </c>
      <c r="I13" s="34">
        <v>87</v>
      </c>
      <c r="J13" s="34" t="s">
        <v>582</v>
      </c>
      <c r="K13" s="35" t="s">
        <v>335</v>
      </c>
      <c r="L13" s="35" t="s">
        <v>335</v>
      </c>
      <c r="M13" s="3"/>
      <c r="N13" s="3"/>
      <c r="O13" s="3"/>
      <c r="R13" s="197"/>
      <c r="S13" s="2">
        <v>0.43402777777777773</v>
      </c>
      <c r="T13" s="2">
        <v>0.5</v>
      </c>
      <c r="U13" s="11">
        <v>95</v>
      </c>
      <c r="V13" s="11">
        <v>9</v>
      </c>
      <c r="W13" s="1">
        <f t="shared" si="0"/>
        <v>1.8</v>
      </c>
      <c r="X13" s="1">
        <f t="shared" si="1"/>
        <v>2.85</v>
      </c>
      <c r="Y13" s="11">
        <v>9</v>
      </c>
      <c r="Z13" s="11">
        <v>9</v>
      </c>
      <c r="AA13" s="1">
        <f t="shared" si="2"/>
        <v>14.25</v>
      </c>
    </row>
    <row r="14" spans="2:27">
      <c r="B14" s="168"/>
      <c r="C14" s="2">
        <v>0.3888888888888889</v>
      </c>
      <c r="D14" s="3" t="s">
        <v>564</v>
      </c>
      <c r="E14" s="3">
        <v>2.5350243628605802</v>
      </c>
      <c r="F14" s="3"/>
      <c r="G14" s="3">
        <v>132</v>
      </c>
      <c r="H14" s="3">
        <v>68</v>
      </c>
      <c r="I14" s="3">
        <v>87</v>
      </c>
      <c r="J14" s="3" t="s">
        <v>583</v>
      </c>
      <c r="K14" s="1">
        <v>7</v>
      </c>
      <c r="L14" s="1">
        <v>7</v>
      </c>
      <c r="M14" s="3"/>
      <c r="N14" s="3"/>
      <c r="O14" s="3"/>
      <c r="R14" s="197"/>
      <c r="S14" s="2">
        <v>0.5</v>
      </c>
      <c r="T14" s="2">
        <v>0.52083333333333337</v>
      </c>
      <c r="U14" s="11">
        <v>30</v>
      </c>
      <c r="V14" s="11">
        <v>7</v>
      </c>
      <c r="W14" s="1">
        <f t="shared" si="0"/>
        <v>1.4000000000000001</v>
      </c>
      <c r="X14" s="1">
        <f t="shared" si="1"/>
        <v>0.70000000000000007</v>
      </c>
      <c r="Y14" s="11">
        <v>7</v>
      </c>
      <c r="Z14" s="11">
        <v>7</v>
      </c>
      <c r="AA14" s="1">
        <f t="shared" si="2"/>
        <v>3.5</v>
      </c>
    </row>
    <row r="15" spans="2:27">
      <c r="B15" s="168"/>
      <c r="C15" s="2">
        <v>0.40625</v>
      </c>
      <c r="D15" s="3" t="s">
        <v>565</v>
      </c>
      <c r="E15" s="3">
        <v>5.7754501686298401</v>
      </c>
      <c r="F15" s="3"/>
      <c r="G15" s="3">
        <v>113</v>
      </c>
      <c r="H15" s="3">
        <v>60</v>
      </c>
      <c r="I15" s="3">
        <v>79</v>
      </c>
      <c r="J15" s="3" t="s">
        <v>584</v>
      </c>
      <c r="K15" s="1">
        <v>7</v>
      </c>
      <c r="L15" s="1">
        <v>7</v>
      </c>
      <c r="M15" s="3"/>
      <c r="N15" s="3"/>
      <c r="O15" s="3"/>
      <c r="R15" s="197"/>
      <c r="S15" s="2">
        <v>0.52083333333333337</v>
      </c>
      <c r="T15" s="2">
        <v>0.54861111111111105</v>
      </c>
      <c r="U15" s="11">
        <v>40</v>
      </c>
      <c r="V15" s="11">
        <v>5</v>
      </c>
      <c r="W15" s="1">
        <f t="shared" si="0"/>
        <v>1</v>
      </c>
      <c r="X15" s="1">
        <f t="shared" si="1"/>
        <v>0.66666666666666663</v>
      </c>
      <c r="Y15" s="11">
        <v>5</v>
      </c>
      <c r="Z15" s="11">
        <v>5</v>
      </c>
      <c r="AA15" s="1">
        <f t="shared" si="2"/>
        <v>3.3333333333333335</v>
      </c>
    </row>
    <row r="16" spans="2:27">
      <c r="B16" s="168"/>
      <c r="C16" s="2">
        <v>0.42708333333333331</v>
      </c>
      <c r="D16" s="3" t="s">
        <v>566</v>
      </c>
      <c r="E16" s="3">
        <v>2.5114916000071199</v>
      </c>
      <c r="F16" s="3"/>
      <c r="G16" s="3">
        <v>120</v>
      </c>
      <c r="H16" s="3">
        <v>62</v>
      </c>
      <c r="I16" s="3">
        <v>79</v>
      </c>
      <c r="J16" s="3" t="s">
        <v>585</v>
      </c>
      <c r="K16" s="1">
        <v>7</v>
      </c>
      <c r="L16" s="1">
        <v>7</v>
      </c>
      <c r="M16" s="3"/>
      <c r="N16" s="3"/>
      <c r="O16" s="3"/>
      <c r="R16" s="110" t="s">
        <v>592</v>
      </c>
      <c r="S16" s="2">
        <v>0.56597222222222221</v>
      </c>
      <c r="T16" s="2">
        <v>0.60416666666666663</v>
      </c>
      <c r="U16" s="11">
        <f>1440+55</f>
        <v>1495</v>
      </c>
      <c r="V16" s="11">
        <v>6</v>
      </c>
      <c r="W16" s="1">
        <f t="shared" si="0"/>
        <v>1.2000000000000002</v>
      </c>
      <c r="X16" s="1">
        <f t="shared" si="1"/>
        <v>29.900000000000002</v>
      </c>
      <c r="Y16" s="11">
        <v>6</v>
      </c>
      <c r="Z16" s="11">
        <v>6</v>
      </c>
      <c r="AA16" s="1">
        <f t="shared" si="2"/>
        <v>149.5</v>
      </c>
    </row>
    <row r="17" spans="2:27">
      <c r="B17" s="168"/>
      <c r="C17" s="2">
        <v>0.43402777777777773</v>
      </c>
      <c r="D17" s="3"/>
      <c r="F17" s="3"/>
      <c r="G17" s="3"/>
      <c r="H17" s="3"/>
      <c r="I17" s="3"/>
      <c r="J17" s="3"/>
      <c r="K17" s="16">
        <v>9</v>
      </c>
      <c r="L17" s="16">
        <v>9</v>
      </c>
      <c r="M17" s="3"/>
      <c r="N17" s="3"/>
      <c r="O17" s="3"/>
      <c r="R17" s="110" t="s">
        <v>593</v>
      </c>
      <c r="S17" s="2">
        <v>0.61458333333333337</v>
      </c>
      <c r="T17" s="2">
        <v>0.65555555555555556</v>
      </c>
      <c r="U17" s="11">
        <v>59</v>
      </c>
      <c r="V17" s="11">
        <v>6</v>
      </c>
      <c r="W17" s="1">
        <f t="shared" si="0"/>
        <v>1.2000000000000002</v>
      </c>
      <c r="X17" s="1">
        <f t="shared" si="1"/>
        <v>1.1800000000000002</v>
      </c>
      <c r="Y17" s="11">
        <v>6</v>
      </c>
      <c r="Z17" s="11">
        <v>6</v>
      </c>
      <c r="AA17" s="1">
        <f t="shared" si="2"/>
        <v>5.9</v>
      </c>
    </row>
    <row r="18" spans="2:27">
      <c r="B18" s="168"/>
      <c r="C18" s="2">
        <v>0.46875</v>
      </c>
      <c r="D18" s="3" t="s">
        <v>567</v>
      </c>
      <c r="E18" s="3">
        <v>2.8115982331079601</v>
      </c>
      <c r="F18" s="3"/>
      <c r="G18" s="3">
        <v>100</v>
      </c>
      <c r="H18" s="3">
        <v>57</v>
      </c>
      <c r="I18" s="3">
        <v>93</v>
      </c>
      <c r="J18" s="3" t="s">
        <v>586</v>
      </c>
      <c r="K18" s="1">
        <v>9</v>
      </c>
      <c r="L18" s="1">
        <v>9</v>
      </c>
      <c r="M18" s="3"/>
      <c r="N18" s="3"/>
      <c r="O18" s="3"/>
      <c r="R18" s="110"/>
      <c r="S18" s="2">
        <v>0.66875000000000007</v>
      </c>
      <c r="T18" s="2">
        <v>0.93263888888888891</v>
      </c>
      <c r="U18" s="11">
        <f>57+5*60+23</f>
        <v>380</v>
      </c>
      <c r="V18" s="11">
        <v>6</v>
      </c>
      <c r="W18" s="1">
        <f t="shared" si="0"/>
        <v>1.2000000000000002</v>
      </c>
      <c r="X18" s="1">
        <f t="shared" si="1"/>
        <v>7.6000000000000005</v>
      </c>
      <c r="Y18" s="11">
        <v>6</v>
      </c>
      <c r="Z18" s="11">
        <v>6</v>
      </c>
      <c r="AA18" s="1">
        <f t="shared" si="2"/>
        <v>38</v>
      </c>
    </row>
    <row r="19" spans="2:27">
      <c r="B19" s="168"/>
      <c r="C19" s="2">
        <v>0.5</v>
      </c>
      <c r="D19" s="3"/>
      <c r="F19" s="3"/>
      <c r="G19" s="3"/>
      <c r="H19" s="3"/>
      <c r="I19" s="3"/>
      <c r="J19" s="3"/>
      <c r="K19" s="16">
        <v>7</v>
      </c>
      <c r="L19" s="16">
        <v>7</v>
      </c>
      <c r="M19" s="3"/>
      <c r="N19" s="3"/>
      <c r="O19" s="3"/>
      <c r="R19" s="110" t="s">
        <v>594</v>
      </c>
      <c r="S19" s="2">
        <v>0.93263888888888891</v>
      </c>
      <c r="T19" s="2">
        <v>0.51944444444444449</v>
      </c>
      <c r="U19" s="11">
        <f>37+13*60+28</f>
        <v>845</v>
      </c>
      <c r="V19" s="11">
        <v>3</v>
      </c>
      <c r="W19" s="1">
        <f t="shared" si="0"/>
        <v>0.60000000000000009</v>
      </c>
      <c r="X19" s="1">
        <f t="shared" si="1"/>
        <v>8.4500000000000011</v>
      </c>
      <c r="Y19" s="11">
        <v>3</v>
      </c>
      <c r="Z19" s="11">
        <v>3</v>
      </c>
      <c r="AA19" s="1">
        <f t="shared" si="2"/>
        <v>42.25</v>
      </c>
    </row>
    <row r="20" spans="2:27">
      <c r="B20" s="168"/>
      <c r="C20" s="2">
        <v>0.52083333333333337</v>
      </c>
      <c r="D20" s="3"/>
      <c r="F20" s="3"/>
      <c r="G20" s="3"/>
      <c r="H20" s="3"/>
      <c r="I20" s="3"/>
      <c r="J20" s="3"/>
      <c r="K20" s="16">
        <v>5</v>
      </c>
      <c r="L20" s="16">
        <v>5</v>
      </c>
      <c r="M20" s="3"/>
      <c r="N20" s="3"/>
      <c r="O20" s="3"/>
      <c r="R20" s="10" t="s">
        <v>21</v>
      </c>
      <c r="S20" s="11"/>
      <c r="T20" s="11"/>
      <c r="U20" s="10">
        <f>SUM(U12:U19)</f>
        <v>3014</v>
      </c>
      <c r="X20" s="10">
        <f>SUM(X12:X19)</f>
        <v>52.980000000000004</v>
      </c>
      <c r="AA20" s="10">
        <f>SUM(AA12:AA19)</f>
        <v>264.89999999999998</v>
      </c>
    </row>
    <row r="21" spans="2:27">
      <c r="B21" s="168"/>
      <c r="C21" s="30">
        <v>0.54861111111111105</v>
      </c>
      <c r="D21" s="31"/>
      <c r="E21" s="31"/>
      <c r="F21" s="31"/>
      <c r="G21" s="31"/>
      <c r="H21" s="31"/>
      <c r="I21" s="31"/>
      <c r="J21" s="31"/>
      <c r="K21" s="32" t="s">
        <v>20</v>
      </c>
      <c r="L21" s="32" t="s">
        <v>20</v>
      </c>
      <c r="M21" s="3"/>
      <c r="N21" s="3"/>
      <c r="O21" s="3"/>
      <c r="P21">
        <v>25</v>
      </c>
      <c r="U21">
        <f>U20/60</f>
        <v>50.233333333333334</v>
      </c>
    </row>
    <row r="22" spans="2:27">
      <c r="B22" s="168"/>
      <c r="C22" s="33">
        <v>0.56597222222222221</v>
      </c>
      <c r="D22" s="34"/>
      <c r="E22" s="34"/>
      <c r="F22" s="34"/>
      <c r="G22" s="34"/>
      <c r="H22" s="34"/>
      <c r="I22" s="34"/>
      <c r="J22" s="34"/>
      <c r="K22" s="35" t="s">
        <v>261</v>
      </c>
      <c r="L22" s="35" t="s">
        <v>261</v>
      </c>
      <c r="M22" s="3"/>
      <c r="N22" s="3"/>
      <c r="O22" s="3"/>
    </row>
    <row r="23" spans="2:27">
      <c r="B23" s="168"/>
      <c r="C23" s="2">
        <v>0.63888888888888895</v>
      </c>
      <c r="D23" s="3"/>
      <c r="E23" s="3"/>
      <c r="F23" s="3"/>
      <c r="G23" s="3">
        <v>118</v>
      </c>
      <c r="H23" s="3">
        <v>72</v>
      </c>
      <c r="I23" s="3">
        <v>119</v>
      </c>
      <c r="J23" s="3" t="s">
        <v>587</v>
      </c>
      <c r="K23" s="1">
        <v>6</v>
      </c>
      <c r="L23" s="1">
        <v>6</v>
      </c>
      <c r="M23" s="3"/>
      <c r="N23" s="3"/>
      <c r="O23" s="3"/>
    </row>
    <row r="24" spans="2:27">
      <c r="B24" s="169"/>
      <c r="C24" s="2">
        <v>0.88888888888888884</v>
      </c>
      <c r="D24" s="3" t="s">
        <v>580</v>
      </c>
      <c r="E24" s="3">
        <v>5.5106766962669198</v>
      </c>
      <c r="F24" s="3"/>
      <c r="G24" s="3">
        <v>132</v>
      </c>
      <c r="H24" s="3">
        <v>78</v>
      </c>
      <c r="I24" s="3">
        <v>100</v>
      </c>
      <c r="J24" s="3" t="s">
        <v>588</v>
      </c>
      <c r="K24" s="1">
        <v>6</v>
      </c>
      <c r="L24" s="1">
        <v>6</v>
      </c>
      <c r="M24" s="3"/>
      <c r="N24" s="3"/>
      <c r="O24" s="3"/>
    </row>
    <row r="25" spans="2:27">
      <c r="B25" s="167">
        <v>43848</v>
      </c>
      <c r="C25" s="2">
        <v>0.3888888888888889</v>
      </c>
      <c r="D25" s="3" t="s">
        <v>568</v>
      </c>
      <c r="E25" s="3">
        <v>4.5764375105141397</v>
      </c>
      <c r="F25" s="3"/>
      <c r="G25" s="3">
        <v>155</v>
      </c>
      <c r="H25" s="3">
        <v>73</v>
      </c>
      <c r="I25" s="3">
        <v>86</v>
      </c>
      <c r="J25" s="3" t="s">
        <v>589</v>
      </c>
      <c r="K25" s="1">
        <v>6</v>
      </c>
      <c r="L25" s="1">
        <v>6</v>
      </c>
      <c r="M25" s="3"/>
      <c r="N25" s="3"/>
      <c r="O25" s="3"/>
    </row>
    <row r="26" spans="2:27">
      <c r="B26" s="168"/>
      <c r="C26" s="30">
        <v>0.60416666666666663</v>
      </c>
      <c r="D26" s="31"/>
      <c r="E26" s="31"/>
      <c r="F26" s="31"/>
      <c r="G26" s="31"/>
      <c r="H26" s="31"/>
      <c r="I26" s="31"/>
      <c r="J26" s="31"/>
      <c r="K26" s="32" t="s">
        <v>20</v>
      </c>
      <c r="L26" s="32" t="s">
        <v>20</v>
      </c>
      <c r="M26" s="3"/>
      <c r="N26" s="3"/>
      <c r="O26" s="3"/>
      <c r="P26">
        <v>15</v>
      </c>
    </row>
    <row r="27" spans="2:27">
      <c r="B27" s="168"/>
      <c r="C27" s="33">
        <v>0.61458333333333337</v>
      </c>
      <c r="D27" s="34"/>
      <c r="E27" s="34"/>
      <c r="F27" s="34"/>
      <c r="G27" s="34"/>
      <c r="H27" s="34"/>
      <c r="I27" s="34"/>
      <c r="J27" s="34"/>
      <c r="K27" s="35" t="s">
        <v>261</v>
      </c>
      <c r="L27" s="35" t="s">
        <v>261</v>
      </c>
      <c r="M27" s="3"/>
      <c r="N27" s="3"/>
      <c r="O27" s="3"/>
    </row>
    <row r="28" spans="2:27">
      <c r="B28" s="168"/>
      <c r="C28" s="30">
        <v>0.65555555555555556</v>
      </c>
      <c r="D28" s="31"/>
      <c r="E28" s="31"/>
      <c r="F28" s="31"/>
      <c r="G28" s="31"/>
      <c r="H28" s="31"/>
      <c r="I28" s="31"/>
      <c r="J28" s="31"/>
      <c r="K28" s="32" t="s">
        <v>20</v>
      </c>
      <c r="L28" s="32" t="s">
        <v>20</v>
      </c>
      <c r="M28" s="3"/>
      <c r="N28" s="3"/>
      <c r="O28" s="3"/>
      <c r="P28">
        <v>19</v>
      </c>
    </row>
    <row r="29" spans="2:27">
      <c r="B29" s="168"/>
      <c r="C29" s="33">
        <v>0.66875000000000007</v>
      </c>
      <c r="D29" s="34"/>
      <c r="E29" s="34"/>
      <c r="F29" s="34"/>
      <c r="G29" s="34"/>
      <c r="H29" s="34"/>
      <c r="I29" s="34"/>
      <c r="J29" s="34"/>
      <c r="K29" s="35" t="s">
        <v>261</v>
      </c>
      <c r="L29" s="35" t="s">
        <v>261</v>
      </c>
      <c r="M29" s="3"/>
      <c r="N29" s="3"/>
      <c r="O29" s="3"/>
    </row>
    <row r="30" spans="2:27">
      <c r="B30" s="169"/>
      <c r="C30" s="2">
        <v>0.93263888888888891</v>
      </c>
      <c r="D30" s="3"/>
      <c r="E30" s="3"/>
      <c r="F30" s="3">
        <v>0</v>
      </c>
      <c r="G30" s="3">
        <v>96</v>
      </c>
      <c r="H30" s="3">
        <v>60</v>
      </c>
      <c r="I30" s="3">
        <v>73</v>
      </c>
      <c r="J30" s="3"/>
      <c r="K30" s="16">
        <v>3</v>
      </c>
      <c r="L30" s="16">
        <v>3</v>
      </c>
      <c r="M30" s="3"/>
      <c r="N30" s="3"/>
      <c r="O30" s="3"/>
    </row>
    <row r="31" spans="2:27">
      <c r="B31" s="167">
        <v>43849</v>
      </c>
      <c r="C31" s="2">
        <v>0.3888888888888889</v>
      </c>
      <c r="D31" s="3"/>
      <c r="E31" s="3"/>
      <c r="F31" s="3"/>
      <c r="G31" s="3"/>
      <c r="H31" s="3"/>
      <c r="I31" s="3"/>
      <c r="J31" s="3"/>
      <c r="K31" s="1">
        <v>3</v>
      </c>
      <c r="L31" s="1">
        <v>3</v>
      </c>
      <c r="M31" s="3"/>
      <c r="N31" s="3"/>
      <c r="O31" s="3"/>
    </row>
    <row r="32" spans="2:27">
      <c r="B32" s="168"/>
      <c r="C32" s="30">
        <v>0.51944444444444449</v>
      </c>
      <c r="D32" s="31" t="s">
        <v>569</v>
      </c>
      <c r="E32" s="31">
        <v>15.0107898615639</v>
      </c>
      <c r="F32" s="31"/>
      <c r="G32" s="31"/>
      <c r="H32" s="31"/>
      <c r="I32" s="31"/>
      <c r="J32" s="31"/>
      <c r="K32" s="32" t="s">
        <v>20</v>
      </c>
      <c r="L32" s="32" t="s">
        <v>20</v>
      </c>
      <c r="M32" s="3"/>
      <c r="N32" s="3"/>
      <c r="O32" s="3"/>
    </row>
    <row r="33" spans="2:15">
      <c r="B33" s="168"/>
      <c r="C33" s="2">
        <v>0.52152777777777781</v>
      </c>
      <c r="D33" s="3" t="s">
        <v>570</v>
      </c>
      <c r="E33" s="3">
        <v>16.443485263269199</v>
      </c>
      <c r="F33" s="3"/>
      <c r="G33" s="3"/>
      <c r="H33" s="3"/>
      <c r="I33" s="3"/>
      <c r="J33" s="3"/>
      <c r="K33" s="1"/>
      <c r="L33" s="3"/>
      <c r="M33" s="3"/>
      <c r="N33" s="3"/>
      <c r="O33" s="3"/>
    </row>
    <row r="34" spans="2:15">
      <c r="B34" s="168"/>
      <c r="C34" s="2">
        <v>0.5229166666666667</v>
      </c>
      <c r="D34" s="3" t="s">
        <v>571</v>
      </c>
      <c r="E34" s="3">
        <v>12.327288361240599</v>
      </c>
      <c r="F34" s="3"/>
      <c r="G34" s="3"/>
      <c r="H34" s="3"/>
      <c r="I34" s="3"/>
      <c r="J34" s="3"/>
      <c r="K34" s="1"/>
      <c r="L34" s="3"/>
      <c r="M34" s="3"/>
      <c r="N34" s="3"/>
      <c r="O34" s="3"/>
    </row>
    <row r="35" spans="2:15">
      <c r="B35" s="168"/>
      <c r="C35" s="2">
        <v>0.53333333333333333</v>
      </c>
      <c r="D35" s="3" t="s">
        <v>572</v>
      </c>
      <c r="E35" s="3">
        <v>9.2783013385637396</v>
      </c>
      <c r="F35" s="3"/>
      <c r="G35" s="3"/>
      <c r="H35" s="3"/>
      <c r="I35" s="3"/>
      <c r="J35" s="3"/>
      <c r="K35" s="1"/>
      <c r="L35" s="3"/>
      <c r="M35" s="3"/>
      <c r="N35" s="3"/>
      <c r="O35" s="3"/>
    </row>
    <row r="36" spans="2:15">
      <c r="B36" s="168"/>
      <c r="C36" s="2">
        <v>0.54722222222222217</v>
      </c>
      <c r="D36" s="3" t="s">
        <v>573</v>
      </c>
      <c r="E36" s="3">
        <v>13.0440851762121</v>
      </c>
      <c r="F36" s="3"/>
      <c r="G36" s="3"/>
      <c r="H36" s="3"/>
      <c r="I36" s="3"/>
      <c r="J36" s="3"/>
      <c r="K36" s="1"/>
      <c r="L36" s="3"/>
      <c r="M36" s="3"/>
      <c r="N36" s="3"/>
      <c r="O36" s="3"/>
    </row>
    <row r="37" spans="2:15">
      <c r="B37" s="168"/>
      <c r="C37" s="2">
        <v>0.56111111111111112</v>
      </c>
      <c r="D37" s="3" t="s">
        <v>574</v>
      </c>
      <c r="E37" s="3">
        <v>12.1770796083868</v>
      </c>
      <c r="F37" s="3"/>
      <c r="G37" s="3"/>
      <c r="H37" s="3"/>
      <c r="I37" s="3"/>
      <c r="J37" s="3"/>
      <c r="K37" s="1"/>
      <c r="L37" s="3"/>
      <c r="M37" s="3"/>
      <c r="N37" s="3"/>
      <c r="O37" s="3"/>
    </row>
    <row r="38" spans="2:15">
      <c r="B38" s="168"/>
      <c r="C38" s="2">
        <v>0.60277777777777775</v>
      </c>
      <c r="D38" s="3" t="s">
        <v>575</v>
      </c>
      <c r="E38" s="3">
        <v>13.337915396734701</v>
      </c>
      <c r="F38" s="3"/>
      <c r="G38" s="3"/>
      <c r="H38" s="3"/>
      <c r="I38" s="3"/>
      <c r="J38" s="3"/>
      <c r="K38" s="1"/>
      <c r="L38" s="3"/>
      <c r="M38" s="3"/>
      <c r="N38" s="3"/>
      <c r="O38" s="3"/>
    </row>
    <row r="39" spans="2:15">
      <c r="B39" s="168"/>
      <c r="C39" s="4" t="s">
        <v>561</v>
      </c>
      <c r="D39" s="3" t="s">
        <v>576</v>
      </c>
      <c r="E39" s="3">
        <v>20.048482656478299</v>
      </c>
      <c r="F39" s="3"/>
      <c r="G39" s="3"/>
      <c r="H39" s="3"/>
      <c r="I39" s="3"/>
      <c r="J39" s="3"/>
      <c r="K39" s="1"/>
      <c r="L39" s="3"/>
      <c r="M39" s="3"/>
      <c r="N39" s="3"/>
      <c r="O39" s="3"/>
    </row>
    <row r="40" spans="2:15">
      <c r="B40" s="169"/>
      <c r="C40" s="2">
        <v>0.98263888888888884</v>
      </c>
      <c r="D40" s="3" t="s">
        <v>577</v>
      </c>
      <c r="E40" s="3">
        <v>14.428853518141899</v>
      </c>
      <c r="F40" s="3"/>
      <c r="G40" s="3"/>
      <c r="H40" s="3"/>
      <c r="I40" s="3"/>
      <c r="J40" s="3"/>
      <c r="K40" s="1"/>
      <c r="L40" s="3"/>
      <c r="M40" s="3"/>
      <c r="N40" s="3"/>
      <c r="O40" s="3"/>
    </row>
    <row r="41" spans="2:15">
      <c r="B41" s="109">
        <v>43850</v>
      </c>
      <c r="C41" s="2">
        <v>0.94791666666666663</v>
      </c>
      <c r="D41" s="3" t="s">
        <v>578</v>
      </c>
      <c r="E41" s="3">
        <v>3.3276561788817398</v>
      </c>
      <c r="F41" s="3"/>
      <c r="G41" s="3">
        <v>114</v>
      </c>
      <c r="H41" s="3">
        <v>60</v>
      </c>
      <c r="I41" s="3">
        <v>84</v>
      </c>
      <c r="J41" s="3"/>
      <c r="K41" s="1"/>
      <c r="L41" s="3"/>
      <c r="M41" s="3"/>
      <c r="N41" s="3"/>
      <c r="O41" s="3"/>
    </row>
    <row r="42" spans="2:15">
      <c r="B42" s="74">
        <v>43852</v>
      </c>
      <c r="C42" s="2">
        <v>0.56805555555555554</v>
      </c>
      <c r="D42" s="3" t="s">
        <v>579</v>
      </c>
      <c r="E42" s="3">
        <v>0.97168018618840402</v>
      </c>
      <c r="F42" s="11"/>
      <c r="G42" s="11">
        <v>115</v>
      </c>
      <c r="H42" s="11">
        <v>78</v>
      </c>
      <c r="I42" s="11">
        <v>88</v>
      </c>
      <c r="J42" s="11"/>
      <c r="K42" s="11"/>
      <c r="L42" s="11"/>
      <c r="M42" s="11"/>
      <c r="N42" s="11"/>
      <c r="O42" s="11"/>
    </row>
  </sheetData>
  <mergeCells count="29">
    <mergeCell ref="B1:C1"/>
    <mergeCell ref="V10:X10"/>
    <mergeCell ref="Y10:AA10"/>
    <mergeCell ref="K11:L11"/>
    <mergeCell ref="M11:N11"/>
    <mergeCell ref="O11:O12"/>
    <mergeCell ref="D11:D12"/>
    <mergeCell ref="F11:F12"/>
    <mergeCell ref="G11:H11"/>
    <mergeCell ref="J11:J12"/>
    <mergeCell ref="K5:L5"/>
    <mergeCell ref="K6:L6"/>
    <mergeCell ref="E11:E12"/>
    <mergeCell ref="B13:B24"/>
    <mergeCell ref="B25:B30"/>
    <mergeCell ref="B31:B40"/>
    <mergeCell ref="R12:R15"/>
    <mergeCell ref="Q2:R2"/>
    <mergeCell ref="G3:I3"/>
    <mergeCell ref="K3:O4"/>
    <mergeCell ref="Q3:R3"/>
    <mergeCell ref="G4:H4"/>
    <mergeCell ref="I11:I12"/>
    <mergeCell ref="B2:B3"/>
    <mergeCell ref="C2:C3"/>
    <mergeCell ref="G2:I2"/>
    <mergeCell ref="K2:L2"/>
    <mergeCell ref="B11:B12"/>
    <mergeCell ref="C11:C1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2:AA24"/>
  <sheetViews>
    <sheetView zoomScale="90" zoomScaleNormal="90" workbookViewId="0">
      <selection activeCell="Y12" sqref="Y12"/>
    </sheetView>
  </sheetViews>
  <sheetFormatPr defaultRowHeight="14.4"/>
  <cols>
    <col min="1" max="1" width="4" customWidth="1"/>
    <col min="2" max="2" width="11.44140625" bestFit="1" customWidth="1"/>
    <col min="3" max="3" width="16.21875" customWidth="1"/>
    <col min="4" max="5" width="9.77734375" customWidth="1"/>
    <col min="6" max="6" width="8.109375" customWidth="1"/>
    <col min="7" max="7" width="11.33203125" customWidth="1"/>
    <col min="8" max="8" width="8.21875" bestFit="1" customWidth="1"/>
    <col min="9" max="9" width="7.77734375" customWidth="1"/>
    <col min="10" max="10" width="8.5546875" customWidth="1"/>
    <col min="11" max="11" width="7.44140625" customWidth="1"/>
    <col min="12" max="12" width="6.44140625" customWidth="1"/>
    <col min="13" max="14" width="7.33203125" customWidth="1"/>
    <col min="15" max="15" width="14.21875" customWidth="1"/>
    <col min="16" max="16" width="6.5546875" customWidth="1"/>
    <col min="17" max="17" width="6.44140625" customWidth="1"/>
    <col min="19" max="19" width="10.44140625" customWidth="1"/>
    <col min="23" max="23" width="7.44140625" customWidth="1"/>
    <col min="24" max="24" width="7.88671875" customWidth="1"/>
    <col min="25" max="25" width="7.109375" customWidth="1"/>
    <col min="26" max="26" width="7.6640625" customWidth="1"/>
    <col min="27" max="27" width="7.5546875" customWidth="1"/>
    <col min="28" max="28" width="7.109375" customWidth="1"/>
  </cols>
  <sheetData>
    <row r="2" spans="2:27">
      <c r="B2" s="170" t="s">
        <v>0</v>
      </c>
      <c r="C2" s="172" t="s">
        <v>596</v>
      </c>
      <c r="G2" s="175" t="s">
        <v>24</v>
      </c>
      <c r="H2" s="175"/>
      <c r="I2" s="175"/>
      <c r="K2" s="161" t="s">
        <v>32</v>
      </c>
      <c r="L2" s="162"/>
      <c r="Q2" s="159" t="s">
        <v>33</v>
      </c>
      <c r="R2" s="160"/>
      <c r="S2" s="17" t="s">
        <v>129</v>
      </c>
    </row>
    <row r="3" spans="2:27">
      <c r="B3" s="171"/>
      <c r="C3" s="173"/>
      <c r="G3" s="176" t="s">
        <v>38</v>
      </c>
      <c r="H3" s="176"/>
      <c r="I3" s="176"/>
      <c r="K3" s="194" t="s">
        <v>128</v>
      </c>
      <c r="L3" s="194"/>
      <c r="M3" s="194"/>
      <c r="N3" s="194"/>
      <c r="O3" s="194"/>
      <c r="Q3" s="159" t="s">
        <v>34</v>
      </c>
      <c r="R3" s="160"/>
      <c r="S3" s="17" t="s">
        <v>130</v>
      </c>
    </row>
    <row r="4" spans="2:27" ht="21">
      <c r="B4" s="88" t="s">
        <v>23</v>
      </c>
      <c r="C4" s="89">
        <v>1022</v>
      </c>
      <c r="G4" s="174" t="s">
        <v>19</v>
      </c>
      <c r="H4" s="174"/>
      <c r="K4" s="194"/>
      <c r="L4" s="194"/>
      <c r="M4" s="194"/>
      <c r="N4" s="194"/>
      <c r="O4" s="194"/>
    </row>
    <row r="5" spans="2:27">
      <c r="B5" s="6" t="s">
        <v>1</v>
      </c>
      <c r="C5" s="7">
        <v>45</v>
      </c>
      <c r="G5" s="9" t="s">
        <v>25</v>
      </c>
      <c r="H5" s="25">
        <v>0.47222222222222227</v>
      </c>
      <c r="I5" t="s">
        <v>606</v>
      </c>
      <c r="K5" s="157" t="s">
        <v>25</v>
      </c>
      <c r="L5" s="158"/>
      <c r="M5" s="25">
        <v>0.49652777777777773</v>
      </c>
      <c r="N5" t="s">
        <v>606</v>
      </c>
      <c r="O5">
        <f>12*60+5</f>
        <v>725</v>
      </c>
    </row>
    <row r="6" spans="2:27">
      <c r="B6" s="6" t="s">
        <v>2</v>
      </c>
      <c r="C6" s="8">
        <v>168</v>
      </c>
      <c r="G6" s="9" t="s">
        <v>26</v>
      </c>
      <c r="H6" s="25">
        <v>0.55902777777777779</v>
      </c>
      <c r="K6" s="157" t="s">
        <v>26</v>
      </c>
      <c r="L6" s="158"/>
      <c r="M6" s="25">
        <v>0</v>
      </c>
    </row>
    <row r="7" spans="2:27">
      <c r="B7" s="6" t="s">
        <v>3</v>
      </c>
      <c r="C7" s="8" t="s">
        <v>102</v>
      </c>
    </row>
    <row r="8" spans="2:27">
      <c r="B8" s="6" t="s">
        <v>8</v>
      </c>
      <c r="C8" s="8">
        <v>35</v>
      </c>
    </row>
    <row r="10" spans="2:27" ht="15" thickBot="1">
      <c r="V10" s="154" t="s">
        <v>63</v>
      </c>
      <c r="W10" s="155"/>
      <c r="X10" s="156"/>
      <c r="Y10" s="154" t="s">
        <v>62</v>
      </c>
      <c r="Z10" s="155"/>
      <c r="AA10" s="156"/>
    </row>
    <row r="11" spans="2:27" ht="15" customHeight="1">
      <c r="B11" s="165" t="s">
        <v>4</v>
      </c>
      <c r="C11" s="165" t="s">
        <v>5</v>
      </c>
      <c r="D11" s="165" t="s">
        <v>6</v>
      </c>
      <c r="E11" s="165" t="s">
        <v>671</v>
      </c>
      <c r="F11" s="165" t="s">
        <v>28</v>
      </c>
      <c r="G11" s="177" t="s">
        <v>7</v>
      </c>
      <c r="H11" s="178"/>
      <c r="I11" s="165" t="s">
        <v>9</v>
      </c>
      <c r="J11" s="165" t="s">
        <v>29</v>
      </c>
      <c r="K11" s="177" t="s">
        <v>27</v>
      </c>
      <c r="L11" s="178"/>
      <c r="M11" s="177" t="s">
        <v>31</v>
      </c>
      <c r="N11" s="178"/>
      <c r="O11" s="165" t="s">
        <v>30</v>
      </c>
      <c r="R11" s="10" t="s">
        <v>10</v>
      </c>
      <c r="S11" s="10" t="s">
        <v>11</v>
      </c>
      <c r="T11" s="10" t="s">
        <v>12</v>
      </c>
      <c r="U11" s="10" t="s">
        <v>13</v>
      </c>
      <c r="V11" s="23" t="s">
        <v>14</v>
      </c>
      <c r="W11" s="22" t="s">
        <v>15</v>
      </c>
      <c r="X11" s="22" t="s">
        <v>35</v>
      </c>
      <c r="Y11" s="24" t="s">
        <v>14</v>
      </c>
      <c r="Z11" s="24" t="s">
        <v>36</v>
      </c>
      <c r="AA11" s="24" t="s">
        <v>37</v>
      </c>
    </row>
    <row r="12" spans="2:27">
      <c r="B12" s="166"/>
      <c r="C12" s="166"/>
      <c r="D12" s="166"/>
      <c r="E12" s="166"/>
      <c r="F12" s="166"/>
      <c r="G12" s="87" t="s">
        <v>16</v>
      </c>
      <c r="H12" s="19" t="s">
        <v>17</v>
      </c>
      <c r="I12" s="166"/>
      <c r="J12" s="166"/>
      <c r="K12" s="20" t="s">
        <v>63</v>
      </c>
      <c r="L12" s="21" t="s">
        <v>87</v>
      </c>
      <c r="M12" s="20" t="s">
        <v>63</v>
      </c>
      <c r="N12" s="21" t="s">
        <v>87</v>
      </c>
      <c r="O12" s="166"/>
      <c r="R12" s="199" t="s">
        <v>610</v>
      </c>
      <c r="S12" s="2">
        <v>0.49652777777777773</v>
      </c>
      <c r="T12" s="2">
        <v>0.49791666666666662</v>
      </c>
      <c r="U12" s="11">
        <v>2</v>
      </c>
      <c r="V12" s="11">
        <v>150</v>
      </c>
      <c r="W12" s="1">
        <f>V12*0.25</f>
        <v>37.5</v>
      </c>
      <c r="X12" s="1">
        <f>W12*U12/60</f>
        <v>1.25</v>
      </c>
      <c r="Y12" s="11">
        <v>150</v>
      </c>
      <c r="Z12" s="1">
        <f>Y12*1.9</f>
        <v>285</v>
      </c>
      <c r="AA12" s="1">
        <f>Z12*U12/60</f>
        <v>9.5</v>
      </c>
    </row>
    <row r="13" spans="2:27">
      <c r="B13" s="167">
        <v>44217</v>
      </c>
      <c r="C13" s="2">
        <v>0.49444444444444446</v>
      </c>
      <c r="D13" s="3" t="s">
        <v>597</v>
      </c>
      <c r="E13" s="127">
        <v>2.0985996031804999</v>
      </c>
      <c r="F13" s="3" t="s">
        <v>370</v>
      </c>
      <c r="G13" s="3">
        <v>90</v>
      </c>
      <c r="H13" s="3">
        <v>64</v>
      </c>
      <c r="I13" s="3">
        <v>115</v>
      </c>
      <c r="J13" s="3"/>
      <c r="K13" s="1"/>
      <c r="L13" s="3"/>
      <c r="M13" s="3"/>
      <c r="N13" s="3"/>
      <c r="O13" s="3"/>
      <c r="R13" s="200"/>
      <c r="S13" s="2">
        <v>0.49791666666666662</v>
      </c>
      <c r="T13" s="2">
        <v>0.80208333333333337</v>
      </c>
      <c r="U13" s="11">
        <f>3+7*60+15</f>
        <v>438</v>
      </c>
      <c r="V13" s="11">
        <v>7</v>
      </c>
      <c r="W13" s="1">
        <f>V13*0.25</f>
        <v>1.75</v>
      </c>
      <c r="X13" s="1">
        <f>W13*U13/60</f>
        <v>12.775</v>
      </c>
      <c r="Y13" s="11">
        <v>7</v>
      </c>
      <c r="Z13" s="1">
        <f>Y13*1.9</f>
        <v>13.299999999999999</v>
      </c>
      <c r="AA13" s="1">
        <f>Z13*U13/60</f>
        <v>97.089999999999989</v>
      </c>
    </row>
    <row r="14" spans="2:27">
      <c r="B14" s="168"/>
      <c r="C14" s="33">
        <v>0.49652777777777773</v>
      </c>
      <c r="D14" s="3"/>
      <c r="E14" s="3"/>
      <c r="F14" s="3" t="s">
        <v>370</v>
      </c>
      <c r="G14" s="3">
        <v>88</v>
      </c>
      <c r="H14" s="3">
        <v>60</v>
      </c>
      <c r="I14" s="3">
        <v>96</v>
      </c>
      <c r="J14" s="3"/>
      <c r="K14" s="1"/>
      <c r="L14" s="3"/>
      <c r="M14" s="3">
        <v>5</v>
      </c>
      <c r="N14" s="3">
        <v>5</v>
      </c>
      <c r="O14" s="3"/>
      <c r="R14" s="201"/>
      <c r="S14" s="2">
        <v>0.80208333333333337</v>
      </c>
      <c r="T14" s="2">
        <v>0</v>
      </c>
      <c r="U14" s="11">
        <f>45+240</f>
        <v>285</v>
      </c>
      <c r="V14" s="11">
        <v>5</v>
      </c>
      <c r="W14" s="1">
        <f>V14*0.25</f>
        <v>1.25</v>
      </c>
      <c r="X14" s="1">
        <f>W14*U14/60</f>
        <v>5.9375</v>
      </c>
      <c r="Y14" s="11">
        <v>5</v>
      </c>
      <c r="Z14" s="1">
        <f>Y14*1.9</f>
        <v>9.5</v>
      </c>
      <c r="AA14" s="1">
        <f>Z14*U14/60</f>
        <v>45.125</v>
      </c>
    </row>
    <row r="15" spans="2:27">
      <c r="B15" s="168"/>
      <c r="C15" s="33">
        <v>0.49791666666666662</v>
      </c>
      <c r="D15" s="34"/>
      <c r="E15" s="34"/>
      <c r="F15" s="34" t="s">
        <v>370</v>
      </c>
      <c r="G15" s="34">
        <v>90</v>
      </c>
      <c r="H15" s="34">
        <v>64</v>
      </c>
      <c r="I15" s="34">
        <v>107</v>
      </c>
      <c r="J15" s="34"/>
      <c r="K15" s="35" t="s">
        <v>335</v>
      </c>
      <c r="L15" s="35" t="s">
        <v>335</v>
      </c>
      <c r="M15" s="3"/>
      <c r="N15" s="3"/>
      <c r="O15" s="3"/>
      <c r="R15" s="10" t="s">
        <v>21</v>
      </c>
      <c r="S15" s="11"/>
      <c r="T15" s="11"/>
      <c r="U15" s="10">
        <f>SUM(U12:U14)</f>
        <v>725</v>
      </c>
      <c r="X15" s="10">
        <f>SUM(X12:X14)</f>
        <v>19.962499999999999</v>
      </c>
      <c r="AA15" s="10">
        <f>SUM(AA12:AA14)</f>
        <v>151.71499999999997</v>
      </c>
    </row>
    <row r="16" spans="2:27">
      <c r="B16" s="168"/>
      <c r="C16" s="2">
        <v>0.5</v>
      </c>
      <c r="D16" s="3" t="s">
        <v>598</v>
      </c>
      <c r="E16" s="127">
        <v>3.4359030332715501</v>
      </c>
      <c r="F16" s="3" t="s">
        <v>370</v>
      </c>
      <c r="G16" s="3">
        <v>91</v>
      </c>
      <c r="H16" s="3">
        <v>65</v>
      </c>
      <c r="I16" s="3">
        <v>109</v>
      </c>
      <c r="J16" s="3"/>
      <c r="K16" s="1">
        <v>7</v>
      </c>
      <c r="L16" s="1">
        <v>7</v>
      </c>
      <c r="M16" s="3"/>
      <c r="N16" s="3"/>
      <c r="O16" s="3" t="s">
        <v>607</v>
      </c>
      <c r="U16">
        <f>U15/60</f>
        <v>12.083333333333334</v>
      </c>
    </row>
    <row r="17" spans="2:18">
      <c r="B17" s="168"/>
      <c r="C17" s="2">
        <v>0.52083333333333337</v>
      </c>
      <c r="D17" s="3" t="s">
        <v>599</v>
      </c>
      <c r="E17" s="127">
        <v>2.8376057895070201</v>
      </c>
      <c r="F17" s="3" t="s">
        <v>370</v>
      </c>
      <c r="G17" s="3">
        <v>90</v>
      </c>
      <c r="H17" s="3">
        <v>63</v>
      </c>
      <c r="I17" s="3">
        <v>87</v>
      </c>
      <c r="J17" s="3"/>
      <c r="K17" s="1">
        <v>7</v>
      </c>
      <c r="L17" s="1">
        <v>7</v>
      </c>
      <c r="M17" s="3"/>
      <c r="N17" s="3"/>
      <c r="O17" s="3">
        <v>0.12</v>
      </c>
    </row>
    <row r="18" spans="2:18">
      <c r="B18" s="168"/>
      <c r="C18" s="2">
        <v>0.54166666666666663</v>
      </c>
      <c r="D18" s="3" t="s">
        <v>600</v>
      </c>
      <c r="E18" s="127">
        <v>8.1804913237180692</v>
      </c>
      <c r="F18" s="3" t="s">
        <v>370</v>
      </c>
      <c r="G18" s="3">
        <v>91</v>
      </c>
      <c r="H18" s="3">
        <v>63</v>
      </c>
      <c r="I18" s="3">
        <v>84</v>
      </c>
      <c r="J18" s="3"/>
      <c r="K18" s="1">
        <v>7</v>
      </c>
      <c r="L18" s="1">
        <v>7</v>
      </c>
      <c r="M18" s="3"/>
      <c r="N18" s="3"/>
      <c r="O18" s="3">
        <v>0.18</v>
      </c>
    </row>
    <row r="19" spans="2:18">
      <c r="B19" s="168"/>
      <c r="C19" s="2">
        <v>0.59652777777777777</v>
      </c>
      <c r="D19" s="3" t="s">
        <v>601</v>
      </c>
      <c r="E19" s="127">
        <v>8.9278533827893902</v>
      </c>
      <c r="F19" s="3">
        <v>0</v>
      </c>
      <c r="G19" s="3">
        <v>111</v>
      </c>
      <c r="H19" s="3">
        <v>73</v>
      </c>
      <c r="I19" s="3">
        <v>89</v>
      </c>
      <c r="J19" s="3"/>
      <c r="K19" s="1">
        <v>7</v>
      </c>
      <c r="L19" s="1">
        <v>7</v>
      </c>
      <c r="M19" s="3"/>
      <c r="N19" s="3"/>
      <c r="O19" s="3" t="s">
        <v>608</v>
      </c>
    </row>
    <row r="20" spans="2:18">
      <c r="B20" s="168"/>
      <c r="C20" s="2">
        <v>0.80208333333333337</v>
      </c>
      <c r="D20" s="3" t="s">
        <v>602</v>
      </c>
      <c r="E20" s="127">
        <v>6.6698525887850604</v>
      </c>
      <c r="F20" s="3">
        <v>0</v>
      </c>
      <c r="G20" s="3">
        <v>106</v>
      </c>
      <c r="H20" s="3">
        <v>59</v>
      </c>
      <c r="I20" s="3">
        <v>119</v>
      </c>
      <c r="J20" s="3"/>
      <c r="K20" s="16">
        <v>5</v>
      </c>
      <c r="L20" s="16">
        <v>5</v>
      </c>
      <c r="M20" s="3"/>
      <c r="N20" s="3"/>
      <c r="O20" s="3"/>
    </row>
    <row r="21" spans="2:18">
      <c r="B21" s="169"/>
      <c r="C21" s="2">
        <v>0.94097222222222221</v>
      </c>
      <c r="D21" s="3" t="s">
        <v>603</v>
      </c>
      <c r="E21" s="127">
        <v>4.1861115711270998</v>
      </c>
      <c r="F21" s="3">
        <v>0</v>
      </c>
      <c r="G21" s="3">
        <v>113</v>
      </c>
      <c r="H21" s="3">
        <v>76</v>
      </c>
      <c r="I21" s="3">
        <v>89</v>
      </c>
      <c r="J21" s="3"/>
      <c r="K21" s="1">
        <v>5</v>
      </c>
      <c r="L21" s="1">
        <v>5</v>
      </c>
      <c r="M21" s="3"/>
      <c r="N21" s="3"/>
      <c r="O21" s="3"/>
    </row>
    <row r="22" spans="2:18">
      <c r="B22" s="167">
        <v>44218</v>
      </c>
      <c r="C22" s="30">
        <v>0</v>
      </c>
      <c r="D22" s="31"/>
      <c r="E22" s="31"/>
      <c r="F22" s="31"/>
      <c r="G22" s="31"/>
      <c r="H22" s="31"/>
      <c r="I22" s="31"/>
      <c r="J22" s="31"/>
      <c r="K22" s="32" t="s">
        <v>20</v>
      </c>
      <c r="L22" s="32" t="s">
        <v>20</v>
      </c>
      <c r="M22" s="3"/>
      <c r="N22" s="3"/>
      <c r="O22" s="3" t="s">
        <v>609</v>
      </c>
      <c r="R22" t="s">
        <v>666</v>
      </c>
    </row>
    <row r="23" spans="2:18">
      <c r="B23" s="168"/>
      <c r="C23" s="94">
        <v>0.5</v>
      </c>
      <c r="D23" s="79" t="s">
        <v>604</v>
      </c>
      <c r="E23" s="127">
        <v>7.6375859963142503</v>
      </c>
      <c r="F23" s="3"/>
      <c r="G23" s="3"/>
      <c r="H23" s="3"/>
      <c r="I23" s="3"/>
      <c r="J23" s="3"/>
      <c r="K23" s="1"/>
      <c r="L23" s="3"/>
      <c r="M23" s="3"/>
      <c r="N23" s="3"/>
      <c r="O23" s="3"/>
      <c r="R23" t="s">
        <v>667</v>
      </c>
    </row>
    <row r="24" spans="2:18">
      <c r="B24" s="169"/>
      <c r="C24" s="94">
        <v>0.55763888888888891</v>
      </c>
      <c r="D24" s="79" t="s">
        <v>605</v>
      </c>
      <c r="E24" s="79"/>
      <c r="F24" s="3">
        <v>3</v>
      </c>
      <c r="G24" s="3">
        <v>108</v>
      </c>
      <c r="H24" s="3">
        <v>78</v>
      </c>
      <c r="I24" s="3">
        <v>89</v>
      </c>
      <c r="J24" s="3"/>
      <c r="K24" s="1"/>
      <c r="L24" s="3"/>
      <c r="M24" s="3"/>
      <c r="N24" s="3"/>
      <c r="O24" s="3"/>
    </row>
  </sheetData>
  <mergeCells count="27">
    <mergeCell ref="B2:B3"/>
    <mergeCell ref="C2:C3"/>
    <mergeCell ref="G2:I2"/>
    <mergeCell ref="K2:L2"/>
    <mergeCell ref="B11:B12"/>
    <mergeCell ref="C11:C12"/>
    <mergeCell ref="D11:D12"/>
    <mergeCell ref="K5:L5"/>
    <mergeCell ref="K6:L6"/>
    <mergeCell ref="Q2:R2"/>
    <mergeCell ref="G3:I3"/>
    <mergeCell ref="K3:O4"/>
    <mergeCell ref="Q3:R3"/>
    <mergeCell ref="G4:H4"/>
    <mergeCell ref="B22:B24"/>
    <mergeCell ref="B13:B21"/>
    <mergeCell ref="R12:R14"/>
    <mergeCell ref="I11:I12"/>
    <mergeCell ref="E11:E12"/>
    <mergeCell ref="F11:F12"/>
    <mergeCell ref="G11:H11"/>
    <mergeCell ref="J11:J12"/>
    <mergeCell ref="V10:X10"/>
    <mergeCell ref="Y10:AA10"/>
    <mergeCell ref="K11:L11"/>
    <mergeCell ref="M11:N11"/>
    <mergeCell ref="O11:O12"/>
  </mergeCell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2:AA38"/>
  <sheetViews>
    <sheetView tabSelected="1" zoomScale="90" zoomScaleNormal="90" workbookViewId="0">
      <selection activeCell="U36" sqref="U36"/>
    </sheetView>
  </sheetViews>
  <sheetFormatPr defaultRowHeight="14.4"/>
  <cols>
    <col min="1" max="1" width="4" customWidth="1"/>
    <col min="2" max="2" width="11.44140625" bestFit="1" customWidth="1"/>
    <col min="3" max="3" width="16.21875" customWidth="1"/>
    <col min="4" max="5" width="9.77734375" customWidth="1"/>
    <col min="6" max="6" width="8.109375" customWidth="1"/>
    <col min="7" max="7" width="11.33203125" customWidth="1"/>
    <col min="8" max="8" width="8.21875" bestFit="1" customWidth="1"/>
    <col min="9" max="9" width="7.77734375" customWidth="1"/>
    <col min="10" max="10" width="8.5546875" customWidth="1"/>
    <col min="11" max="11" width="7.44140625" customWidth="1"/>
    <col min="12" max="12" width="6.44140625" customWidth="1"/>
    <col min="13" max="14" width="7.33203125" customWidth="1"/>
    <col min="15" max="15" width="14.21875" customWidth="1"/>
    <col min="16" max="16" width="6.5546875" customWidth="1"/>
    <col min="17" max="17" width="6.44140625" customWidth="1"/>
    <col min="19" max="19" width="10.44140625" customWidth="1"/>
    <col min="23" max="23" width="7.44140625" customWidth="1"/>
    <col min="24" max="24" width="7.88671875" customWidth="1"/>
    <col min="25" max="25" width="7.109375" customWidth="1"/>
    <col min="26" max="26" width="7.6640625" customWidth="1"/>
    <col min="27" max="27" width="7.5546875" customWidth="1"/>
    <col min="28" max="28" width="7.109375" customWidth="1"/>
  </cols>
  <sheetData>
    <row r="2" spans="2:27">
      <c r="B2" s="170" t="s">
        <v>0</v>
      </c>
      <c r="C2" s="172" t="s">
        <v>611</v>
      </c>
      <c r="G2" s="175" t="s">
        <v>24</v>
      </c>
      <c r="H2" s="175"/>
      <c r="I2" s="175"/>
      <c r="K2" s="161" t="s">
        <v>32</v>
      </c>
      <c r="L2" s="162"/>
      <c r="Q2" s="159" t="s">
        <v>33</v>
      </c>
      <c r="R2" s="160"/>
      <c r="S2" s="17" t="s">
        <v>129</v>
      </c>
    </row>
    <row r="3" spans="2:27">
      <c r="B3" s="171"/>
      <c r="C3" s="173"/>
      <c r="G3" s="176" t="s">
        <v>38</v>
      </c>
      <c r="H3" s="176"/>
      <c r="I3" s="176"/>
      <c r="K3" s="194" t="s">
        <v>613</v>
      </c>
      <c r="L3" s="194"/>
      <c r="M3" s="194"/>
      <c r="N3" s="194"/>
      <c r="O3" s="194"/>
      <c r="Q3" s="159" t="s">
        <v>34</v>
      </c>
      <c r="R3" s="160"/>
      <c r="S3" s="17" t="s">
        <v>471</v>
      </c>
    </row>
    <row r="4" spans="2:27" ht="21">
      <c r="B4" s="88" t="s">
        <v>23</v>
      </c>
      <c r="C4" s="89">
        <v>1023</v>
      </c>
      <c r="G4" s="174" t="s">
        <v>19</v>
      </c>
      <c r="H4" s="174"/>
      <c r="K4" s="194"/>
      <c r="L4" s="194"/>
      <c r="M4" s="194"/>
      <c r="N4" s="194"/>
      <c r="O4" s="194"/>
    </row>
    <row r="5" spans="2:27">
      <c r="B5" s="6" t="s">
        <v>1</v>
      </c>
      <c r="C5" s="7">
        <v>70</v>
      </c>
      <c r="G5" s="9" t="s">
        <v>25</v>
      </c>
      <c r="H5" s="25">
        <v>0.36458333333333331</v>
      </c>
      <c r="I5" t="s">
        <v>612</v>
      </c>
      <c r="K5" s="157" t="s">
        <v>25</v>
      </c>
      <c r="L5" s="158"/>
      <c r="M5" s="25">
        <v>0.37291666666666662</v>
      </c>
      <c r="N5" s="40" t="s">
        <v>640</v>
      </c>
      <c r="O5">
        <f>3+(15+24+10.5)*60</f>
        <v>2973</v>
      </c>
      <c r="P5">
        <f>O5-2-280</f>
        <v>2691</v>
      </c>
      <c r="S5" t="s">
        <v>614</v>
      </c>
      <c r="T5" t="s">
        <v>615</v>
      </c>
    </row>
    <row r="6" spans="2:27">
      <c r="B6" s="6" t="s">
        <v>2</v>
      </c>
      <c r="C6" s="8">
        <v>173</v>
      </c>
      <c r="G6" s="9" t="s">
        <v>26</v>
      </c>
      <c r="H6" s="25">
        <v>0.4548611111111111</v>
      </c>
      <c r="K6" s="157" t="s">
        <v>26</v>
      </c>
      <c r="L6" s="158"/>
      <c r="M6" s="25">
        <v>0.4375</v>
      </c>
      <c r="N6" s="40" t="s">
        <v>641</v>
      </c>
      <c r="S6" t="s">
        <v>617</v>
      </c>
      <c r="T6" t="s">
        <v>616</v>
      </c>
    </row>
    <row r="7" spans="2:27">
      <c r="B7" s="6" t="s">
        <v>3</v>
      </c>
      <c r="C7" s="8" t="s">
        <v>18</v>
      </c>
      <c r="S7" t="s">
        <v>619</v>
      </c>
      <c r="T7" t="s">
        <v>618</v>
      </c>
    </row>
    <row r="8" spans="2:27">
      <c r="B8" s="6" t="s">
        <v>8</v>
      </c>
      <c r="C8" s="8">
        <v>73</v>
      </c>
      <c r="S8" t="s">
        <v>471</v>
      </c>
      <c r="T8" s="116">
        <v>2E-3</v>
      </c>
    </row>
    <row r="10" spans="2:27" ht="15" thickBot="1">
      <c r="V10" s="154" t="s">
        <v>63</v>
      </c>
      <c r="W10" s="155"/>
      <c r="X10" s="156"/>
      <c r="Y10" s="154" t="s">
        <v>62</v>
      </c>
      <c r="Z10" s="155"/>
      <c r="AA10" s="156"/>
    </row>
    <row r="11" spans="2:27" ht="15" customHeight="1">
      <c r="B11" s="165" t="s">
        <v>4</v>
      </c>
      <c r="C11" s="165" t="s">
        <v>5</v>
      </c>
      <c r="D11" s="165" t="s">
        <v>6</v>
      </c>
      <c r="E11" s="165" t="s">
        <v>671</v>
      </c>
      <c r="F11" s="165" t="s">
        <v>28</v>
      </c>
      <c r="G11" s="177" t="s">
        <v>7</v>
      </c>
      <c r="H11" s="178"/>
      <c r="I11" s="165" t="s">
        <v>9</v>
      </c>
      <c r="J11" s="165" t="s">
        <v>29</v>
      </c>
      <c r="K11" s="177" t="s">
        <v>27</v>
      </c>
      <c r="L11" s="178"/>
      <c r="M11" s="177" t="s">
        <v>31</v>
      </c>
      <c r="N11" s="178"/>
      <c r="O11" s="165" t="s">
        <v>30</v>
      </c>
      <c r="R11" s="10" t="s">
        <v>10</v>
      </c>
      <c r="S11" s="10" t="s">
        <v>11</v>
      </c>
      <c r="T11" s="10" t="s">
        <v>12</v>
      </c>
      <c r="U11" s="10" t="s">
        <v>13</v>
      </c>
      <c r="V11" s="23" t="s">
        <v>14</v>
      </c>
      <c r="W11" s="22" t="s">
        <v>15</v>
      </c>
      <c r="X11" s="22" t="s">
        <v>35</v>
      </c>
      <c r="Y11" s="24" t="s">
        <v>14</v>
      </c>
      <c r="Z11" s="24" t="s">
        <v>36</v>
      </c>
      <c r="AA11" s="24" t="s">
        <v>37</v>
      </c>
    </row>
    <row r="12" spans="2:27">
      <c r="B12" s="166"/>
      <c r="C12" s="166"/>
      <c r="D12" s="166"/>
      <c r="E12" s="166"/>
      <c r="F12" s="166"/>
      <c r="G12" s="87" t="s">
        <v>16</v>
      </c>
      <c r="H12" s="19" t="s">
        <v>17</v>
      </c>
      <c r="I12" s="166"/>
      <c r="J12" s="166"/>
      <c r="K12" s="20" t="s">
        <v>63</v>
      </c>
      <c r="L12" s="21" t="s">
        <v>87</v>
      </c>
      <c r="M12" s="20" t="s">
        <v>63</v>
      </c>
      <c r="N12" s="21" t="s">
        <v>87</v>
      </c>
      <c r="O12" s="166"/>
      <c r="R12" s="199" t="s">
        <v>640</v>
      </c>
      <c r="S12" s="2">
        <v>0.36458333333333331</v>
      </c>
      <c r="T12" s="2">
        <v>0.36805555555555558</v>
      </c>
      <c r="U12" s="11">
        <v>5</v>
      </c>
      <c r="V12" s="11" t="s">
        <v>91</v>
      </c>
      <c r="W12" s="1">
        <f>X12*12</f>
        <v>15</v>
      </c>
      <c r="X12" s="1">
        <v>1.25</v>
      </c>
      <c r="Y12" s="11" t="s">
        <v>91</v>
      </c>
      <c r="Z12" s="1">
        <f>AA12*12</f>
        <v>120</v>
      </c>
      <c r="AA12" s="1">
        <v>10</v>
      </c>
    </row>
    <row r="13" spans="2:27">
      <c r="B13" s="167">
        <v>43864</v>
      </c>
      <c r="C13" s="2">
        <v>0.36458333333333331</v>
      </c>
      <c r="D13" s="3" t="s">
        <v>621</v>
      </c>
      <c r="E13" s="127">
        <v>2.78612399927114</v>
      </c>
      <c r="F13" s="3" t="s">
        <v>370</v>
      </c>
      <c r="G13" s="3">
        <v>158</v>
      </c>
      <c r="H13" s="3">
        <v>104</v>
      </c>
      <c r="I13" s="3">
        <v>97</v>
      </c>
      <c r="J13" s="3"/>
      <c r="K13" s="1"/>
      <c r="L13" s="3"/>
      <c r="M13" s="3">
        <v>5</v>
      </c>
      <c r="N13" s="3">
        <v>5</v>
      </c>
      <c r="O13" s="3" t="s">
        <v>668</v>
      </c>
      <c r="R13" s="200"/>
      <c r="S13" s="2">
        <v>0.37291666666666662</v>
      </c>
      <c r="T13" s="2">
        <v>0.375</v>
      </c>
      <c r="U13" s="11">
        <v>3</v>
      </c>
      <c r="V13" s="11">
        <v>100</v>
      </c>
      <c r="W13" s="1">
        <f t="shared" ref="W13:W18" si="0">V13*0.25</f>
        <v>25</v>
      </c>
      <c r="X13" s="1">
        <f t="shared" ref="X13:X18" si="1">W13*U13/60</f>
        <v>1.25</v>
      </c>
      <c r="Y13" s="11">
        <v>100</v>
      </c>
      <c r="Z13" s="1">
        <f t="shared" ref="Z13:Z18" si="2">Y13*2</f>
        <v>200</v>
      </c>
      <c r="AA13" s="1">
        <f t="shared" ref="AA13:AA18" si="3">Z13*U13/60</f>
        <v>10</v>
      </c>
    </row>
    <row r="14" spans="2:27">
      <c r="B14" s="168"/>
      <c r="C14" s="33">
        <v>0.37291666666666662</v>
      </c>
      <c r="D14" s="3"/>
      <c r="E14" s="3"/>
      <c r="F14" s="3" t="s">
        <v>370</v>
      </c>
      <c r="G14" s="3">
        <v>98</v>
      </c>
      <c r="H14" s="3">
        <v>63</v>
      </c>
      <c r="I14" s="3">
        <v>83</v>
      </c>
      <c r="J14" s="3"/>
      <c r="K14" s="1"/>
      <c r="L14" s="3"/>
      <c r="M14" s="3">
        <v>5</v>
      </c>
      <c r="N14" s="3">
        <v>5</v>
      </c>
      <c r="O14" s="3" t="s">
        <v>489</v>
      </c>
      <c r="R14" s="200"/>
      <c r="S14" s="2">
        <v>0.375</v>
      </c>
      <c r="T14" s="2">
        <v>0.3979166666666667</v>
      </c>
      <c r="U14" s="11">
        <v>33</v>
      </c>
      <c r="V14" s="11">
        <v>5</v>
      </c>
      <c r="W14" s="1">
        <f t="shared" si="0"/>
        <v>1.25</v>
      </c>
      <c r="X14" s="1">
        <f t="shared" si="1"/>
        <v>0.6875</v>
      </c>
      <c r="Y14" s="11">
        <v>5</v>
      </c>
      <c r="Z14" s="1">
        <f t="shared" si="2"/>
        <v>10</v>
      </c>
      <c r="AA14" s="1">
        <f t="shared" si="3"/>
        <v>5.5</v>
      </c>
    </row>
    <row r="15" spans="2:27">
      <c r="B15" s="168"/>
      <c r="C15" s="33">
        <v>0.375</v>
      </c>
      <c r="D15" s="34"/>
      <c r="E15" s="34"/>
      <c r="F15" s="34" t="s">
        <v>370</v>
      </c>
      <c r="G15" s="34"/>
      <c r="H15" s="34"/>
      <c r="I15" s="34"/>
      <c r="J15" s="34"/>
      <c r="K15" s="35" t="s">
        <v>58</v>
      </c>
      <c r="L15" s="35" t="s">
        <v>58</v>
      </c>
      <c r="M15" s="3"/>
      <c r="N15" s="3"/>
      <c r="O15" s="3"/>
      <c r="R15" s="200"/>
      <c r="S15" s="2">
        <v>0.3979166666666667</v>
      </c>
      <c r="T15" s="2">
        <v>0.48333333333333334</v>
      </c>
      <c r="U15" s="11">
        <v>123</v>
      </c>
      <c r="V15" s="11">
        <v>7</v>
      </c>
      <c r="W15" s="1">
        <f t="shared" si="0"/>
        <v>1.75</v>
      </c>
      <c r="X15" s="1">
        <f t="shared" si="1"/>
        <v>3.5874999999999999</v>
      </c>
      <c r="Y15" s="11">
        <v>7</v>
      </c>
      <c r="Z15" s="1">
        <f t="shared" si="2"/>
        <v>14</v>
      </c>
      <c r="AA15" s="1">
        <f t="shared" si="3"/>
        <v>28.7</v>
      </c>
    </row>
    <row r="16" spans="2:27">
      <c r="B16" s="168"/>
      <c r="C16" s="2">
        <v>0.37986111111111115</v>
      </c>
      <c r="D16" s="3" t="s">
        <v>622</v>
      </c>
      <c r="E16" s="127">
        <v>2.8614434077264899</v>
      </c>
      <c r="F16" s="3" t="s">
        <v>370</v>
      </c>
      <c r="G16" s="3">
        <v>104</v>
      </c>
      <c r="H16" s="3">
        <v>50</v>
      </c>
      <c r="I16" s="3">
        <v>58</v>
      </c>
      <c r="J16" s="3"/>
      <c r="K16" s="1">
        <v>5</v>
      </c>
      <c r="L16" s="1">
        <v>5</v>
      </c>
      <c r="M16" s="3"/>
      <c r="N16" s="3"/>
      <c r="O16" s="3" t="s">
        <v>639</v>
      </c>
      <c r="R16" s="201"/>
      <c r="S16" s="2">
        <v>0.48333333333333334</v>
      </c>
      <c r="T16" s="2">
        <v>0.8125</v>
      </c>
      <c r="U16" s="11">
        <f>24+7.5*60</f>
        <v>474</v>
      </c>
      <c r="V16" s="11">
        <v>5</v>
      </c>
      <c r="W16" s="1">
        <f t="shared" si="0"/>
        <v>1.25</v>
      </c>
      <c r="X16" s="1">
        <f t="shared" si="1"/>
        <v>9.875</v>
      </c>
      <c r="Y16" s="11">
        <v>5</v>
      </c>
      <c r="Z16" s="1">
        <f t="shared" si="2"/>
        <v>10</v>
      </c>
      <c r="AA16" s="1">
        <f t="shared" si="3"/>
        <v>79</v>
      </c>
    </row>
    <row r="17" spans="2:27">
      <c r="B17" s="168"/>
      <c r="C17" s="2">
        <v>0.39583333333333331</v>
      </c>
      <c r="D17" s="3" t="s">
        <v>623</v>
      </c>
      <c r="E17" s="127">
        <v>2.5029445519647</v>
      </c>
      <c r="F17" s="3" t="s">
        <v>370</v>
      </c>
      <c r="G17" s="3">
        <v>126</v>
      </c>
      <c r="H17" s="3">
        <v>62</v>
      </c>
      <c r="I17" s="3">
        <v>85</v>
      </c>
      <c r="J17" s="3"/>
      <c r="K17" s="1">
        <v>5</v>
      </c>
      <c r="L17" s="1">
        <v>5</v>
      </c>
      <c r="M17" s="3"/>
      <c r="N17" s="3"/>
      <c r="O17" s="3"/>
      <c r="R17" s="123" t="s">
        <v>669</v>
      </c>
      <c r="S17" s="2">
        <v>0.81388888888888899</v>
      </c>
      <c r="T17" s="2">
        <v>0.75694444444444453</v>
      </c>
      <c r="U17" s="11">
        <f>28+22*60+10</f>
        <v>1358</v>
      </c>
      <c r="V17" s="11">
        <v>5</v>
      </c>
      <c r="W17" s="1">
        <f t="shared" si="0"/>
        <v>1.25</v>
      </c>
      <c r="X17" s="1">
        <f t="shared" si="1"/>
        <v>28.291666666666668</v>
      </c>
      <c r="Y17" s="11">
        <v>5</v>
      </c>
      <c r="Z17" s="1">
        <f t="shared" si="2"/>
        <v>10</v>
      </c>
      <c r="AA17" s="1">
        <f t="shared" si="3"/>
        <v>226.33333333333334</v>
      </c>
    </row>
    <row r="18" spans="2:27">
      <c r="B18" s="168"/>
      <c r="C18" s="2">
        <v>0.3979166666666667</v>
      </c>
      <c r="D18" s="3"/>
      <c r="F18" s="3" t="s">
        <v>370</v>
      </c>
      <c r="G18" s="3">
        <v>133</v>
      </c>
      <c r="H18" s="3">
        <v>66</v>
      </c>
      <c r="I18" s="3">
        <v>86</v>
      </c>
      <c r="J18" s="3"/>
      <c r="K18" s="16">
        <v>7</v>
      </c>
      <c r="L18" s="16">
        <v>7</v>
      </c>
      <c r="M18" s="3"/>
      <c r="N18" s="3"/>
      <c r="O18" s="3"/>
      <c r="R18" s="122" t="s">
        <v>670</v>
      </c>
      <c r="S18" s="2">
        <v>0.95138888888888884</v>
      </c>
      <c r="T18" s="2">
        <v>0.4375</v>
      </c>
      <c r="U18" s="11">
        <f>10+11.5*60</f>
        <v>700</v>
      </c>
      <c r="V18" s="11">
        <v>5</v>
      </c>
      <c r="W18" s="1">
        <f t="shared" si="0"/>
        <v>1.25</v>
      </c>
      <c r="X18" s="1">
        <f t="shared" si="1"/>
        <v>14.583333333333334</v>
      </c>
      <c r="Y18" s="11">
        <v>5</v>
      </c>
      <c r="Z18" s="1">
        <f t="shared" si="2"/>
        <v>10</v>
      </c>
      <c r="AA18" s="1">
        <f t="shared" si="3"/>
        <v>116.66666666666667</v>
      </c>
    </row>
    <row r="19" spans="2:27">
      <c r="B19" s="168"/>
      <c r="C19" s="2">
        <v>0.41666666666666669</v>
      </c>
      <c r="D19" s="3" t="s">
        <v>624</v>
      </c>
      <c r="E19" s="127">
        <v>2.4191629253262801</v>
      </c>
      <c r="F19" s="3" t="s">
        <v>370</v>
      </c>
      <c r="G19" s="3">
        <v>96</v>
      </c>
      <c r="H19" s="3">
        <v>55</v>
      </c>
      <c r="I19" s="3">
        <v>85</v>
      </c>
      <c r="J19" s="3"/>
      <c r="K19" s="1">
        <v>7</v>
      </c>
      <c r="L19" s="1">
        <v>7</v>
      </c>
      <c r="M19" s="3"/>
      <c r="N19" s="3"/>
      <c r="O19" s="3">
        <v>0.1</v>
      </c>
      <c r="R19" s="10" t="s">
        <v>21</v>
      </c>
      <c r="S19" s="11"/>
      <c r="T19" s="11"/>
      <c r="U19" s="10">
        <f>SUM(U12:U18)</f>
        <v>2696</v>
      </c>
      <c r="X19" s="10">
        <f>SUM(X12:X18)</f>
        <v>59.524999999999999</v>
      </c>
      <c r="AA19" s="10">
        <f>SUM(AA12:AA18)</f>
        <v>476.2</v>
      </c>
    </row>
    <row r="20" spans="2:27">
      <c r="B20" s="168"/>
      <c r="C20" s="2">
        <v>0.45833333333333331</v>
      </c>
      <c r="D20" s="3" t="s">
        <v>625</v>
      </c>
      <c r="E20" s="127">
        <v>3.6175295554626099</v>
      </c>
      <c r="F20" s="3" t="s">
        <v>370</v>
      </c>
      <c r="G20" s="3">
        <v>94</v>
      </c>
      <c r="H20" s="3">
        <v>64</v>
      </c>
      <c r="I20" s="3">
        <v>81</v>
      </c>
      <c r="J20" s="3"/>
      <c r="K20" s="1">
        <v>7</v>
      </c>
      <c r="L20" s="1">
        <v>7</v>
      </c>
      <c r="M20" s="3"/>
      <c r="N20" s="3"/>
      <c r="O20" s="3">
        <v>0.05</v>
      </c>
      <c r="U20">
        <f>U19/60</f>
        <v>44.93333333333333</v>
      </c>
    </row>
    <row r="21" spans="2:27">
      <c r="B21" s="168"/>
      <c r="C21" s="2">
        <v>0.48333333333333334</v>
      </c>
      <c r="D21" s="3"/>
      <c r="F21" s="3"/>
      <c r="G21" s="3">
        <v>114</v>
      </c>
      <c r="H21" s="3">
        <v>45</v>
      </c>
      <c r="I21" s="3">
        <v>68</v>
      </c>
      <c r="J21" s="3"/>
      <c r="K21" s="16">
        <v>5</v>
      </c>
      <c r="L21" s="16">
        <v>5</v>
      </c>
      <c r="M21" s="3"/>
      <c r="N21" s="3"/>
      <c r="O21" s="3"/>
    </row>
    <row r="22" spans="2:27">
      <c r="B22" s="168"/>
      <c r="C22" s="2">
        <v>0.625</v>
      </c>
      <c r="D22" s="3" t="s">
        <v>626</v>
      </c>
      <c r="E22" s="127">
        <v>5.31562733067243</v>
      </c>
      <c r="F22" s="3">
        <v>0</v>
      </c>
      <c r="G22" s="3">
        <v>117</v>
      </c>
      <c r="H22" s="3">
        <v>60</v>
      </c>
      <c r="I22" s="3">
        <v>77</v>
      </c>
      <c r="J22" s="3"/>
      <c r="K22" s="1">
        <v>5</v>
      </c>
      <c r="L22" s="1">
        <v>5</v>
      </c>
      <c r="M22" s="3"/>
      <c r="N22" s="3"/>
      <c r="O22" s="3">
        <v>0.04</v>
      </c>
    </row>
    <row r="23" spans="2:27">
      <c r="B23" s="168"/>
      <c r="C23" s="30">
        <v>0.8125</v>
      </c>
      <c r="D23" s="31"/>
      <c r="E23" s="31"/>
      <c r="F23" s="31"/>
      <c r="G23" s="31"/>
      <c r="H23" s="31"/>
      <c r="I23" s="31"/>
      <c r="J23" s="31"/>
      <c r="K23" s="32" t="s">
        <v>20</v>
      </c>
      <c r="L23" s="32" t="s">
        <v>20</v>
      </c>
      <c r="M23" s="3"/>
      <c r="N23" s="3"/>
      <c r="O23" s="3"/>
      <c r="P23">
        <v>2</v>
      </c>
    </row>
    <row r="24" spans="2:27">
      <c r="B24" s="168"/>
      <c r="C24" s="33">
        <v>0.81388888888888899</v>
      </c>
      <c r="D24" s="34"/>
      <c r="E24" s="34"/>
      <c r="F24" s="34"/>
      <c r="G24" s="34"/>
      <c r="H24" s="34"/>
      <c r="I24" s="34"/>
      <c r="J24" s="34"/>
      <c r="K24" s="35" t="s">
        <v>58</v>
      </c>
      <c r="L24" s="35" t="s">
        <v>58</v>
      </c>
      <c r="M24" s="3"/>
      <c r="N24" s="3"/>
      <c r="O24" s="3"/>
    </row>
    <row r="25" spans="2:27">
      <c r="B25" s="169"/>
      <c r="C25" s="2">
        <v>0.90138888888888891</v>
      </c>
      <c r="D25" s="3" t="s">
        <v>627</v>
      </c>
      <c r="E25" s="127">
        <v>6.3954229885417098</v>
      </c>
      <c r="F25" s="3">
        <v>0</v>
      </c>
      <c r="G25" s="3">
        <v>126</v>
      </c>
      <c r="H25" s="3">
        <v>43</v>
      </c>
      <c r="I25" s="3">
        <v>70</v>
      </c>
      <c r="J25" s="3"/>
      <c r="K25" s="1">
        <v>5</v>
      </c>
      <c r="L25" s="1">
        <v>5</v>
      </c>
      <c r="M25" s="3"/>
      <c r="N25" s="3"/>
      <c r="O25" s="3">
        <v>0.05</v>
      </c>
    </row>
    <row r="26" spans="2:27">
      <c r="B26" s="167">
        <v>43865</v>
      </c>
      <c r="C26" s="2">
        <v>0.38541666666666669</v>
      </c>
      <c r="D26" s="3" t="s">
        <v>628</v>
      </c>
      <c r="E26" s="127">
        <v>12.2251362610026</v>
      </c>
      <c r="F26" s="3">
        <v>0</v>
      </c>
      <c r="G26" s="3">
        <v>136</v>
      </c>
      <c r="H26" s="3">
        <v>70</v>
      </c>
      <c r="I26" s="3">
        <v>68</v>
      </c>
      <c r="J26" s="3"/>
      <c r="K26" s="1">
        <v>5</v>
      </c>
      <c r="L26" s="1">
        <v>5</v>
      </c>
      <c r="M26" s="3"/>
      <c r="N26" s="3"/>
      <c r="O26" s="3">
        <v>0.04</v>
      </c>
    </row>
    <row r="27" spans="2:27">
      <c r="B27" s="168"/>
      <c r="C27" s="30">
        <v>0.75694444444444453</v>
      </c>
      <c r="D27" s="31"/>
      <c r="E27" s="31"/>
      <c r="F27" s="31"/>
      <c r="G27" s="31"/>
      <c r="H27" s="31"/>
      <c r="I27" s="31"/>
      <c r="J27" s="31"/>
      <c r="K27" s="32" t="s">
        <v>20</v>
      </c>
      <c r="L27" s="32" t="s">
        <v>20</v>
      </c>
      <c r="M27" s="3"/>
      <c r="N27" s="3"/>
      <c r="O27" s="3"/>
      <c r="P27">
        <f>50+180+50</f>
        <v>280</v>
      </c>
    </row>
    <row r="28" spans="2:27">
      <c r="B28" s="169"/>
      <c r="C28" s="33">
        <v>0.95138888888888884</v>
      </c>
      <c r="D28" s="34"/>
      <c r="E28" s="34"/>
      <c r="F28" s="34"/>
      <c r="G28" s="34"/>
      <c r="H28" s="34"/>
      <c r="I28" s="34"/>
      <c r="J28" s="34"/>
      <c r="K28" s="35" t="s">
        <v>58</v>
      </c>
      <c r="L28" s="35" t="s">
        <v>58</v>
      </c>
      <c r="M28" s="3"/>
      <c r="N28" s="3"/>
      <c r="O28" s="3"/>
    </row>
    <row r="29" spans="2:27">
      <c r="B29" s="167">
        <v>43866</v>
      </c>
      <c r="C29" s="30">
        <v>0.4375</v>
      </c>
      <c r="D29" s="31" t="s">
        <v>629</v>
      </c>
      <c r="E29" s="31">
        <v>3.5720234291153998</v>
      </c>
      <c r="F29" s="31">
        <v>3</v>
      </c>
      <c r="G29" s="31">
        <v>139</v>
      </c>
      <c r="H29" s="31">
        <v>80</v>
      </c>
      <c r="I29" s="31">
        <v>83</v>
      </c>
      <c r="J29" s="31"/>
      <c r="K29" s="32" t="s">
        <v>20</v>
      </c>
      <c r="L29" s="32" t="s">
        <v>20</v>
      </c>
      <c r="M29" s="3"/>
      <c r="N29" s="3"/>
      <c r="O29" s="3"/>
    </row>
    <row r="30" spans="2:27">
      <c r="B30" s="168"/>
      <c r="C30" s="2">
        <v>0.43958333333333338</v>
      </c>
      <c r="D30" s="3" t="s">
        <v>630</v>
      </c>
      <c r="E30" s="3">
        <v>13.7096360342799</v>
      </c>
      <c r="F30" s="3">
        <v>3</v>
      </c>
      <c r="G30" s="3">
        <v>139</v>
      </c>
      <c r="H30" s="3">
        <v>81</v>
      </c>
      <c r="I30" s="3">
        <v>88</v>
      </c>
      <c r="J30" s="3"/>
      <c r="K30" s="1"/>
      <c r="L30" s="3"/>
      <c r="M30" s="3"/>
      <c r="N30" s="3"/>
      <c r="O30" s="3"/>
    </row>
    <row r="31" spans="2:27">
      <c r="B31" s="168"/>
      <c r="C31" s="2">
        <v>0.44097222222222227</v>
      </c>
      <c r="D31" s="3" t="s">
        <v>631</v>
      </c>
      <c r="E31" s="3">
        <v>11.783994137699001</v>
      </c>
      <c r="F31" s="3">
        <v>3</v>
      </c>
      <c r="G31" s="3">
        <v>139</v>
      </c>
      <c r="H31" s="3">
        <v>87</v>
      </c>
      <c r="I31" s="3">
        <v>89</v>
      </c>
      <c r="J31" s="3"/>
      <c r="K31" s="1"/>
      <c r="L31" s="3"/>
      <c r="M31" s="3"/>
      <c r="N31" s="3"/>
      <c r="O31" s="3"/>
    </row>
    <row r="32" spans="2:27">
      <c r="B32" s="168"/>
      <c r="C32" s="2">
        <v>0.4548611111111111</v>
      </c>
      <c r="D32" s="3" t="s">
        <v>632</v>
      </c>
      <c r="E32" s="3">
        <v>11.401299926279099</v>
      </c>
      <c r="F32" s="3">
        <v>3</v>
      </c>
      <c r="G32" s="3">
        <v>141</v>
      </c>
      <c r="H32" s="3">
        <v>86</v>
      </c>
      <c r="I32" s="3">
        <v>82</v>
      </c>
      <c r="J32" s="3"/>
      <c r="K32" s="1"/>
      <c r="L32" s="3"/>
      <c r="M32" s="3"/>
      <c r="N32" s="3"/>
      <c r="O32" s="3"/>
    </row>
    <row r="33" spans="2:15">
      <c r="B33" s="168"/>
      <c r="C33" s="2">
        <v>0.46527777777777773</v>
      </c>
      <c r="D33" s="3" t="s">
        <v>633</v>
      </c>
      <c r="E33" s="3">
        <v>14.6570122598115</v>
      </c>
      <c r="F33" s="3">
        <v>3</v>
      </c>
      <c r="G33" s="3">
        <v>130</v>
      </c>
      <c r="H33" s="3">
        <v>80</v>
      </c>
      <c r="I33" s="3">
        <v>83</v>
      </c>
      <c r="J33" s="3"/>
      <c r="K33" s="1"/>
      <c r="L33" s="3"/>
      <c r="M33" s="3"/>
      <c r="N33" s="3"/>
      <c r="O33" s="3"/>
    </row>
    <row r="34" spans="2:15">
      <c r="B34" s="168"/>
      <c r="C34" s="2">
        <v>0.48333333333333334</v>
      </c>
      <c r="D34" s="3" t="s">
        <v>634</v>
      </c>
      <c r="E34" s="3">
        <v>15.2645539164612</v>
      </c>
      <c r="F34" s="3">
        <v>3</v>
      </c>
      <c r="G34" s="3">
        <v>144</v>
      </c>
      <c r="H34" s="3">
        <v>92</v>
      </c>
      <c r="I34" s="3">
        <v>82</v>
      </c>
      <c r="J34" s="3"/>
      <c r="K34" s="1"/>
      <c r="L34" s="3"/>
      <c r="M34" s="3"/>
      <c r="N34" s="3"/>
      <c r="O34" s="3"/>
    </row>
    <row r="35" spans="2:15">
      <c r="B35" s="168"/>
      <c r="C35" s="2">
        <v>0.61805555555555558</v>
      </c>
      <c r="D35" s="3" t="s">
        <v>635</v>
      </c>
      <c r="E35" s="3">
        <v>14.9754697083854</v>
      </c>
      <c r="F35" s="3">
        <v>0</v>
      </c>
      <c r="G35" s="3">
        <v>140</v>
      </c>
      <c r="H35" s="3">
        <v>84</v>
      </c>
      <c r="I35" s="3">
        <v>79</v>
      </c>
      <c r="J35" s="3"/>
      <c r="K35" s="1"/>
      <c r="L35" s="3"/>
      <c r="M35" s="3"/>
      <c r="N35" s="3"/>
      <c r="O35" s="3"/>
    </row>
    <row r="36" spans="2:15">
      <c r="B36" s="168"/>
      <c r="C36" s="4" t="s">
        <v>620</v>
      </c>
      <c r="D36" s="3" t="s">
        <v>636</v>
      </c>
      <c r="E36" s="3">
        <v>13.831881331748701</v>
      </c>
      <c r="F36" s="3">
        <v>0</v>
      </c>
      <c r="G36" s="3">
        <v>136</v>
      </c>
      <c r="H36" s="3">
        <v>87</v>
      </c>
      <c r="I36" s="3">
        <v>76</v>
      </c>
      <c r="J36" s="3"/>
      <c r="K36" s="1"/>
      <c r="L36" s="3"/>
      <c r="M36" s="3"/>
      <c r="N36" s="3"/>
      <c r="O36" s="3"/>
    </row>
    <row r="37" spans="2:15">
      <c r="B37" s="109">
        <v>43867</v>
      </c>
      <c r="C37" s="2">
        <v>0.9375</v>
      </c>
      <c r="D37" s="3" t="s">
        <v>638</v>
      </c>
      <c r="E37" s="3">
        <v>4.5659208035707701</v>
      </c>
      <c r="F37" s="3">
        <v>0</v>
      </c>
      <c r="G37" s="3">
        <v>150</v>
      </c>
      <c r="H37" s="3">
        <v>100</v>
      </c>
      <c r="I37" s="3">
        <v>88</v>
      </c>
      <c r="J37" s="3"/>
      <c r="K37" s="1"/>
      <c r="L37" s="3"/>
      <c r="M37" s="3"/>
      <c r="N37" s="3"/>
      <c r="O37" s="3"/>
    </row>
    <row r="38" spans="2:15">
      <c r="B38" s="74">
        <v>43869</v>
      </c>
      <c r="C38" s="2">
        <v>0.45347222222222222</v>
      </c>
      <c r="D38" s="3" t="s">
        <v>637</v>
      </c>
      <c r="E38" s="3">
        <v>2.7850966502763699</v>
      </c>
      <c r="F38" s="11">
        <v>0</v>
      </c>
      <c r="G38" s="11">
        <v>120</v>
      </c>
      <c r="H38" s="11">
        <v>73</v>
      </c>
      <c r="I38" s="11">
        <v>79</v>
      </c>
      <c r="J38" s="11"/>
      <c r="K38" s="11"/>
      <c r="L38" s="11"/>
      <c r="M38" s="11"/>
      <c r="N38" s="11"/>
      <c r="O38" s="11"/>
    </row>
  </sheetData>
  <mergeCells count="28">
    <mergeCell ref="V10:X10"/>
    <mergeCell ref="Y10:AA10"/>
    <mergeCell ref="K11:L11"/>
    <mergeCell ref="M11:N11"/>
    <mergeCell ref="O11:O12"/>
    <mergeCell ref="D11:D12"/>
    <mergeCell ref="F11:F12"/>
    <mergeCell ref="G11:H11"/>
    <mergeCell ref="J11:J12"/>
    <mergeCell ref="K5:L5"/>
    <mergeCell ref="K6:L6"/>
    <mergeCell ref="E11:E12"/>
    <mergeCell ref="B26:B28"/>
    <mergeCell ref="B13:B25"/>
    <mergeCell ref="R12:R16"/>
    <mergeCell ref="B29:B36"/>
    <mergeCell ref="Q2:R2"/>
    <mergeCell ref="G3:I3"/>
    <mergeCell ref="K3:O4"/>
    <mergeCell ref="Q3:R3"/>
    <mergeCell ref="G4:H4"/>
    <mergeCell ref="I11:I12"/>
    <mergeCell ref="B2:B3"/>
    <mergeCell ref="C2:C3"/>
    <mergeCell ref="G2:I2"/>
    <mergeCell ref="K2:L2"/>
    <mergeCell ref="B11:B12"/>
    <mergeCell ref="C11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AC40"/>
  <sheetViews>
    <sheetView zoomScale="90" zoomScaleNormal="90" workbookViewId="0">
      <selection activeCell="U20" sqref="U20"/>
    </sheetView>
  </sheetViews>
  <sheetFormatPr defaultRowHeight="14.4"/>
  <cols>
    <col min="1" max="1" width="3.44140625" customWidth="1"/>
    <col min="2" max="2" width="11.44140625" bestFit="1" customWidth="1"/>
    <col min="3" max="3" width="15.77734375" customWidth="1"/>
    <col min="4" max="5" width="9.77734375" customWidth="1"/>
    <col min="6" max="6" width="8.109375" customWidth="1"/>
    <col min="7" max="7" width="11.33203125" customWidth="1"/>
    <col min="8" max="8" width="8.21875" bestFit="1" customWidth="1"/>
    <col min="9" max="9" width="7.77734375" customWidth="1"/>
    <col min="10" max="10" width="8.5546875" customWidth="1"/>
    <col min="11" max="11" width="7.44140625" customWidth="1"/>
    <col min="12" max="12" width="6.44140625" customWidth="1"/>
    <col min="13" max="13" width="11" bestFit="1" customWidth="1"/>
    <col min="14" max="14" width="7.33203125" customWidth="1"/>
    <col min="15" max="15" width="14.21875" customWidth="1"/>
    <col min="16" max="16" width="6.5546875" customWidth="1"/>
    <col min="17" max="17" width="6.44140625" customWidth="1"/>
    <col min="19" max="19" width="10.44140625" customWidth="1"/>
    <col min="24" max="24" width="7.44140625" customWidth="1"/>
    <col min="25" max="25" width="9" customWidth="1"/>
    <col min="26" max="26" width="7.109375" customWidth="1"/>
    <col min="27" max="27" width="7.6640625" customWidth="1"/>
    <col min="28" max="28" width="7.5546875" customWidth="1"/>
    <col min="29" max="29" width="7.109375" customWidth="1"/>
  </cols>
  <sheetData>
    <row r="2" spans="2:29">
      <c r="B2" s="170" t="s">
        <v>0</v>
      </c>
      <c r="C2" s="172" t="s">
        <v>65</v>
      </c>
      <c r="G2" s="175" t="s">
        <v>24</v>
      </c>
      <c r="H2" s="175"/>
      <c r="I2" s="175"/>
      <c r="K2" s="161" t="s">
        <v>32</v>
      </c>
      <c r="L2" s="162"/>
      <c r="Q2" s="159" t="s">
        <v>33</v>
      </c>
      <c r="R2" s="160"/>
      <c r="S2" s="17" t="s">
        <v>40</v>
      </c>
    </row>
    <row r="3" spans="2:29">
      <c r="B3" s="171"/>
      <c r="C3" s="173"/>
      <c r="G3" s="176" t="s">
        <v>38</v>
      </c>
      <c r="H3" s="176"/>
      <c r="I3" s="176"/>
      <c r="K3" s="186" t="s">
        <v>126</v>
      </c>
      <c r="L3" s="187"/>
      <c r="M3" s="187"/>
      <c r="N3" s="187"/>
      <c r="O3" s="187"/>
      <c r="Q3" s="159" t="s">
        <v>34</v>
      </c>
      <c r="R3" s="160"/>
      <c r="S3" s="17" t="s">
        <v>41</v>
      </c>
    </row>
    <row r="4" spans="2:29" ht="21">
      <c r="B4" s="12" t="s">
        <v>23</v>
      </c>
      <c r="C4" s="13">
        <v>1002</v>
      </c>
      <c r="G4" s="174" t="s">
        <v>19</v>
      </c>
      <c r="H4" s="174"/>
      <c r="K4" s="188"/>
      <c r="L4" s="189"/>
      <c r="M4" s="189"/>
      <c r="N4" s="189"/>
      <c r="O4" s="189"/>
    </row>
    <row r="5" spans="2:29">
      <c r="B5" s="6" t="s">
        <v>1</v>
      </c>
      <c r="C5" s="7">
        <v>80</v>
      </c>
      <c r="G5" s="9" t="s">
        <v>25</v>
      </c>
      <c r="H5" s="25">
        <v>0.50277777777777777</v>
      </c>
      <c r="I5" s="38">
        <v>44400</v>
      </c>
      <c r="K5" s="157" t="s">
        <v>25</v>
      </c>
      <c r="L5" s="158"/>
      <c r="M5" s="26">
        <v>43669</v>
      </c>
      <c r="N5" s="25">
        <v>0.50277777777777777</v>
      </c>
    </row>
    <row r="6" spans="2:29">
      <c r="B6" s="6" t="s">
        <v>2</v>
      </c>
      <c r="C6" s="8">
        <v>170</v>
      </c>
      <c r="G6" s="9" t="s">
        <v>26</v>
      </c>
      <c r="H6" s="7"/>
      <c r="K6" s="157" t="s">
        <v>26</v>
      </c>
      <c r="L6" s="158"/>
      <c r="M6" s="26">
        <v>43671</v>
      </c>
      <c r="N6" s="40" t="s">
        <v>93</v>
      </c>
      <c r="O6">
        <f>53*60+21-53-60</f>
        <v>3088</v>
      </c>
    </row>
    <row r="7" spans="2:29">
      <c r="B7" s="6" t="s">
        <v>3</v>
      </c>
      <c r="C7" s="8" t="s">
        <v>102</v>
      </c>
      <c r="G7" t="s">
        <v>123</v>
      </c>
      <c r="L7" t="s">
        <v>62</v>
      </c>
      <c r="M7" s="26">
        <v>43672</v>
      </c>
      <c r="N7" s="41">
        <v>0.57222222222222219</v>
      </c>
      <c r="O7">
        <f>35+19*60+44-5</f>
        <v>1214</v>
      </c>
      <c r="P7">
        <f>O6+O7</f>
        <v>4302</v>
      </c>
    </row>
    <row r="8" spans="2:29">
      <c r="B8" s="6" t="s">
        <v>8</v>
      </c>
      <c r="C8" s="8">
        <v>71</v>
      </c>
    </row>
    <row r="10" spans="2:29" ht="15" thickBot="1">
      <c r="U10" s="106" t="s">
        <v>63</v>
      </c>
      <c r="V10" s="106" t="s">
        <v>62</v>
      </c>
      <c r="W10" s="154" t="s">
        <v>63</v>
      </c>
      <c r="X10" s="155"/>
      <c r="Y10" s="156"/>
      <c r="Z10" s="154" t="s">
        <v>62</v>
      </c>
      <c r="AA10" s="155"/>
      <c r="AB10" s="156"/>
    </row>
    <row r="11" spans="2:29" ht="15" customHeight="1">
      <c r="B11" s="165" t="s">
        <v>4</v>
      </c>
      <c r="C11" s="165" t="s">
        <v>5</v>
      </c>
      <c r="D11" s="165" t="s">
        <v>6</v>
      </c>
      <c r="E11" s="165" t="s">
        <v>671</v>
      </c>
      <c r="F11" s="165" t="s">
        <v>28</v>
      </c>
      <c r="G11" s="177" t="s">
        <v>7</v>
      </c>
      <c r="H11" s="178"/>
      <c r="I11" s="165" t="s">
        <v>9</v>
      </c>
      <c r="J11" s="165" t="s">
        <v>29</v>
      </c>
      <c r="K11" s="177" t="s">
        <v>27</v>
      </c>
      <c r="L11" s="178"/>
      <c r="M11" s="177" t="s">
        <v>31</v>
      </c>
      <c r="N11" s="178"/>
      <c r="O11" s="165" t="s">
        <v>30</v>
      </c>
      <c r="R11" s="10" t="s">
        <v>10</v>
      </c>
      <c r="S11" s="10" t="s">
        <v>11</v>
      </c>
      <c r="T11" s="10" t="s">
        <v>12</v>
      </c>
      <c r="U11" s="184" t="s">
        <v>13</v>
      </c>
      <c r="V11" s="185"/>
      <c r="W11" s="23" t="s">
        <v>14</v>
      </c>
      <c r="X11" s="22" t="s">
        <v>15</v>
      </c>
      <c r="Y11" s="22" t="s">
        <v>35</v>
      </c>
      <c r="Z11" s="24" t="s">
        <v>14</v>
      </c>
      <c r="AA11" s="24" t="s">
        <v>36</v>
      </c>
      <c r="AB11" s="24" t="s">
        <v>37</v>
      </c>
    </row>
    <row r="12" spans="2:29">
      <c r="B12" s="166"/>
      <c r="C12" s="166"/>
      <c r="D12" s="166"/>
      <c r="E12" s="166"/>
      <c r="F12" s="166"/>
      <c r="G12" s="18" t="s">
        <v>16</v>
      </c>
      <c r="H12" s="19" t="s">
        <v>17</v>
      </c>
      <c r="I12" s="166"/>
      <c r="J12" s="166"/>
      <c r="K12" s="20" t="s">
        <v>63</v>
      </c>
      <c r="L12" s="21" t="s">
        <v>87</v>
      </c>
      <c r="M12" s="20" t="s">
        <v>63</v>
      </c>
      <c r="N12" s="21" t="s">
        <v>87</v>
      </c>
      <c r="O12" s="166"/>
      <c r="R12" s="42">
        <v>44401</v>
      </c>
      <c r="S12" s="180">
        <v>0.50277777777777777</v>
      </c>
      <c r="T12" s="181"/>
      <c r="U12" s="11">
        <v>1</v>
      </c>
      <c r="V12" s="11">
        <v>1</v>
      </c>
      <c r="W12" s="11" t="s">
        <v>91</v>
      </c>
      <c r="Y12" s="1">
        <v>2.5</v>
      </c>
      <c r="Z12" s="11" t="s">
        <v>100</v>
      </c>
      <c r="AA12" s="1"/>
      <c r="AB12" s="1">
        <v>9</v>
      </c>
      <c r="AC12" t="s">
        <v>101</v>
      </c>
    </row>
    <row r="13" spans="2:29">
      <c r="B13" s="190">
        <v>43669</v>
      </c>
      <c r="C13" s="33">
        <v>0.50277777777777777</v>
      </c>
      <c r="D13" s="34" t="s">
        <v>66</v>
      </c>
      <c r="E13" s="127">
        <v>3.2997726748053902</v>
      </c>
      <c r="F13" s="34" t="s">
        <v>370</v>
      </c>
      <c r="G13" s="34">
        <v>150</v>
      </c>
      <c r="H13" s="34">
        <v>61</v>
      </c>
      <c r="I13" s="34">
        <v>62</v>
      </c>
      <c r="J13" s="34"/>
      <c r="K13" s="35">
        <v>5</v>
      </c>
      <c r="L13" s="34">
        <v>5</v>
      </c>
      <c r="M13" s="182" t="s">
        <v>91</v>
      </c>
      <c r="N13" s="183"/>
      <c r="O13" s="3"/>
      <c r="R13" s="15" t="s">
        <v>96</v>
      </c>
      <c r="S13" s="2">
        <v>0.50347222222222221</v>
      </c>
      <c r="T13" s="2">
        <v>0.27777777777777779</v>
      </c>
      <c r="U13" s="11">
        <f>18*60+40-5</f>
        <v>1115</v>
      </c>
      <c r="V13" s="11">
        <f>18*60+40-5</f>
        <v>1115</v>
      </c>
      <c r="W13" s="11">
        <v>5</v>
      </c>
      <c r="X13" s="1">
        <f>W13*0.5</f>
        <v>2.5</v>
      </c>
      <c r="Y13" s="1">
        <f>X13*U13/60</f>
        <v>46.458333333333336</v>
      </c>
      <c r="Z13" s="11">
        <v>5</v>
      </c>
      <c r="AA13" s="1">
        <f>Z13*1.8</f>
        <v>9</v>
      </c>
      <c r="AB13" s="1">
        <f t="shared" ref="AB13:AB18" si="0">AA13*V13/60</f>
        <v>167.25</v>
      </c>
    </row>
    <row r="14" spans="2:29">
      <c r="B14" s="190"/>
      <c r="C14" s="2">
        <v>0.50624999999999998</v>
      </c>
      <c r="D14" s="3" t="s">
        <v>67</v>
      </c>
      <c r="E14" s="127">
        <v>10.5703908407655</v>
      </c>
      <c r="F14" s="3" t="s">
        <v>370</v>
      </c>
      <c r="G14" s="3">
        <v>135</v>
      </c>
      <c r="H14" s="3">
        <v>52</v>
      </c>
      <c r="I14" s="3">
        <v>57</v>
      </c>
      <c r="J14" s="3"/>
      <c r="K14" s="1">
        <v>5</v>
      </c>
      <c r="L14" s="3">
        <v>5</v>
      </c>
      <c r="M14" s="3"/>
      <c r="N14" s="3"/>
      <c r="O14" s="3"/>
      <c r="R14" s="179">
        <v>44401</v>
      </c>
      <c r="S14" s="2">
        <v>0.31458333333333333</v>
      </c>
      <c r="T14" s="2">
        <v>0.56597222222222221</v>
      </c>
      <c r="U14" s="11">
        <f>27+5*60+35</f>
        <v>362</v>
      </c>
      <c r="V14" s="11">
        <f>27+5*60+35</f>
        <v>362</v>
      </c>
      <c r="W14" s="11">
        <v>8</v>
      </c>
      <c r="X14" s="1">
        <f>W14*0.5</f>
        <v>4</v>
      </c>
      <c r="Y14" s="1">
        <f>X14*U14/60</f>
        <v>24.133333333333333</v>
      </c>
      <c r="Z14" s="11">
        <v>8</v>
      </c>
      <c r="AA14" s="1">
        <f>Z14*1.8</f>
        <v>14.4</v>
      </c>
      <c r="AB14" s="1">
        <f t="shared" si="0"/>
        <v>86.88000000000001</v>
      </c>
    </row>
    <row r="15" spans="2:29">
      <c r="B15" s="190"/>
      <c r="C15" s="2">
        <v>0.52361111111111114</v>
      </c>
      <c r="D15" s="3" t="s">
        <v>68</v>
      </c>
      <c r="E15" s="127">
        <v>11.762027652932799</v>
      </c>
      <c r="F15" s="3" t="s">
        <v>370</v>
      </c>
      <c r="G15" s="3">
        <v>124</v>
      </c>
      <c r="H15" s="3">
        <v>48</v>
      </c>
      <c r="I15" s="3">
        <v>68</v>
      </c>
      <c r="J15" s="3"/>
      <c r="K15" s="1">
        <v>5</v>
      </c>
      <c r="L15" s="3">
        <v>5</v>
      </c>
      <c r="M15" s="3"/>
      <c r="N15" s="3"/>
      <c r="O15" s="3"/>
      <c r="R15" s="179"/>
      <c r="S15" s="2">
        <v>0.56597222222222221</v>
      </c>
      <c r="T15" s="2">
        <v>0.77083333333333337</v>
      </c>
      <c r="U15" s="11">
        <f>25+270</f>
        <v>295</v>
      </c>
      <c r="V15" s="11">
        <f>25+270</f>
        <v>295</v>
      </c>
      <c r="W15" s="11">
        <v>5</v>
      </c>
      <c r="X15" s="1">
        <f>W15*0.5</f>
        <v>2.5</v>
      </c>
      <c r="Y15" s="1">
        <f>X15*U15/60</f>
        <v>12.291666666666666</v>
      </c>
      <c r="Z15" s="11">
        <v>5</v>
      </c>
      <c r="AA15" s="1">
        <f>Z15*1.8</f>
        <v>9</v>
      </c>
      <c r="AB15" s="1">
        <f t="shared" si="0"/>
        <v>44.25</v>
      </c>
    </row>
    <row r="16" spans="2:29">
      <c r="B16" s="190"/>
      <c r="C16" s="2">
        <v>0.5444444444444444</v>
      </c>
      <c r="D16" s="3" t="s">
        <v>69</v>
      </c>
      <c r="E16" s="127">
        <v>14.472908759216001</v>
      </c>
      <c r="F16" s="3" t="s">
        <v>370</v>
      </c>
      <c r="G16" s="3">
        <v>134</v>
      </c>
      <c r="H16" s="3">
        <v>61</v>
      </c>
      <c r="I16" s="3">
        <v>68</v>
      </c>
      <c r="J16" s="3"/>
      <c r="K16" s="1">
        <v>5</v>
      </c>
      <c r="L16" s="3">
        <v>5</v>
      </c>
      <c r="M16" s="3"/>
      <c r="N16" s="3"/>
      <c r="O16" s="3"/>
      <c r="R16" s="15" t="s">
        <v>97</v>
      </c>
      <c r="S16" s="2">
        <v>0.8125</v>
      </c>
      <c r="T16" s="2">
        <v>0.72569444444444453</v>
      </c>
      <c r="U16" s="11">
        <f>21.5*60+25</f>
        <v>1315</v>
      </c>
      <c r="V16" s="11">
        <f>21.5*60+25</f>
        <v>1315</v>
      </c>
      <c r="W16" s="11">
        <v>5</v>
      </c>
      <c r="X16" s="1">
        <f>W16*0.5</f>
        <v>2.5</v>
      </c>
      <c r="Y16" s="1">
        <f>X16*U16/60</f>
        <v>54.791666666666664</v>
      </c>
      <c r="Z16" s="11">
        <v>5</v>
      </c>
      <c r="AA16" s="1">
        <f>Z16*1.8</f>
        <v>9</v>
      </c>
      <c r="AB16" s="1">
        <f t="shared" si="0"/>
        <v>197.25</v>
      </c>
    </row>
    <row r="17" spans="2:28">
      <c r="B17" s="190"/>
      <c r="C17" s="2">
        <v>0.58611111111111114</v>
      </c>
      <c r="D17" s="3" t="s">
        <v>70</v>
      </c>
      <c r="E17" s="127">
        <v>14.5036621664543</v>
      </c>
      <c r="F17" s="3" t="s">
        <v>370</v>
      </c>
      <c r="G17" s="3">
        <v>134</v>
      </c>
      <c r="H17" s="3">
        <v>61</v>
      </c>
      <c r="I17" s="3">
        <v>69</v>
      </c>
      <c r="J17" s="3"/>
      <c r="K17" s="1">
        <v>5</v>
      </c>
      <c r="L17" s="3">
        <v>5</v>
      </c>
      <c r="M17" s="3"/>
      <c r="N17" s="3"/>
      <c r="O17" s="3"/>
      <c r="R17" s="15" t="s">
        <v>98</v>
      </c>
      <c r="S17" s="2">
        <v>0.72916666666666663</v>
      </c>
      <c r="T17" s="2">
        <v>0.54166666666666663</v>
      </c>
      <c r="U17" s="11">
        <v>0</v>
      </c>
      <c r="V17" s="11">
        <f>19.5*60</f>
        <v>1170</v>
      </c>
      <c r="W17" s="11" t="s">
        <v>99</v>
      </c>
      <c r="X17" s="1" t="s">
        <v>99</v>
      </c>
      <c r="Y17" s="1"/>
      <c r="Z17" s="1">
        <v>5</v>
      </c>
      <c r="AA17" s="1">
        <v>10</v>
      </c>
      <c r="AB17" s="1">
        <f t="shared" si="0"/>
        <v>195</v>
      </c>
    </row>
    <row r="18" spans="2:28">
      <c r="B18" s="190"/>
      <c r="C18" s="2">
        <v>0.75902777777777775</v>
      </c>
      <c r="D18" s="3" t="s">
        <v>71</v>
      </c>
      <c r="E18" s="127">
        <v>13.6371138563233</v>
      </c>
      <c r="F18" s="3">
        <v>0</v>
      </c>
      <c r="G18" s="3">
        <v>122</v>
      </c>
      <c r="H18" s="3">
        <v>48</v>
      </c>
      <c r="I18" s="3">
        <v>69</v>
      </c>
      <c r="J18" s="3"/>
      <c r="K18" s="1">
        <v>5</v>
      </c>
      <c r="L18" s="3">
        <v>5</v>
      </c>
      <c r="M18" s="3"/>
      <c r="N18" s="3"/>
      <c r="O18" s="3"/>
      <c r="R18" s="42">
        <v>44403</v>
      </c>
      <c r="S18" s="2">
        <v>0.54166666666666663</v>
      </c>
      <c r="T18" s="2">
        <v>0.57222222222222219</v>
      </c>
      <c r="U18" s="11">
        <v>0</v>
      </c>
      <c r="V18" s="11">
        <v>44</v>
      </c>
      <c r="W18" s="11" t="s">
        <v>99</v>
      </c>
      <c r="X18" s="1" t="s">
        <v>99</v>
      </c>
      <c r="Y18" s="1"/>
      <c r="Z18" s="1">
        <v>3</v>
      </c>
      <c r="AA18" s="1">
        <v>6</v>
      </c>
      <c r="AB18" s="1">
        <f t="shared" si="0"/>
        <v>4.4000000000000004</v>
      </c>
    </row>
    <row r="19" spans="2:28">
      <c r="B19" s="168">
        <v>43670</v>
      </c>
      <c r="C19" s="2">
        <v>4.1666666666666666E-3</v>
      </c>
      <c r="D19" s="3" t="s">
        <v>72</v>
      </c>
      <c r="E19" s="127">
        <v>18.102279307269399</v>
      </c>
      <c r="F19" s="3">
        <v>0</v>
      </c>
      <c r="G19" s="3">
        <v>105</v>
      </c>
      <c r="H19" s="3">
        <v>42</v>
      </c>
      <c r="I19" s="3">
        <v>67</v>
      </c>
      <c r="J19" s="3"/>
      <c r="K19" s="1">
        <v>5</v>
      </c>
      <c r="L19" s="3">
        <v>5</v>
      </c>
      <c r="M19" s="3"/>
      <c r="N19" s="3"/>
      <c r="O19" s="3"/>
      <c r="R19" s="10" t="s">
        <v>21</v>
      </c>
      <c r="S19" s="11"/>
      <c r="T19" s="11"/>
      <c r="U19" s="10">
        <f>SUM(U13:U18)</f>
        <v>3087</v>
      </c>
      <c r="V19" s="10">
        <f>SUM(V12:V18)</f>
        <v>4302</v>
      </c>
      <c r="Y19" s="10">
        <f>SUM(Y13:Y18)</f>
        <v>137.67500000000001</v>
      </c>
      <c r="AB19" s="10">
        <f>SUM(AB13:AB18)</f>
        <v>695.03</v>
      </c>
    </row>
    <row r="20" spans="2:28">
      <c r="B20" s="168"/>
      <c r="C20" s="30">
        <v>0.27777777777777779</v>
      </c>
      <c r="D20" s="31"/>
      <c r="E20" s="31"/>
      <c r="F20" s="31"/>
      <c r="G20" s="31"/>
      <c r="H20" s="31"/>
      <c r="I20" s="31"/>
      <c r="J20" s="31"/>
      <c r="K20" s="32" t="s">
        <v>20</v>
      </c>
      <c r="L20" s="32" t="s">
        <v>20</v>
      </c>
      <c r="M20" s="3"/>
      <c r="N20" s="3"/>
      <c r="O20" s="3"/>
      <c r="U20">
        <f>U19/60</f>
        <v>51.45</v>
      </c>
      <c r="V20">
        <f>V19/60</f>
        <v>71.7</v>
      </c>
    </row>
    <row r="21" spans="2:28">
      <c r="B21" s="168"/>
      <c r="C21" s="33">
        <v>0.31458333333333333</v>
      </c>
      <c r="D21" s="34"/>
      <c r="E21" s="34"/>
      <c r="F21" s="34"/>
      <c r="G21" s="34"/>
      <c r="H21" s="34"/>
      <c r="I21" s="34"/>
      <c r="J21" s="34"/>
      <c r="K21" s="35" t="s">
        <v>89</v>
      </c>
      <c r="L21" s="35" t="s">
        <v>89</v>
      </c>
      <c r="M21" s="3"/>
      <c r="N21" s="3"/>
      <c r="O21" s="3" t="s">
        <v>94</v>
      </c>
      <c r="U21">
        <f>SUM(U13:U16)</f>
        <v>3087</v>
      </c>
      <c r="Y21">
        <f>Y19/U19*60</f>
        <v>2.675898931000972</v>
      </c>
      <c r="AB21">
        <f>AB19/V19*60</f>
        <v>9.6935843793584375</v>
      </c>
    </row>
    <row r="22" spans="2:28">
      <c r="B22" s="168"/>
      <c r="C22" s="2">
        <v>0.55902777777777779</v>
      </c>
      <c r="D22" s="3" t="s">
        <v>73</v>
      </c>
      <c r="E22" s="127">
        <v>15.6252234480565</v>
      </c>
      <c r="F22" s="3"/>
      <c r="G22" s="3"/>
      <c r="H22" s="3"/>
      <c r="I22" s="3"/>
      <c r="J22" s="3"/>
      <c r="K22" s="1">
        <v>8</v>
      </c>
      <c r="L22" s="3">
        <v>8</v>
      </c>
      <c r="M22" s="3"/>
      <c r="N22" s="3"/>
      <c r="O22" s="3"/>
    </row>
    <row r="23" spans="2:28">
      <c r="B23" s="168"/>
      <c r="C23" s="2">
        <v>0.56597222222222221</v>
      </c>
      <c r="D23" s="3"/>
      <c r="E23" s="3"/>
      <c r="F23" s="3"/>
      <c r="G23" s="3"/>
      <c r="H23" s="3"/>
      <c r="I23" s="3"/>
      <c r="J23" s="3"/>
      <c r="K23" s="16">
        <v>5</v>
      </c>
      <c r="L23" s="44">
        <v>5</v>
      </c>
      <c r="M23" s="3"/>
      <c r="N23" s="3"/>
      <c r="O23" s="3"/>
    </row>
    <row r="24" spans="2:28">
      <c r="B24" s="168"/>
      <c r="C24" s="30">
        <v>0.77083333333333337</v>
      </c>
      <c r="D24" s="31"/>
      <c r="E24" s="31"/>
      <c r="F24" s="31"/>
      <c r="G24" s="31"/>
      <c r="H24" s="31"/>
      <c r="I24" s="31"/>
      <c r="J24" s="31"/>
      <c r="K24" s="32" t="s">
        <v>20</v>
      </c>
      <c r="L24" s="32" t="s">
        <v>20</v>
      </c>
      <c r="M24" s="3"/>
      <c r="N24" s="3"/>
      <c r="O24" s="3" t="s">
        <v>95</v>
      </c>
    </row>
    <row r="25" spans="2:28">
      <c r="B25" s="169"/>
      <c r="C25" s="33">
        <v>0.8125</v>
      </c>
      <c r="D25" s="34"/>
      <c r="E25" s="34"/>
      <c r="F25" s="34"/>
      <c r="G25" s="34"/>
      <c r="H25" s="34"/>
      <c r="I25" s="34"/>
      <c r="J25" s="34"/>
      <c r="K25" s="35" t="s">
        <v>58</v>
      </c>
      <c r="L25" s="35" t="s">
        <v>58</v>
      </c>
      <c r="M25" s="3"/>
      <c r="N25" s="3"/>
      <c r="O25" s="3"/>
    </row>
    <row r="26" spans="2:28">
      <c r="B26" s="167">
        <v>43671</v>
      </c>
      <c r="C26" s="2" t="s">
        <v>92</v>
      </c>
      <c r="D26" s="60" t="s">
        <v>74</v>
      </c>
      <c r="E26" s="60">
        <v>36.461846864510797</v>
      </c>
      <c r="F26" s="3"/>
      <c r="G26" s="3">
        <v>130</v>
      </c>
      <c r="H26" s="3">
        <v>60</v>
      </c>
      <c r="I26" s="3">
        <v>80</v>
      </c>
      <c r="J26" s="3"/>
      <c r="K26" s="1">
        <v>5</v>
      </c>
      <c r="L26" s="3">
        <v>5</v>
      </c>
      <c r="M26" s="3"/>
      <c r="N26" s="3"/>
      <c r="O26" s="3"/>
    </row>
    <row r="27" spans="2:28">
      <c r="B27" s="168"/>
      <c r="C27" s="30">
        <v>0.72569444444444453</v>
      </c>
      <c r="D27" s="31"/>
      <c r="E27" s="31"/>
      <c r="F27" s="31"/>
      <c r="G27" s="31"/>
      <c r="H27" s="31"/>
      <c r="I27" s="31"/>
      <c r="J27" s="31"/>
      <c r="K27" s="32" t="s">
        <v>20</v>
      </c>
      <c r="L27" s="32" t="s">
        <v>20</v>
      </c>
      <c r="M27" s="3"/>
      <c r="N27" s="3"/>
      <c r="O27" s="3"/>
    </row>
    <row r="28" spans="2:28">
      <c r="B28" s="169"/>
      <c r="C28" s="33">
        <v>0.72916666666666663</v>
      </c>
      <c r="D28" s="34"/>
      <c r="E28" s="34"/>
      <c r="F28" s="34"/>
      <c r="G28" s="34"/>
      <c r="H28" s="34"/>
      <c r="I28" s="34"/>
      <c r="J28" s="34"/>
      <c r="K28" s="35"/>
      <c r="L28" s="34" t="s">
        <v>90</v>
      </c>
      <c r="M28" s="3"/>
      <c r="N28" s="3"/>
      <c r="O28" s="53" t="s">
        <v>127</v>
      </c>
    </row>
    <row r="29" spans="2:28">
      <c r="B29" s="167">
        <v>43672</v>
      </c>
      <c r="C29" s="2">
        <v>0.54166666666666663</v>
      </c>
      <c r="D29" s="3"/>
      <c r="E29" s="3"/>
      <c r="F29" s="3"/>
      <c r="G29" s="3"/>
      <c r="H29" s="3"/>
      <c r="I29" s="3"/>
      <c r="J29" s="3"/>
      <c r="K29" s="1"/>
      <c r="L29" s="44">
        <v>3</v>
      </c>
      <c r="M29" s="3"/>
      <c r="N29" s="3"/>
      <c r="O29" s="3" t="s">
        <v>88</v>
      </c>
    </row>
    <row r="30" spans="2:28">
      <c r="B30" s="168"/>
      <c r="C30" s="30">
        <v>0.57222222222222219</v>
      </c>
      <c r="D30" s="31" t="s">
        <v>75</v>
      </c>
      <c r="E30" s="31">
        <v>21.3744513553196</v>
      </c>
      <c r="F30" s="31" t="s">
        <v>56</v>
      </c>
      <c r="G30" s="31">
        <v>130</v>
      </c>
      <c r="H30" s="31">
        <v>65</v>
      </c>
      <c r="I30" s="31">
        <v>82</v>
      </c>
      <c r="J30" s="31"/>
      <c r="K30" s="32"/>
      <c r="L30" s="31" t="s">
        <v>20</v>
      </c>
      <c r="M30" s="3"/>
      <c r="N30" s="3"/>
      <c r="O30" s="3"/>
    </row>
    <row r="31" spans="2:28">
      <c r="B31" s="168"/>
      <c r="C31" s="2">
        <v>0.57430555555555551</v>
      </c>
      <c r="D31" s="3" t="s">
        <v>76</v>
      </c>
      <c r="E31" s="3">
        <v>20.885703485826902</v>
      </c>
      <c r="F31" s="3" t="s">
        <v>56</v>
      </c>
      <c r="G31" s="3">
        <v>132</v>
      </c>
      <c r="H31" s="3">
        <v>64</v>
      </c>
      <c r="I31" s="3">
        <v>83</v>
      </c>
      <c r="J31" s="3"/>
      <c r="K31" s="1"/>
      <c r="L31" s="3"/>
      <c r="M31" s="3"/>
      <c r="N31" s="3"/>
      <c r="O31" s="3"/>
    </row>
    <row r="32" spans="2:28">
      <c r="B32" s="168"/>
      <c r="C32" s="2">
        <v>0.5756944444444444</v>
      </c>
      <c r="D32" s="3" t="s">
        <v>77</v>
      </c>
      <c r="E32" s="3">
        <v>20.051600184101201</v>
      </c>
      <c r="F32" s="3" t="s">
        <v>56</v>
      </c>
      <c r="G32" s="3">
        <v>135</v>
      </c>
      <c r="H32" s="3">
        <v>68</v>
      </c>
      <c r="I32" s="3">
        <v>80</v>
      </c>
      <c r="J32" s="3"/>
      <c r="K32" s="1"/>
      <c r="L32" s="3"/>
      <c r="M32" s="3"/>
      <c r="N32" s="3"/>
      <c r="O32" s="3"/>
    </row>
    <row r="33" spans="2:15">
      <c r="B33" s="168"/>
      <c r="C33" s="2">
        <v>0.58611111111111114</v>
      </c>
      <c r="D33" s="3" t="s">
        <v>78</v>
      </c>
      <c r="E33" s="3">
        <v>19.472061775317499</v>
      </c>
      <c r="F33" s="3">
        <v>0</v>
      </c>
      <c r="G33" s="3">
        <v>130</v>
      </c>
      <c r="H33" s="3">
        <v>67</v>
      </c>
      <c r="I33" s="3">
        <v>84</v>
      </c>
      <c r="J33" s="3"/>
      <c r="K33" s="1"/>
      <c r="L33" s="3"/>
      <c r="M33" s="3"/>
      <c r="N33" s="3"/>
      <c r="O33" s="3"/>
    </row>
    <row r="34" spans="2:15">
      <c r="B34" s="168"/>
      <c r="C34" s="2">
        <v>0.6</v>
      </c>
      <c r="D34" s="3" t="s">
        <v>79</v>
      </c>
      <c r="E34" s="3">
        <v>19.028539721571299</v>
      </c>
      <c r="F34" s="3"/>
      <c r="G34" s="3">
        <v>138</v>
      </c>
      <c r="H34" s="3">
        <v>64</v>
      </c>
      <c r="I34" s="3">
        <v>83</v>
      </c>
      <c r="J34" s="3"/>
      <c r="K34" s="1"/>
      <c r="L34" s="3"/>
      <c r="M34" s="3"/>
      <c r="N34" s="3"/>
      <c r="O34" s="3"/>
    </row>
    <row r="35" spans="2:15">
      <c r="B35" s="168"/>
      <c r="C35" s="2">
        <v>0.61388888888888882</v>
      </c>
      <c r="D35" s="3" t="s">
        <v>80</v>
      </c>
      <c r="E35" s="3">
        <v>17.378504329153898</v>
      </c>
      <c r="F35" s="3">
        <v>0</v>
      </c>
      <c r="G35" s="3">
        <v>154</v>
      </c>
      <c r="H35" s="3">
        <v>67</v>
      </c>
      <c r="I35" s="3">
        <v>83</v>
      </c>
      <c r="J35" s="3"/>
      <c r="K35" s="1"/>
      <c r="L35" s="3"/>
      <c r="M35" s="3"/>
      <c r="N35" s="3"/>
      <c r="O35" s="3"/>
    </row>
    <row r="36" spans="2:15">
      <c r="B36" s="168"/>
      <c r="C36" s="2">
        <v>0.65555555555555556</v>
      </c>
      <c r="D36" s="3" t="s">
        <v>81</v>
      </c>
      <c r="E36" s="3">
        <v>19.816911095687001</v>
      </c>
      <c r="F36" s="3"/>
      <c r="G36" s="3">
        <v>136</v>
      </c>
      <c r="H36" s="3">
        <v>60</v>
      </c>
      <c r="I36" s="3">
        <v>82</v>
      </c>
      <c r="J36" s="3"/>
      <c r="K36" s="1"/>
      <c r="L36" s="3"/>
      <c r="M36" s="3"/>
      <c r="N36" s="3"/>
      <c r="O36" s="3"/>
    </row>
    <row r="37" spans="2:15">
      <c r="B37" s="169"/>
      <c r="C37" s="4" t="s">
        <v>86</v>
      </c>
      <c r="D37" s="3" t="s">
        <v>82</v>
      </c>
      <c r="E37" s="3">
        <v>20.038369921741101</v>
      </c>
      <c r="F37" s="3">
        <v>0</v>
      </c>
      <c r="G37" s="3">
        <v>168</v>
      </c>
      <c r="H37" s="3">
        <v>77</v>
      </c>
      <c r="I37" s="3"/>
      <c r="J37" s="3"/>
      <c r="K37" s="1"/>
      <c r="L37" s="3"/>
      <c r="M37" s="3"/>
      <c r="N37" s="3"/>
      <c r="O37" s="3"/>
    </row>
    <row r="38" spans="2:15">
      <c r="B38" s="167">
        <v>43673</v>
      </c>
      <c r="C38" s="2">
        <v>8.6805555555555566E-2</v>
      </c>
      <c r="D38" s="3" t="s">
        <v>83</v>
      </c>
      <c r="E38" s="3">
        <v>19.829519787583699</v>
      </c>
      <c r="F38" s="3">
        <v>8</v>
      </c>
      <c r="G38" s="3">
        <v>186</v>
      </c>
      <c r="H38" s="3">
        <v>77</v>
      </c>
      <c r="I38" s="3">
        <v>87</v>
      </c>
      <c r="J38" s="3"/>
      <c r="K38" s="1"/>
      <c r="L38" s="3"/>
      <c r="M38" s="3"/>
      <c r="N38" s="3"/>
      <c r="O38" s="3"/>
    </row>
    <row r="39" spans="2:15">
      <c r="B39" s="169"/>
      <c r="C39" s="2">
        <v>0.91666666666666663</v>
      </c>
      <c r="D39" s="3" t="s">
        <v>84</v>
      </c>
      <c r="E39" s="3">
        <v>12.065500562752099</v>
      </c>
      <c r="F39" s="3">
        <v>5</v>
      </c>
      <c r="G39" s="3">
        <v>180</v>
      </c>
      <c r="H39" s="3">
        <v>70</v>
      </c>
      <c r="I39" s="3"/>
      <c r="J39" s="3"/>
      <c r="K39" s="1"/>
      <c r="L39" s="3"/>
      <c r="M39" s="3"/>
      <c r="N39" s="3"/>
      <c r="O39" s="3"/>
    </row>
    <row r="40" spans="2:15">
      <c r="B40" s="39">
        <v>43675</v>
      </c>
      <c r="C40" s="2">
        <v>0.57222222222222219</v>
      </c>
      <c r="D40" s="3" t="s">
        <v>85</v>
      </c>
      <c r="E40" s="3">
        <v>8.5476473036800797</v>
      </c>
      <c r="F40" s="3"/>
      <c r="G40" s="3">
        <v>162</v>
      </c>
      <c r="H40" s="3">
        <v>74</v>
      </c>
      <c r="I40" s="3">
        <v>77</v>
      </c>
      <c r="J40" s="3"/>
      <c r="K40" s="3"/>
      <c r="L40" s="3"/>
      <c r="M40" s="3"/>
      <c r="N40" s="3"/>
      <c r="O40" s="3"/>
    </row>
  </sheetData>
  <mergeCells count="33">
    <mergeCell ref="B26:B28"/>
    <mergeCell ref="B29:B37"/>
    <mergeCell ref="B38:B39"/>
    <mergeCell ref="B19:B25"/>
    <mergeCell ref="B13:B18"/>
    <mergeCell ref="B2:B3"/>
    <mergeCell ref="C2:C3"/>
    <mergeCell ref="G2:I2"/>
    <mergeCell ref="K2:L2"/>
    <mergeCell ref="Q2:R2"/>
    <mergeCell ref="G3:I3"/>
    <mergeCell ref="K3:O4"/>
    <mergeCell ref="Q3:R3"/>
    <mergeCell ref="G4:H4"/>
    <mergeCell ref="K5:L5"/>
    <mergeCell ref="K6:L6"/>
    <mergeCell ref="W10:Y10"/>
    <mergeCell ref="Z10:AB10"/>
    <mergeCell ref="B11:B12"/>
    <mergeCell ref="C11:C12"/>
    <mergeCell ref="D11:D12"/>
    <mergeCell ref="F11:F12"/>
    <mergeCell ref="G11:H11"/>
    <mergeCell ref="I11:I12"/>
    <mergeCell ref="U11:V11"/>
    <mergeCell ref="E11:E12"/>
    <mergeCell ref="R14:R15"/>
    <mergeCell ref="S12:T12"/>
    <mergeCell ref="J11:J12"/>
    <mergeCell ref="K11:L11"/>
    <mergeCell ref="M11:N11"/>
    <mergeCell ref="O11:O12"/>
    <mergeCell ref="M13:N1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AA40"/>
  <sheetViews>
    <sheetView zoomScale="90" zoomScaleNormal="90" workbookViewId="0">
      <selection activeCell="X12" sqref="X12"/>
    </sheetView>
  </sheetViews>
  <sheetFormatPr defaultRowHeight="14.4"/>
  <cols>
    <col min="1" max="1" width="3.33203125" customWidth="1"/>
    <col min="2" max="2" width="11.44140625" bestFit="1" customWidth="1"/>
    <col min="3" max="3" width="14.5546875" customWidth="1"/>
    <col min="4" max="5" width="9.77734375" customWidth="1"/>
    <col min="6" max="6" width="8.109375" customWidth="1"/>
    <col min="7" max="7" width="11.33203125" customWidth="1"/>
    <col min="8" max="8" width="8.21875" bestFit="1" customWidth="1"/>
    <col min="9" max="9" width="11" bestFit="1" customWidth="1"/>
    <col min="10" max="10" width="8.5546875" customWidth="1"/>
    <col min="11" max="11" width="7.44140625" customWidth="1"/>
    <col min="12" max="12" width="6.44140625" customWidth="1"/>
    <col min="13" max="14" width="7.33203125" customWidth="1"/>
    <col min="15" max="15" width="14.21875" customWidth="1"/>
    <col min="16" max="16" width="6.5546875" customWidth="1"/>
    <col min="17" max="17" width="6.44140625" customWidth="1"/>
    <col min="18" max="18" width="11.21875" bestFit="1" customWidth="1"/>
    <col min="19" max="19" width="10.44140625" customWidth="1"/>
    <col min="23" max="23" width="7.44140625" customWidth="1"/>
    <col min="24" max="24" width="7.88671875" customWidth="1"/>
    <col min="25" max="25" width="7.109375" customWidth="1"/>
    <col min="26" max="26" width="7.6640625" customWidth="1"/>
    <col min="27" max="27" width="7.5546875" customWidth="1"/>
    <col min="28" max="28" width="7.109375" customWidth="1"/>
  </cols>
  <sheetData>
    <row r="2" spans="2:27">
      <c r="B2" s="170" t="s">
        <v>0</v>
      </c>
      <c r="C2" s="172" t="s">
        <v>124</v>
      </c>
      <c r="G2" s="175" t="s">
        <v>24</v>
      </c>
      <c r="H2" s="175"/>
      <c r="I2" s="175"/>
      <c r="K2" s="161" t="s">
        <v>32</v>
      </c>
      <c r="L2" s="162"/>
      <c r="Q2" s="159" t="s">
        <v>33</v>
      </c>
      <c r="R2" s="160"/>
      <c r="S2" s="17" t="s">
        <v>129</v>
      </c>
    </row>
    <row r="3" spans="2:27">
      <c r="B3" s="171"/>
      <c r="C3" s="173"/>
      <c r="G3" s="176" t="s">
        <v>38</v>
      </c>
      <c r="H3" s="176"/>
      <c r="I3" s="176"/>
      <c r="K3" s="186" t="s">
        <v>128</v>
      </c>
      <c r="L3" s="187"/>
      <c r="M3" s="187"/>
      <c r="N3" s="187"/>
      <c r="O3" s="187"/>
      <c r="Q3" s="159" t="s">
        <v>34</v>
      </c>
      <c r="R3" s="160"/>
      <c r="S3" s="17" t="s">
        <v>130</v>
      </c>
    </row>
    <row r="4" spans="2:27" ht="21">
      <c r="B4" s="12" t="s">
        <v>23</v>
      </c>
      <c r="C4" s="13">
        <v>1003</v>
      </c>
      <c r="G4" s="174" t="s">
        <v>19</v>
      </c>
      <c r="H4" s="174"/>
      <c r="K4" s="188"/>
      <c r="L4" s="189"/>
      <c r="M4" s="189"/>
      <c r="N4" s="189"/>
      <c r="O4" s="189"/>
    </row>
    <row r="5" spans="2:27">
      <c r="B5" s="6" t="s">
        <v>1</v>
      </c>
      <c r="C5" s="7">
        <v>63</v>
      </c>
      <c r="G5" s="9" t="s">
        <v>25</v>
      </c>
      <c r="H5" s="25">
        <v>0.43402777777777773</v>
      </c>
      <c r="I5" s="43">
        <v>43670</v>
      </c>
      <c r="K5" s="157" t="s">
        <v>25</v>
      </c>
      <c r="L5" s="158"/>
      <c r="M5" s="45">
        <v>24</v>
      </c>
      <c r="N5" s="25">
        <v>0.43194444444444446</v>
      </c>
    </row>
    <row r="6" spans="2:27">
      <c r="B6" s="6" t="s">
        <v>2</v>
      </c>
      <c r="C6" s="8">
        <v>173</v>
      </c>
      <c r="G6" s="9" t="s">
        <v>26</v>
      </c>
      <c r="H6" s="7"/>
      <c r="K6" s="157" t="s">
        <v>26</v>
      </c>
      <c r="L6" s="158"/>
      <c r="M6" s="45">
        <v>26</v>
      </c>
      <c r="N6" s="25">
        <v>0.46875</v>
      </c>
      <c r="O6">
        <f>38+48*60+15</f>
        <v>2933</v>
      </c>
      <c r="P6">
        <f>O6-115</f>
        <v>2818</v>
      </c>
    </row>
    <row r="7" spans="2:27">
      <c r="B7" s="6" t="s">
        <v>3</v>
      </c>
      <c r="C7" s="8" t="s">
        <v>102</v>
      </c>
      <c r="G7" t="s">
        <v>123</v>
      </c>
    </row>
    <row r="8" spans="2:27">
      <c r="B8" s="6" t="s">
        <v>8</v>
      </c>
      <c r="C8" s="8">
        <v>36</v>
      </c>
    </row>
    <row r="10" spans="2:27" ht="15" thickBot="1">
      <c r="V10" s="154" t="s">
        <v>63</v>
      </c>
      <c r="W10" s="155"/>
      <c r="X10" s="156"/>
      <c r="Y10" s="154" t="s">
        <v>62</v>
      </c>
      <c r="Z10" s="155"/>
      <c r="AA10" s="156"/>
    </row>
    <row r="11" spans="2:27" ht="15" customHeight="1">
      <c r="B11" s="165" t="s">
        <v>4</v>
      </c>
      <c r="C11" s="165" t="s">
        <v>5</v>
      </c>
      <c r="D11" s="165" t="s">
        <v>6</v>
      </c>
      <c r="E11" s="165" t="s">
        <v>671</v>
      </c>
      <c r="F11" s="165" t="s">
        <v>28</v>
      </c>
      <c r="G11" s="177" t="s">
        <v>7</v>
      </c>
      <c r="H11" s="178"/>
      <c r="I11" s="165" t="s">
        <v>9</v>
      </c>
      <c r="J11" s="165" t="s">
        <v>29</v>
      </c>
      <c r="K11" s="177" t="s">
        <v>27</v>
      </c>
      <c r="L11" s="178"/>
      <c r="M11" s="177" t="s">
        <v>31</v>
      </c>
      <c r="N11" s="178"/>
      <c r="O11" s="165" t="s">
        <v>30</v>
      </c>
      <c r="R11" s="10" t="s">
        <v>10</v>
      </c>
      <c r="S11" s="10" t="s">
        <v>11</v>
      </c>
      <c r="T11" s="10" t="s">
        <v>12</v>
      </c>
      <c r="U11" s="10" t="s">
        <v>13</v>
      </c>
      <c r="V11" s="23" t="s">
        <v>14</v>
      </c>
      <c r="W11" s="22" t="s">
        <v>15</v>
      </c>
      <c r="X11" s="22" t="s">
        <v>35</v>
      </c>
      <c r="Y11" s="24" t="s">
        <v>14</v>
      </c>
      <c r="Z11" s="24" t="s">
        <v>36</v>
      </c>
      <c r="AA11" s="24" t="s">
        <v>37</v>
      </c>
    </row>
    <row r="12" spans="2:27">
      <c r="B12" s="166"/>
      <c r="C12" s="166"/>
      <c r="D12" s="166"/>
      <c r="E12" s="166"/>
      <c r="F12" s="166"/>
      <c r="G12" s="18" t="s">
        <v>16</v>
      </c>
      <c r="H12" s="19" t="s">
        <v>17</v>
      </c>
      <c r="I12" s="166"/>
      <c r="J12" s="166"/>
      <c r="K12" s="20" t="s">
        <v>63</v>
      </c>
      <c r="L12" s="21" t="s">
        <v>87</v>
      </c>
      <c r="M12" s="20" t="s">
        <v>63</v>
      </c>
      <c r="N12" s="21" t="s">
        <v>87</v>
      </c>
      <c r="O12" s="166"/>
      <c r="R12" s="191">
        <v>43670</v>
      </c>
      <c r="S12" s="2">
        <v>0.43194444444444446</v>
      </c>
      <c r="T12" s="2">
        <v>0.43611111111111112</v>
      </c>
      <c r="U12" s="11">
        <v>6</v>
      </c>
      <c r="V12" s="11">
        <v>7</v>
      </c>
      <c r="W12" s="1">
        <f>V12*0.25</f>
        <v>1.75</v>
      </c>
      <c r="X12" s="1">
        <f>W12*U12/60</f>
        <v>0.17499999999999999</v>
      </c>
      <c r="Y12" s="11">
        <v>7</v>
      </c>
      <c r="Z12" s="1">
        <f>Y12*1.9</f>
        <v>13.299999999999999</v>
      </c>
      <c r="AA12" s="1">
        <f>Z12*U12/60</f>
        <v>1.3299999999999998</v>
      </c>
    </row>
    <row r="13" spans="2:27">
      <c r="B13" s="167">
        <v>43670</v>
      </c>
      <c r="C13" s="33">
        <v>0.43194444444444446</v>
      </c>
      <c r="D13" s="34" t="s">
        <v>103</v>
      </c>
      <c r="E13" s="34">
        <v>2.0861875846290099</v>
      </c>
      <c r="F13" s="34" t="s">
        <v>370</v>
      </c>
      <c r="G13" s="34">
        <v>105</v>
      </c>
      <c r="H13" s="34">
        <v>57</v>
      </c>
      <c r="I13" s="34">
        <v>57</v>
      </c>
      <c r="J13" s="34"/>
      <c r="K13" s="35">
        <v>7</v>
      </c>
      <c r="L13" s="35">
        <v>7</v>
      </c>
      <c r="M13" s="3"/>
      <c r="N13" s="3"/>
      <c r="O13" s="3"/>
      <c r="R13" s="192"/>
      <c r="S13" s="180">
        <v>0.43611111111111112</v>
      </c>
      <c r="T13" s="181"/>
      <c r="U13" s="11">
        <v>1</v>
      </c>
      <c r="V13" s="11" t="s">
        <v>91</v>
      </c>
      <c r="W13" s="1">
        <f>X13*60</f>
        <v>75</v>
      </c>
      <c r="X13" s="1">
        <v>1.25</v>
      </c>
      <c r="Y13" s="11" t="s">
        <v>91</v>
      </c>
      <c r="Z13" s="1">
        <f>AA13*60</f>
        <v>570</v>
      </c>
      <c r="AA13" s="1">
        <v>9.5</v>
      </c>
    </row>
    <row r="14" spans="2:27">
      <c r="B14" s="168"/>
      <c r="C14" s="2">
        <v>0.43611111111111112</v>
      </c>
      <c r="D14" s="3" t="s">
        <v>104</v>
      </c>
      <c r="E14" s="3">
        <v>2.1532658828877498</v>
      </c>
      <c r="F14" s="3" t="s">
        <v>370</v>
      </c>
      <c r="G14" s="3">
        <v>103</v>
      </c>
      <c r="H14" s="3">
        <v>57</v>
      </c>
      <c r="I14" s="3">
        <v>58</v>
      </c>
      <c r="J14" s="3"/>
      <c r="K14" s="1">
        <v>7</v>
      </c>
      <c r="L14" s="1">
        <v>7</v>
      </c>
      <c r="M14" s="182" t="s">
        <v>91</v>
      </c>
      <c r="N14" s="183"/>
      <c r="O14" s="3"/>
      <c r="R14" s="192"/>
      <c r="S14" s="2">
        <v>0.4368055555555555</v>
      </c>
      <c r="T14" s="72">
        <v>0.45277777777777778</v>
      </c>
      <c r="U14" s="11">
        <v>23</v>
      </c>
      <c r="V14" s="11">
        <v>7</v>
      </c>
      <c r="W14" s="1">
        <f>V14*0.25</f>
        <v>1.75</v>
      </c>
      <c r="X14" s="1">
        <f>W14*U14/60</f>
        <v>0.67083333333333328</v>
      </c>
      <c r="Y14" s="11">
        <v>7</v>
      </c>
      <c r="Z14" s="1">
        <f>Y14*1.9</f>
        <v>13.299999999999999</v>
      </c>
      <c r="AA14" s="1">
        <f>Z14*U14/60</f>
        <v>5.0983333333333327</v>
      </c>
    </row>
    <row r="15" spans="2:27">
      <c r="B15" s="168"/>
      <c r="C15" s="2">
        <v>0.45277777777777778</v>
      </c>
      <c r="D15" s="3" t="s">
        <v>105</v>
      </c>
      <c r="E15" s="3">
        <v>3.5634090960787601</v>
      </c>
      <c r="F15" s="3" t="s">
        <v>370</v>
      </c>
      <c r="G15" s="3">
        <v>125</v>
      </c>
      <c r="H15" s="3">
        <v>68</v>
      </c>
      <c r="I15" s="3">
        <v>65</v>
      </c>
      <c r="J15" s="3"/>
      <c r="K15" s="16">
        <v>10</v>
      </c>
      <c r="L15" s="16">
        <v>10</v>
      </c>
      <c r="M15" s="3"/>
      <c r="N15" s="3"/>
      <c r="O15" s="3"/>
      <c r="R15" s="192"/>
      <c r="S15" s="72">
        <v>0.45277777777777778</v>
      </c>
      <c r="T15" s="2">
        <v>0.46111111111111108</v>
      </c>
      <c r="U15" s="144">
        <v>12</v>
      </c>
      <c r="V15">
        <v>10</v>
      </c>
      <c r="W15" s="1">
        <f>V15*0.25</f>
        <v>2.5</v>
      </c>
      <c r="X15">
        <f>W15*U15/60</f>
        <v>0.5</v>
      </c>
      <c r="Y15">
        <v>10</v>
      </c>
      <c r="Z15" s="1">
        <f>Y15*1.9</f>
        <v>19</v>
      </c>
      <c r="AA15" s="1">
        <f>Z15*U15/60</f>
        <v>3.8</v>
      </c>
    </row>
    <row r="16" spans="2:27">
      <c r="B16" s="168"/>
      <c r="C16" s="2">
        <v>0.46111111111111108</v>
      </c>
      <c r="D16" s="3"/>
      <c r="E16" s="3"/>
      <c r="F16" s="3" t="s">
        <v>370</v>
      </c>
      <c r="G16" s="3"/>
      <c r="H16" s="3"/>
      <c r="I16" s="3"/>
      <c r="J16" s="3"/>
      <c r="K16" s="16">
        <v>7</v>
      </c>
      <c r="L16" s="16">
        <v>7</v>
      </c>
      <c r="M16" s="3"/>
      <c r="N16" s="3"/>
      <c r="O16" s="3"/>
      <c r="R16" s="192"/>
      <c r="S16" s="2">
        <v>0.46111111111111108</v>
      </c>
      <c r="T16" s="2">
        <v>0.48055555555555557</v>
      </c>
      <c r="U16" s="11">
        <v>28</v>
      </c>
      <c r="V16" s="11">
        <v>7</v>
      </c>
      <c r="W16" s="1">
        <f t="shared" ref="W16:W21" si="0">V16*0.25</f>
        <v>1.75</v>
      </c>
      <c r="X16" s="1">
        <f t="shared" ref="X16:X21" si="1">W16*U16/60</f>
        <v>0.81666666666666665</v>
      </c>
      <c r="Y16" s="11">
        <v>7</v>
      </c>
      <c r="Z16" s="1">
        <f t="shared" ref="Z16:Z21" si="2">Y16*1.9</f>
        <v>13.299999999999999</v>
      </c>
      <c r="AA16" s="1">
        <f t="shared" ref="AA16:AA21" si="3">Z16*U16/60</f>
        <v>6.2066666666666661</v>
      </c>
    </row>
    <row r="17" spans="2:27">
      <c r="B17" s="168"/>
      <c r="C17" s="2">
        <v>0.47361111111111115</v>
      </c>
      <c r="D17" s="3" t="s">
        <v>106</v>
      </c>
      <c r="E17" s="3">
        <v>5.0614625586233304</v>
      </c>
      <c r="F17" s="3" t="s">
        <v>370</v>
      </c>
      <c r="G17" s="3">
        <v>134</v>
      </c>
      <c r="H17" s="3">
        <v>72</v>
      </c>
      <c r="I17" s="3">
        <v>63</v>
      </c>
      <c r="J17" s="3"/>
      <c r="K17" s="1">
        <v>7</v>
      </c>
      <c r="L17" s="1">
        <v>7</v>
      </c>
      <c r="M17" s="3"/>
      <c r="N17" s="3"/>
      <c r="O17" s="3"/>
      <c r="R17" s="192"/>
      <c r="S17" s="2">
        <v>0.48055555555555557</v>
      </c>
      <c r="T17" s="2">
        <v>0.52083333333333337</v>
      </c>
      <c r="U17" s="11">
        <v>58</v>
      </c>
      <c r="V17" s="11">
        <v>10</v>
      </c>
      <c r="W17" s="1">
        <f t="shared" si="0"/>
        <v>2.5</v>
      </c>
      <c r="X17" s="1">
        <f t="shared" si="1"/>
        <v>2.4166666666666665</v>
      </c>
      <c r="Y17" s="11">
        <v>10</v>
      </c>
      <c r="Z17" s="1">
        <f t="shared" si="2"/>
        <v>19</v>
      </c>
      <c r="AA17" s="1">
        <f t="shared" si="3"/>
        <v>18.366666666666667</v>
      </c>
    </row>
    <row r="18" spans="2:27">
      <c r="B18" s="168"/>
      <c r="C18" s="2">
        <v>0.48055555555555557</v>
      </c>
      <c r="D18" s="3"/>
      <c r="E18" s="3"/>
      <c r="F18" s="3" t="s">
        <v>370</v>
      </c>
      <c r="G18" s="3"/>
      <c r="H18" s="3"/>
      <c r="I18" s="3"/>
      <c r="J18" s="3"/>
      <c r="K18" s="16">
        <v>10</v>
      </c>
      <c r="L18" s="16">
        <v>10</v>
      </c>
      <c r="M18" s="3"/>
      <c r="N18" s="3"/>
      <c r="O18" s="3"/>
      <c r="R18" s="192"/>
      <c r="S18" s="2">
        <v>0.52430555555555558</v>
      </c>
      <c r="T18" s="2">
        <v>0.86458333333333337</v>
      </c>
      <c r="U18" s="11">
        <f>25+7*60+45</f>
        <v>490</v>
      </c>
      <c r="V18" s="11">
        <v>8</v>
      </c>
      <c r="W18" s="1">
        <f t="shared" si="0"/>
        <v>2</v>
      </c>
      <c r="X18" s="1">
        <f t="shared" si="1"/>
        <v>16.333333333333332</v>
      </c>
      <c r="Y18" s="11">
        <v>8</v>
      </c>
      <c r="Z18" s="1">
        <f t="shared" si="2"/>
        <v>15.2</v>
      </c>
      <c r="AA18" s="1">
        <f t="shared" si="3"/>
        <v>124.13333333333334</v>
      </c>
    </row>
    <row r="19" spans="2:27">
      <c r="B19" s="168"/>
      <c r="C19" s="2">
        <v>0.51736111111111105</v>
      </c>
      <c r="D19" s="3" t="s">
        <v>107</v>
      </c>
      <c r="E19" s="3">
        <v>8.1278633277425207</v>
      </c>
      <c r="F19" s="3" t="s">
        <v>370</v>
      </c>
      <c r="G19" s="3">
        <v>136</v>
      </c>
      <c r="H19" s="3">
        <v>74</v>
      </c>
      <c r="I19" s="3">
        <v>60</v>
      </c>
      <c r="J19" s="3"/>
      <c r="K19" s="1">
        <v>10</v>
      </c>
      <c r="L19" s="1">
        <v>10</v>
      </c>
      <c r="M19" s="3"/>
      <c r="N19" s="3"/>
      <c r="O19" s="3"/>
      <c r="R19" s="193"/>
      <c r="S19" s="2">
        <v>0.88888888888888884</v>
      </c>
      <c r="T19" s="2">
        <v>0.93888888888888899</v>
      </c>
      <c r="U19" s="11">
        <v>72</v>
      </c>
      <c r="V19" s="11">
        <v>8</v>
      </c>
      <c r="W19" s="1">
        <f t="shared" si="0"/>
        <v>2</v>
      </c>
      <c r="X19" s="1">
        <f t="shared" si="1"/>
        <v>2.4</v>
      </c>
      <c r="Y19" s="11">
        <v>8</v>
      </c>
      <c r="Z19" s="1">
        <f t="shared" si="2"/>
        <v>15.2</v>
      </c>
      <c r="AA19" s="1">
        <f t="shared" si="3"/>
        <v>18.239999999999998</v>
      </c>
    </row>
    <row r="20" spans="2:27">
      <c r="B20" s="168"/>
      <c r="C20" s="30">
        <v>0.52083333333333337</v>
      </c>
      <c r="D20" s="31"/>
      <c r="E20" s="31"/>
      <c r="F20" s="31" t="s">
        <v>370</v>
      </c>
      <c r="G20" s="31"/>
      <c r="H20" s="31"/>
      <c r="I20" s="31"/>
      <c r="J20" s="31"/>
      <c r="K20" s="32" t="s">
        <v>20</v>
      </c>
      <c r="L20" s="32" t="s">
        <v>20</v>
      </c>
      <c r="M20" s="3"/>
      <c r="N20" s="3"/>
      <c r="O20" s="3"/>
      <c r="P20">
        <v>5</v>
      </c>
      <c r="R20" s="135" t="s">
        <v>97</v>
      </c>
      <c r="S20" s="2">
        <v>0.93888888888888899</v>
      </c>
      <c r="T20" s="2">
        <v>0.29166666666666669</v>
      </c>
      <c r="U20" s="11">
        <f>28+8*60</f>
        <v>508</v>
      </c>
      <c r="V20" s="11">
        <v>6</v>
      </c>
      <c r="W20" s="1">
        <f t="shared" si="0"/>
        <v>1.5</v>
      </c>
      <c r="X20" s="1">
        <f t="shared" si="1"/>
        <v>12.7</v>
      </c>
      <c r="Y20" s="11">
        <v>6</v>
      </c>
      <c r="Z20" s="1">
        <f t="shared" si="2"/>
        <v>11.399999999999999</v>
      </c>
      <c r="AA20" s="1">
        <f t="shared" si="3"/>
        <v>96.519999999999982</v>
      </c>
    </row>
    <row r="21" spans="2:27">
      <c r="B21" s="168"/>
      <c r="C21" s="33">
        <v>0.52430555555555558</v>
      </c>
      <c r="D21" s="34"/>
      <c r="E21" s="34"/>
      <c r="F21" s="34" t="s">
        <v>56</v>
      </c>
      <c r="G21" s="34"/>
      <c r="H21" s="34"/>
      <c r="I21" s="34"/>
      <c r="J21" s="34"/>
      <c r="K21" s="35" t="s">
        <v>89</v>
      </c>
      <c r="L21" s="35" t="s">
        <v>89</v>
      </c>
      <c r="M21" s="3"/>
      <c r="N21" s="3"/>
      <c r="O21" s="3"/>
      <c r="R21" s="140">
        <v>43671</v>
      </c>
      <c r="S21" s="2">
        <v>0.29166666666666669</v>
      </c>
      <c r="T21" s="2">
        <v>0.54166666666666663</v>
      </c>
      <c r="U21" s="11">
        <v>360</v>
      </c>
      <c r="V21" s="11">
        <v>8</v>
      </c>
      <c r="W21" s="1">
        <f t="shared" si="0"/>
        <v>2</v>
      </c>
      <c r="X21" s="1">
        <f t="shared" si="1"/>
        <v>12</v>
      </c>
      <c r="Y21" s="11">
        <v>8</v>
      </c>
      <c r="Z21" s="1">
        <f t="shared" si="2"/>
        <v>15.2</v>
      </c>
      <c r="AA21" s="1">
        <f t="shared" si="3"/>
        <v>91.2</v>
      </c>
    </row>
    <row r="22" spans="2:27">
      <c r="B22" s="168"/>
      <c r="C22" s="2">
        <v>0.70486111111111116</v>
      </c>
      <c r="D22" s="3" t="s">
        <v>108</v>
      </c>
      <c r="E22" s="127">
        <v>6.0767618160086796</v>
      </c>
      <c r="F22" s="3">
        <v>0</v>
      </c>
      <c r="G22" s="3">
        <v>104</v>
      </c>
      <c r="H22" s="3">
        <v>58</v>
      </c>
      <c r="I22" s="3">
        <v>67</v>
      </c>
      <c r="J22" s="3"/>
      <c r="K22" s="1">
        <v>8</v>
      </c>
      <c r="L22" s="1">
        <v>8</v>
      </c>
      <c r="M22" s="3"/>
      <c r="N22" s="3"/>
      <c r="O22" s="3"/>
      <c r="R22" s="141"/>
      <c r="S22" s="142">
        <v>0.59375</v>
      </c>
      <c r="T22" s="143"/>
      <c r="U22" s="139">
        <v>1</v>
      </c>
      <c r="V22" t="s">
        <v>122</v>
      </c>
      <c r="W22">
        <v>60</v>
      </c>
      <c r="X22">
        <v>1</v>
      </c>
      <c r="Y22" t="s">
        <v>238</v>
      </c>
      <c r="Z22" s="63">
        <f>AA22*60</f>
        <v>456</v>
      </c>
      <c r="AA22">
        <v>7.6</v>
      </c>
    </row>
    <row r="23" spans="2:27">
      <c r="B23" s="168"/>
      <c r="C23" s="30">
        <v>0.86458333333333337</v>
      </c>
      <c r="D23" s="31"/>
      <c r="E23" s="31"/>
      <c r="F23" s="31"/>
      <c r="G23" s="31"/>
      <c r="H23" s="31"/>
      <c r="I23" s="31"/>
      <c r="J23" s="31"/>
      <c r="K23" s="32" t="s">
        <v>20</v>
      </c>
      <c r="L23" s="32" t="s">
        <v>20</v>
      </c>
      <c r="M23" s="3"/>
      <c r="N23" s="3"/>
      <c r="O23" s="3"/>
      <c r="P23">
        <v>35</v>
      </c>
      <c r="R23" s="135" t="s">
        <v>98</v>
      </c>
      <c r="S23" s="2">
        <v>0.59444444444444444</v>
      </c>
      <c r="T23" s="2">
        <v>0.46875</v>
      </c>
      <c r="U23" s="11">
        <f>44+20*60+15</f>
        <v>1259</v>
      </c>
      <c r="V23" s="11">
        <v>8</v>
      </c>
      <c r="W23" s="1">
        <f>V23*0.25</f>
        <v>2</v>
      </c>
      <c r="X23" s="1">
        <f>W23*U23/60</f>
        <v>41.966666666666669</v>
      </c>
      <c r="Y23" s="11">
        <v>8</v>
      </c>
      <c r="Z23" s="1">
        <f>Y23*1.9</f>
        <v>15.2</v>
      </c>
      <c r="AA23" s="1">
        <f>Z23*U23/60</f>
        <v>318.94666666666666</v>
      </c>
    </row>
    <row r="24" spans="2:27">
      <c r="B24" s="168"/>
      <c r="C24" s="33">
        <v>0.88888888888888884</v>
      </c>
      <c r="D24" s="34"/>
      <c r="E24" s="34"/>
      <c r="F24" s="34"/>
      <c r="G24" s="34"/>
      <c r="H24" s="34"/>
      <c r="I24" s="34"/>
      <c r="J24" s="34"/>
      <c r="K24" s="35" t="s">
        <v>89</v>
      </c>
      <c r="L24" s="35" t="s">
        <v>89</v>
      </c>
      <c r="M24" s="3"/>
      <c r="N24" s="3"/>
      <c r="O24" s="3"/>
      <c r="R24" s="10" t="s">
        <v>21</v>
      </c>
      <c r="S24" s="11"/>
      <c r="T24" s="11"/>
      <c r="U24" s="10">
        <f>SUM(U12:U23)</f>
        <v>2818</v>
      </c>
      <c r="X24" s="10">
        <f>SUM(X12:X23)</f>
        <v>92.229166666666657</v>
      </c>
      <c r="AA24" s="10">
        <f>SUM(AA12:AA23)</f>
        <v>700.94166666666661</v>
      </c>
    </row>
    <row r="25" spans="2:27">
      <c r="B25" s="168"/>
      <c r="C25" s="2">
        <v>0.93819444444444444</v>
      </c>
      <c r="D25" s="3" t="s">
        <v>109</v>
      </c>
      <c r="E25" s="127">
        <v>8.0350558593573105</v>
      </c>
      <c r="F25" s="3" t="s">
        <v>56</v>
      </c>
      <c r="G25" s="3">
        <v>110</v>
      </c>
      <c r="H25" s="3">
        <v>67</v>
      </c>
      <c r="I25" s="3">
        <v>60</v>
      </c>
      <c r="J25" s="3"/>
      <c r="K25" s="1">
        <v>8</v>
      </c>
      <c r="L25" s="1">
        <v>8</v>
      </c>
      <c r="M25" s="3"/>
      <c r="N25" s="3"/>
      <c r="O25" s="3"/>
    </row>
    <row r="26" spans="2:27">
      <c r="B26" s="169"/>
      <c r="C26" s="2">
        <v>0.93888888888888899</v>
      </c>
      <c r="D26" s="3"/>
      <c r="E26" s="3"/>
      <c r="F26" s="3"/>
      <c r="G26" s="3"/>
      <c r="H26" s="3"/>
      <c r="I26" s="3"/>
      <c r="J26" s="3"/>
      <c r="K26" s="16">
        <v>6</v>
      </c>
      <c r="L26" s="16">
        <v>6</v>
      </c>
      <c r="M26" s="3"/>
      <c r="N26" s="3"/>
      <c r="O26" s="3"/>
    </row>
    <row r="27" spans="2:27">
      <c r="B27" s="167">
        <v>43671</v>
      </c>
      <c r="C27" s="2">
        <v>0.29166666666666669</v>
      </c>
      <c r="D27" s="3"/>
      <c r="E27" s="3"/>
      <c r="F27" s="3"/>
      <c r="G27" s="3"/>
      <c r="H27" s="3"/>
      <c r="I27" s="3"/>
      <c r="J27" s="3"/>
      <c r="K27" s="16">
        <v>8</v>
      </c>
      <c r="L27" s="16">
        <v>8</v>
      </c>
      <c r="M27" s="3"/>
      <c r="N27" s="3"/>
      <c r="O27" s="3"/>
    </row>
    <row r="28" spans="2:27">
      <c r="B28" s="168"/>
      <c r="C28" s="30">
        <v>0.54166666666666663</v>
      </c>
      <c r="D28" s="31"/>
      <c r="E28" s="31"/>
      <c r="F28" s="31"/>
      <c r="G28" s="31"/>
      <c r="H28" s="31"/>
      <c r="I28" s="31"/>
      <c r="J28" s="31"/>
      <c r="K28" s="32" t="s">
        <v>20</v>
      </c>
      <c r="L28" s="32" t="s">
        <v>20</v>
      </c>
      <c r="M28" s="3"/>
      <c r="N28" s="3"/>
      <c r="O28" s="3"/>
      <c r="P28">
        <v>75</v>
      </c>
    </row>
    <row r="29" spans="2:27">
      <c r="B29" s="168"/>
      <c r="C29" s="33">
        <v>0.59375</v>
      </c>
      <c r="D29" s="34"/>
      <c r="E29" s="34"/>
      <c r="F29" s="34"/>
      <c r="G29" s="34"/>
      <c r="H29" s="34"/>
      <c r="I29" s="34"/>
      <c r="J29" s="34"/>
      <c r="K29" s="35" t="s">
        <v>89</v>
      </c>
      <c r="L29" s="35" t="s">
        <v>89</v>
      </c>
      <c r="M29" s="182" t="s">
        <v>122</v>
      </c>
      <c r="N29" s="183"/>
      <c r="O29" s="3"/>
    </row>
    <row r="30" spans="2:27">
      <c r="B30" s="169"/>
      <c r="C30" s="2">
        <v>0.60069444444444442</v>
      </c>
      <c r="D30" s="3" t="s">
        <v>110</v>
      </c>
      <c r="E30" s="3">
        <v>26.4764634585175</v>
      </c>
      <c r="F30" s="3">
        <v>7</v>
      </c>
      <c r="G30" s="3">
        <v>115</v>
      </c>
      <c r="H30" s="3">
        <v>43</v>
      </c>
      <c r="I30" s="3">
        <v>76</v>
      </c>
      <c r="J30" s="3"/>
      <c r="K30" s="1">
        <v>8</v>
      </c>
      <c r="L30" s="3">
        <v>8</v>
      </c>
      <c r="M30" s="3"/>
      <c r="N30" s="3"/>
      <c r="O30" s="3"/>
      <c r="P30">
        <v>115</v>
      </c>
    </row>
    <row r="31" spans="2:27">
      <c r="B31" s="167">
        <v>43672</v>
      </c>
      <c r="C31" s="30">
        <v>0.46875</v>
      </c>
      <c r="D31" s="46" t="s">
        <v>111</v>
      </c>
      <c r="E31" s="46">
        <v>21.20287244</v>
      </c>
      <c r="F31" s="31">
        <v>0</v>
      </c>
      <c r="G31" s="31">
        <v>115</v>
      </c>
      <c r="H31" s="31">
        <v>76</v>
      </c>
      <c r="I31" s="31">
        <v>87</v>
      </c>
      <c r="J31" s="31"/>
      <c r="K31" s="32" t="s">
        <v>20</v>
      </c>
      <c r="L31" s="32" t="s">
        <v>20</v>
      </c>
      <c r="M31" s="3"/>
      <c r="N31" s="3"/>
      <c r="O31" s="3"/>
    </row>
    <row r="32" spans="2:27">
      <c r="B32" s="168"/>
      <c r="C32" s="2">
        <v>0.47083333333333338</v>
      </c>
      <c r="D32" s="3" t="s">
        <v>112</v>
      </c>
      <c r="E32" s="3">
        <v>23.334097118965701</v>
      </c>
      <c r="F32" s="3">
        <v>0</v>
      </c>
      <c r="G32" s="3">
        <v>121</v>
      </c>
      <c r="H32" s="3">
        <v>74</v>
      </c>
      <c r="I32" s="3">
        <v>84</v>
      </c>
      <c r="J32" s="3"/>
      <c r="K32" s="1"/>
      <c r="L32" s="3"/>
      <c r="M32" s="3"/>
      <c r="N32" s="3"/>
      <c r="O32" s="3"/>
    </row>
    <row r="33" spans="2:15">
      <c r="B33" s="168"/>
      <c r="C33" s="2">
        <v>0.47430555555555554</v>
      </c>
      <c r="D33" s="3" t="s">
        <v>113</v>
      </c>
      <c r="E33" s="3">
        <v>15.5181641209989</v>
      </c>
      <c r="F33" s="3">
        <v>0</v>
      </c>
      <c r="G33" s="3">
        <v>120</v>
      </c>
      <c r="H33" s="3">
        <v>76</v>
      </c>
      <c r="I33" s="3">
        <v>80</v>
      </c>
      <c r="J33" s="3"/>
      <c r="K33" s="1"/>
      <c r="L33" s="3"/>
      <c r="M33" s="3"/>
      <c r="N33" s="3"/>
      <c r="O33" s="3"/>
    </row>
    <row r="34" spans="2:15">
      <c r="B34" s="168"/>
      <c r="C34" s="2">
        <v>0.4826388888888889</v>
      </c>
      <c r="D34" s="3" t="s">
        <v>114</v>
      </c>
      <c r="E34" s="3">
        <v>19.8022883700725</v>
      </c>
      <c r="F34" s="3">
        <v>0</v>
      </c>
      <c r="G34" s="3">
        <v>118</v>
      </c>
      <c r="H34" s="3">
        <v>74</v>
      </c>
      <c r="I34" s="3">
        <v>91</v>
      </c>
      <c r="J34" s="3"/>
      <c r="K34" s="1"/>
      <c r="L34" s="3"/>
      <c r="M34" s="3"/>
      <c r="N34" s="3"/>
      <c r="O34" s="3"/>
    </row>
    <row r="35" spans="2:15">
      <c r="B35" s="168"/>
      <c r="C35" s="2">
        <v>0.49652777777777773</v>
      </c>
      <c r="D35" s="3" t="s">
        <v>115</v>
      </c>
      <c r="E35" s="3">
        <v>21.1188356832977</v>
      </c>
      <c r="F35" s="3">
        <v>0</v>
      </c>
      <c r="G35" s="3">
        <v>128</v>
      </c>
      <c r="H35" s="3">
        <v>69</v>
      </c>
      <c r="I35" s="3">
        <v>84</v>
      </c>
      <c r="J35" s="3"/>
      <c r="K35" s="1"/>
      <c r="L35" s="3"/>
      <c r="M35" s="3"/>
      <c r="N35" s="3"/>
      <c r="O35" s="3"/>
    </row>
    <row r="36" spans="2:15">
      <c r="B36" s="168"/>
      <c r="C36" s="2">
        <v>0.51041666666666663</v>
      </c>
      <c r="D36" s="3" t="s">
        <v>116</v>
      </c>
      <c r="E36" s="3">
        <v>26.756326524916901</v>
      </c>
      <c r="F36" s="3">
        <v>0</v>
      </c>
      <c r="G36" s="3">
        <v>118</v>
      </c>
      <c r="H36" s="3">
        <v>86</v>
      </c>
      <c r="I36" s="3">
        <v>66</v>
      </c>
      <c r="J36" s="3"/>
      <c r="K36" s="1"/>
      <c r="L36" s="3"/>
      <c r="M36" s="3"/>
      <c r="N36" s="3"/>
      <c r="O36" s="3"/>
    </row>
    <row r="37" spans="2:15">
      <c r="B37" s="168"/>
      <c r="C37" s="2">
        <v>0.55208333333333337</v>
      </c>
      <c r="D37" s="3" t="s">
        <v>117</v>
      </c>
      <c r="E37" s="3">
        <v>25.060170056153499</v>
      </c>
      <c r="F37" s="3">
        <v>0</v>
      </c>
      <c r="G37" s="3">
        <v>110</v>
      </c>
      <c r="H37" s="3">
        <v>86</v>
      </c>
      <c r="I37" s="3">
        <v>56</v>
      </c>
      <c r="J37" s="3"/>
      <c r="K37" s="1"/>
      <c r="L37" s="3"/>
      <c r="M37" s="3"/>
      <c r="N37" s="3"/>
      <c r="O37" s="3"/>
    </row>
    <row r="38" spans="2:15">
      <c r="B38" s="168"/>
      <c r="C38" s="4" t="s">
        <v>121</v>
      </c>
      <c r="D38" s="3" t="s">
        <v>118</v>
      </c>
      <c r="E38" s="3">
        <v>26.088054301827299</v>
      </c>
      <c r="F38" s="3">
        <v>3</v>
      </c>
      <c r="G38" s="3">
        <v>126</v>
      </c>
      <c r="H38" s="3">
        <v>78</v>
      </c>
      <c r="I38" s="3">
        <v>62</v>
      </c>
      <c r="J38" s="3"/>
      <c r="K38" s="1"/>
      <c r="L38" s="3"/>
      <c r="M38" s="3"/>
      <c r="N38" s="3"/>
      <c r="O38" s="3"/>
    </row>
    <row r="39" spans="2:15">
      <c r="B39" s="169"/>
      <c r="C39" s="2">
        <v>0.95138888888888884</v>
      </c>
      <c r="D39" s="3" t="s">
        <v>119</v>
      </c>
      <c r="E39" s="3">
        <v>11.013214601662501</v>
      </c>
      <c r="F39" s="3">
        <v>5</v>
      </c>
      <c r="G39" s="3">
        <v>110</v>
      </c>
      <c r="H39" s="3">
        <v>61</v>
      </c>
      <c r="I39" s="3">
        <v>54</v>
      </c>
      <c r="J39" s="3"/>
      <c r="K39" s="1"/>
      <c r="L39" s="3"/>
      <c r="M39" s="3"/>
      <c r="N39" s="3"/>
      <c r="O39" s="3"/>
    </row>
    <row r="40" spans="2:15">
      <c r="B40" s="28">
        <v>43674</v>
      </c>
      <c r="C40" s="2">
        <v>0.43055555555555558</v>
      </c>
      <c r="D40" s="3" t="s">
        <v>120</v>
      </c>
      <c r="E40" s="3">
        <v>5.2038995080937802</v>
      </c>
      <c r="F40" s="3">
        <v>0</v>
      </c>
      <c r="G40" s="3">
        <v>115</v>
      </c>
      <c r="H40" s="3">
        <v>64</v>
      </c>
      <c r="I40" s="3">
        <v>58</v>
      </c>
      <c r="J40" s="3"/>
      <c r="K40" s="1"/>
      <c r="L40" s="3"/>
      <c r="M40" s="3"/>
      <c r="N40" s="3"/>
      <c r="O40" s="3"/>
    </row>
  </sheetData>
  <mergeCells count="31">
    <mergeCell ref="B13:B26"/>
    <mergeCell ref="B27:B30"/>
    <mergeCell ref="B31:B39"/>
    <mergeCell ref="B2:B3"/>
    <mergeCell ref="C2:C3"/>
    <mergeCell ref="G2:I2"/>
    <mergeCell ref="K2:L2"/>
    <mergeCell ref="Q2:R2"/>
    <mergeCell ref="G3:I3"/>
    <mergeCell ref="K3:O4"/>
    <mergeCell ref="Q3:R3"/>
    <mergeCell ref="G4:H4"/>
    <mergeCell ref="K5:L5"/>
    <mergeCell ref="K6:L6"/>
    <mergeCell ref="V10:X10"/>
    <mergeCell ref="Y10:AA10"/>
    <mergeCell ref="B11:B12"/>
    <mergeCell ref="C11:C12"/>
    <mergeCell ref="D11:D12"/>
    <mergeCell ref="F11:F12"/>
    <mergeCell ref="G11:H11"/>
    <mergeCell ref="I11:I12"/>
    <mergeCell ref="E11:E12"/>
    <mergeCell ref="S13:T13"/>
    <mergeCell ref="M14:N14"/>
    <mergeCell ref="M29:N29"/>
    <mergeCell ref="J11:J12"/>
    <mergeCell ref="K11:L11"/>
    <mergeCell ref="M11:N11"/>
    <mergeCell ref="O11:O12"/>
    <mergeCell ref="R12:R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AA34"/>
  <sheetViews>
    <sheetView zoomScale="90" zoomScaleNormal="90" workbookViewId="0">
      <selection activeCell="U15" sqref="U15"/>
    </sheetView>
  </sheetViews>
  <sheetFormatPr defaultRowHeight="14.4"/>
  <cols>
    <col min="1" max="1" width="4.33203125" customWidth="1"/>
    <col min="2" max="2" width="11.44140625" bestFit="1" customWidth="1"/>
    <col min="3" max="3" width="14" customWidth="1"/>
    <col min="4" max="5" width="9.77734375" customWidth="1"/>
    <col min="6" max="6" width="8.109375" customWidth="1"/>
    <col min="7" max="7" width="11.33203125" customWidth="1"/>
    <col min="8" max="8" width="8.21875" bestFit="1" customWidth="1"/>
    <col min="9" max="9" width="10.77734375" customWidth="1"/>
    <col min="10" max="10" width="8.5546875" customWidth="1"/>
    <col min="11" max="11" width="7.44140625" customWidth="1"/>
    <col min="12" max="12" width="6.44140625" customWidth="1"/>
    <col min="13" max="14" width="7.33203125" customWidth="1"/>
    <col min="15" max="15" width="14.21875" customWidth="1"/>
    <col min="16" max="16" width="6.5546875" customWidth="1"/>
    <col min="17" max="17" width="6.44140625" customWidth="1"/>
    <col min="18" max="18" width="10.33203125" customWidth="1"/>
    <col min="19" max="19" width="10.44140625" customWidth="1"/>
    <col min="23" max="23" width="7.44140625" customWidth="1"/>
    <col min="24" max="24" width="7.88671875" customWidth="1"/>
    <col min="25" max="25" width="7.109375" customWidth="1"/>
    <col min="26" max="26" width="7.6640625" customWidth="1"/>
    <col min="27" max="27" width="7.5546875" customWidth="1"/>
    <col min="28" max="28" width="7.109375" customWidth="1"/>
  </cols>
  <sheetData>
    <row r="2" spans="2:27">
      <c r="B2" s="170" t="s">
        <v>0</v>
      </c>
      <c r="C2" s="172" t="s">
        <v>125</v>
      </c>
      <c r="G2" s="175" t="s">
        <v>24</v>
      </c>
      <c r="H2" s="175"/>
      <c r="I2" s="175"/>
      <c r="K2" s="161" t="s">
        <v>32</v>
      </c>
      <c r="L2" s="162"/>
      <c r="Q2" s="159" t="s">
        <v>33</v>
      </c>
      <c r="R2" s="160"/>
      <c r="S2" s="17" t="s">
        <v>129</v>
      </c>
    </row>
    <row r="3" spans="2:27">
      <c r="B3" s="171"/>
      <c r="C3" s="173"/>
      <c r="G3" s="176" t="s">
        <v>38</v>
      </c>
      <c r="H3" s="176"/>
      <c r="I3" s="176"/>
      <c r="K3" s="194" t="s">
        <v>128</v>
      </c>
      <c r="L3" s="194"/>
      <c r="M3" s="194"/>
      <c r="N3" s="194"/>
      <c r="O3" s="194"/>
      <c r="Q3" s="159" t="s">
        <v>34</v>
      </c>
      <c r="R3" s="160"/>
      <c r="S3" s="17" t="s">
        <v>130</v>
      </c>
    </row>
    <row r="4" spans="2:27" ht="21">
      <c r="B4" s="12" t="s">
        <v>23</v>
      </c>
      <c r="C4" s="13">
        <v>1004</v>
      </c>
      <c r="G4" s="174" t="s">
        <v>19</v>
      </c>
      <c r="H4" s="174"/>
      <c r="K4" s="194"/>
      <c r="L4" s="194"/>
      <c r="M4" s="194"/>
      <c r="N4" s="194"/>
      <c r="O4" s="194"/>
    </row>
    <row r="5" spans="2:27">
      <c r="B5" s="6" t="s">
        <v>1</v>
      </c>
      <c r="C5" s="7">
        <v>71</v>
      </c>
      <c r="G5" s="9" t="s">
        <v>25</v>
      </c>
      <c r="H5" s="25">
        <v>0.5625</v>
      </c>
      <c r="I5" s="43">
        <v>43676</v>
      </c>
      <c r="K5" s="157" t="s">
        <v>25</v>
      </c>
      <c r="L5" s="158"/>
      <c r="M5" s="7">
        <v>30</v>
      </c>
      <c r="N5" s="25">
        <v>0.57500000000000007</v>
      </c>
    </row>
    <row r="6" spans="2:27">
      <c r="B6" s="6" t="s">
        <v>2</v>
      </c>
      <c r="C6" s="8">
        <v>176</v>
      </c>
      <c r="G6" s="9" t="s">
        <v>26</v>
      </c>
      <c r="H6" s="7"/>
      <c r="K6" s="157" t="s">
        <v>26</v>
      </c>
      <c r="L6" s="158"/>
      <c r="M6" s="56">
        <v>44409</v>
      </c>
      <c r="N6" s="25">
        <v>0.65555555555555556</v>
      </c>
      <c r="O6">
        <f>12+49*60+44</f>
        <v>2996</v>
      </c>
      <c r="P6">
        <f>O6-15</f>
        <v>2981</v>
      </c>
    </row>
    <row r="7" spans="2:27">
      <c r="B7" s="6" t="s">
        <v>3</v>
      </c>
      <c r="C7" s="8" t="s">
        <v>18</v>
      </c>
    </row>
    <row r="8" spans="2:27">
      <c r="B8" s="6" t="s">
        <v>8</v>
      </c>
      <c r="C8" s="8">
        <v>59</v>
      </c>
    </row>
    <row r="10" spans="2:27" ht="15" thickBot="1">
      <c r="V10" s="154" t="s">
        <v>63</v>
      </c>
      <c r="W10" s="155"/>
      <c r="X10" s="156"/>
      <c r="Y10" s="154" t="s">
        <v>62</v>
      </c>
      <c r="Z10" s="155"/>
      <c r="AA10" s="156"/>
    </row>
    <row r="11" spans="2:27" ht="15" customHeight="1">
      <c r="B11" s="165" t="s">
        <v>4</v>
      </c>
      <c r="C11" s="165" t="s">
        <v>5</v>
      </c>
      <c r="D11" s="165" t="s">
        <v>6</v>
      </c>
      <c r="E11" s="165" t="s">
        <v>671</v>
      </c>
      <c r="F11" s="165" t="s">
        <v>28</v>
      </c>
      <c r="G11" s="177" t="s">
        <v>7</v>
      </c>
      <c r="H11" s="178"/>
      <c r="I11" s="165" t="s">
        <v>9</v>
      </c>
      <c r="J11" s="165" t="s">
        <v>29</v>
      </c>
      <c r="K11" s="177" t="s">
        <v>27</v>
      </c>
      <c r="L11" s="178"/>
      <c r="M11" s="177" t="s">
        <v>31</v>
      </c>
      <c r="N11" s="178"/>
      <c r="O11" s="165" t="s">
        <v>30</v>
      </c>
      <c r="R11" s="10" t="s">
        <v>10</v>
      </c>
      <c r="S11" s="10" t="s">
        <v>11</v>
      </c>
      <c r="T11" s="10" t="s">
        <v>12</v>
      </c>
      <c r="U11" s="10" t="s">
        <v>13</v>
      </c>
      <c r="V11" s="23" t="s">
        <v>14</v>
      </c>
      <c r="W11" s="22" t="s">
        <v>15</v>
      </c>
      <c r="X11" s="22" t="s">
        <v>35</v>
      </c>
      <c r="Y11" s="24" t="s">
        <v>14</v>
      </c>
      <c r="Z11" s="24" t="s">
        <v>36</v>
      </c>
      <c r="AA11" s="24" t="s">
        <v>37</v>
      </c>
    </row>
    <row r="12" spans="2:27">
      <c r="B12" s="166"/>
      <c r="C12" s="166"/>
      <c r="D12" s="166"/>
      <c r="E12" s="166"/>
      <c r="F12" s="166"/>
      <c r="G12" s="18" t="s">
        <v>16</v>
      </c>
      <c r="H12" s="19" t="s">
        <v>17</v>
      </c>
      <c r="I12" s="166"/>
      <c r="J12" s="166"/>
      <c r="K12" s="20" t="s">
        <v>63</v>
      </c>
      <c r="L12" s="21" t="s">
        <v>87</v>
      </c>
      <c r="M12" s="20" t="s">
        <v>63</v>
      </c>
      <c r="N12" s="21" t="s">
        <v>87</v>
      </c>
      <c r="O12" s="166"/>
      <c r="R12" s="118" t="s">
        <v>151</v>
      </c>
      <c r="S12" s="2">
        <v>0.57500000000000007</v>
      </c>
      <c r="T12" s="2">
        <v>1.6666666666666666E-2</v>
      </c>
      <c r="U12" s="11">
        <f>12+10*60+24</f>
        <v>636</v>
      </c>
      <c r="V12" s="11">
        <v>8</v>
      </c>
      <c r="W12" s="1">
        <f>V12*0.25</f>
        <v>2</v>
      </c>
      <c r="X12" s="1">
        <f>W12*U12/60</f>
        <v>21.2</v>
      </c>
      <c r="Y12" s="11">
        <v>8</v>
      </c>
      <c r="Z12" s="1">
        <f>Y12*1.9</f>
        <v>15.2</v>
      </c>
      <c r="AA12" s="1">
        <f>Z12*U12/60</f>
        <v>161.11999999999998</v>
      </c>
    </row>
    <row r="13" spans="2:27">
      <c r="B13" s="167">
        <v>43676</v>
      </c>
      <c r="C13" s="2">
        <v>0.56805555555555554</v>
      </c>
      <c r="D13" s="3" t="s">
        <v>131</v>
      </c>
      <c r="E13" s="127">
        <v>2.029149464799</v>
      </c>
      <c r="F13" s="3">
        <v>0</v>
      </c>
      <c r="G13" s="3">
        <v>96</v>
      </c>
      <c r="H13" s="3">
        <v>63</v>
      </c>
      <c r="I13" s="3">
        <v>71</v>
      </c>
      <c r="J13" s="3"/>
      <c r="K13" s="1"/>
      <c r="L13" s="3"/>
      <c r="M13" s="3"/>
      <c r="N13" s="3"/>
      <c r="O13" s="3"/>
      <c r="R13" s="117">
        <v>44408</v>
      </c>
      <c r="S13" s="2">
        <v>2.7083333333333334E-2</v>
      </c>
      <c r="T13" s="2">
        <v>0.94791666666666663</v>
      </c>
      <c r="U13" s="11">
        <f>21+21*60+45</f>
        <v>1326</v>
      </c>
      <c r="V13" s="11">
        <v>8</v>
      </c>
      <c r="W13" s="1">
        <f>V13*0.25</f>
        <v>2</v>
      </c>
      <c r="X13" s="1">
        <f>W13*U13/60</f>
        <v>44.2</v>
      </c>
      <c r="Y13" s="11">
        <v>8</v>
      </c>
      <c r="Z13" s="1">
        <f>Y13*1.9</f>
        <v>15.2</v>
      </c>
      <c r="AA13" s="1">
        <f>Z13*U13/60</f>
        <v>335.92</v>
      </c>
    </row>
    <row r="14" spans="2:27">
      <c r="B14" s="168"/>
      <c r="C14" s="33">
        <v>0.57500000000000007</v>
      </c>
      <c r="D14" s="34"/>
      <c r="E14" s="34"/>
      <c r="F14" s="34"/>
      <c r="G14" s="34"/>
      <c r="H14" s="34"/>
      <c r="I14" s="34"/>
      <c r="J14" s="34"/>
      <c r="K14" s="35" t="s">
        <v>150</v>
      </c>
      <c r="L14" s="35" t="s">
        <v>150</v>
      </c>
      <c r="M14" s="3"/>
      <c r="N14" s="3"/>
      <c r="O14" s="3"/>
      <c r="R14" s="118" t="s">
        <v>152</v>
      </c>
      <c r="S14" s="2">
        <v>0.94791666666666663</v>
      </c>
      <c r="T14" s="2">
        <v>0.65555555555555556</v>
      </c>
      <c r="U14" s="11">
        <f>15+16*60+44</f>
        <v>1019</v>
      </c>
      <c r="V14" s="11">
        <v>6</v>
      </c>
      <c r="W14" s="1">
        <f>V14*0.25</f>
        <v>1.5</v>
      </c>
      <c r="X14" s="1">
        <f>W14*U14/60</f>
        <v>25.475000000000001</v>
      </c>
      <c r="Y14" s="11">
        <v>6</v>
      </c>
      <c r="Z14" s="1">
        <f>Y14*1.9</f>
        <v>11.399999999999999</v>
      </c>
      <c r="AA14" s="1">
        <f>Z14*U14/60</f>
        <v>193.60999999999999</v>
      </c>
    </row>
    <row r="15" spans="2:27">
      <c r="B15" s="168"/>
      <c r="C15" s="2">
        <v>0.57777777777777783</v>
      </c>
      <c r="D15" s="3" t="s">
        <v>132</v>
      </c>
      <c r="E15" s="127">
        <v>2.2168355645175302</v>
      </c>
      <c r="F15" s="3">
        <v>0</v>
      </c>
      <c r="G15" s="3">
        <v>102</v>
      </c>
      <c r="H15" s="3">
        <v>67</v>
      </c>
      <c r="I15" s="3">
        <v>76</v>
      </c>
      <c r="J15" s="3"/>
      <c r="K15" s="1">
        <v>8</v>
      </c>
      <c r="L15" s="1">
        <v>8</v>
      </c>
      <c r="M15" s="3"/>
      <c r="N15" s="3"/>
      <c r="O15" s="3"/>
      <c r="R15" s="10" t="s">
        <v>21</v>
      </c>
      <c r="S15" s="11"/>
      <c r="T15" s="11"/>
      <c r="U15" s="10">
        <f>SUM(U12:U14)</f>
        <v>2981</v>
      </c>
      <c r="X15" s="10">
        <f>SUM(X12:X14)</f>
        <v>90.875</v>
      </c>
      <c r="AA15" s="10">
        <f>SUM(AA12:AA14)</f>
        <v>690.65</v>
      </c>
    </row>
    <row r="16" spans="2:27">
      <c r="B16" s="168"/>
      <c r="C16" s="2">
        <v>0.59791666666666665</v>
      </c>
      <c r="D16" s="3" t="s">
        <v>133</v>
      </c>
      <c r="E16" s="127">
        <v>1.7327720192852001</v>
      </c>
      <c r="F16" s="3">
        <v>0</v>
      </c>
      <c r="G16" s="3">
        <v>126</v>
      </c>
      <c r="H16" s="3">
        <v>70</v>
      </c>
      <c r="I16" s="3">
        <v>85</v>
      </c>
      <c r="J16" s="3"/>
      <c r="K16" s="1">
        <v>8</v>
      </c>
      <c r="L16" s="1">
        <v>8</v>
      </c>
      <c r="M16" s="3"/>
      <c r="N16" s="3"/>
      <c r="O16" s="3"/>
      <c r="U16">
        <f>U15/60</f>
        <v>49.68333333333333</v>
      </c>
    </row>
    <row r="17" spans="2:27">
      <c r="B17" s="168"/>
      <c r="C17" s="2">
        <v>0.6166666666666667</v>
      </c>
      <c r="D17" s="3" t="s">
        <v>134</v>
      </c>
      <c r="E17" s="127">
        <v>3.0489790974335</v>
      </c>
      <c r="F17" s="3"/>
      <c r="G17" s="3"/>
      <c r="H17" s="3"/>
      <c r="I17" s="3"/>
      <c r="J17" s="3"/>
      <c r="K17" s="1">
        <v>8</v>
      </c>
      <c r="L17" s="1">
        <v>8</v>
      </c>
      <c r="M17" s="3"/>
      <c r="N17" s="3"/>
      <c r="O17" s="3"/>
      <c r="X17">
        <f>X15/U15*60</f>
        <v>1.8290841999329084</v>
      </c>
      <c r="AA17">
        <f>AA15/U15*60</f>
        <v>13.901039919490103</v>
      </c>
    </row>
    <row r="18" spans="2:27">
      <c r="B18" s="168"/>
      <c r="C18" s="2">
        <v>0.65138888888888891</v>
      </c>
      <c r="D18" s="3" t="s">
        <v>135</v>
      </c>
      <c r="E18" s="127">
        <v>3.1380888728737402</v>
      </c>
      <c r="F18" s="3">
        <v>2</v>
      </c>
      <c r="G18" s="3">
        <v>128</v>
      </c>
      <c r="H18" s="3">
        <v>80</v>
      </c>
      <c r="I18" s="3">
        <v>74</v>
      </c>
      <c r="J18" s="3"/>
      <c r="K18" s="1">
        <v>8</v>
      </c>
      <c r="L18" s="1">
        <v>8</v>
      </c>
      <c r="M18" s="3"/>
      <c r="N18" s="3"/>
      <c r="O18" s="3"/>
    </row>
    <row r="19" spans="2:27">
      <c r="B19" s="169"/>
      <c r="C19" s="2">
        <v>0.83680555555555547</v>
      </c>
      <c r="D19" s="3" t="s">
        <v>136</v>
      </c>
      <c r="E19" s="127">
        <v>5.4976115766829201</v>
      </c>
      <c r="F19" s="3">
        <v>0</v>
      </c>
      <c r="G19" s="3">
        <v>134</v>
      </c>
      <c r="H19" s="3">
        <v>91</v>
      </c>
      <c r="I19" s="3">
        <v>85</v>
      </c>
      <c r="J19" s="3"/>
      <c r="K19" s="1">
        <v>8</v>
      </c>
      <c r="L19" s="1">
        <v>8</v>
      </c>
      <c r="M19" s="3"/>
      <c r="N19" s="3"/>
      <c r="O19" s="3"/>
    </row>
    <row r="20" spans="2:27">
      <c r="B20" s="190">
        <v>43677</v>
      </c>
      <c r="C20" s="30">
        <v>1.6666666666666666E-2</v>
      </c>
      <c r="D20" s="31"/>
      <c r="E20" s="31"/>
      <c r="F20" s="31"/>
      <c r="G20" s="31"/>
      <c r="H20" s="31"/>
      <c r="I20" s="31"/>
      <c r="J20" s="31"/>
      <c r="K20" s="32" t="s">
        <v>20</v>
      </c>
      <c r="L20" s="32" t="s">
        <v>20</v>
      </c>
      <c r="M20" s="3"/>
      <c r="N20" s="3"/>
      <c r="O20" s="3"/>
    </row>
    <row r="21" spans="2:27">
      <c r="B21" s="190"/>
      <c r="C21" s="33">
        <v>2.7083333333333334E-2</v>
      </c>
      <c r="D21" s="34"/>
      <c r="E21" s="34"/>
      <c r="F21" s="34"/>
      <c r="G21" s="34"/>
      <c r="H21" s="34"/>
      <c r="I21" s="34"/>
      <c r="J21" s="34"/>
      <c r="K21" s="35" t="s">
        <v>89</v>
      </c>
      <c r="L21" s="35" t="s">
        <v>89</v>
      </c>
      <c r="M21" s="3"/>
      <c r="N21" s="3"/>
      <c r="O21" s="3"/>
      <c r="P21">
        <v>15</v>
      </c>
    </row>
    <row r="22" spans="2:27">
      <c r="B22" s="190"/>
      <c r="C22" s="2">
        <v>5.6250000000000001E-2</v>
      </c>
      <c r="D22" s="3" t="s">
        <v>137</v>
      </c>
      <c r="E22" s="127">
        <v>4.1733463816851897</v>
      </c>
      <c r="F22" s="3">
        <v>0</v>
      </c>
      <c r="G22" s="3">
        <v>101</v>
      </c>
      <c r="H22" s="3">
        <v>62</v>
      </c>
      <c r="I22" s="3">
        <v>93</v>
      </c>
      <c r="J22" s="3"/>
      <c r="K22" s="1">
        <v>8</v>
      </c>
      <c r="L22" s="1">
        <v>8</v>
      </c>
      <c r="M22" s="3"/>
      <c r="N22" s="3"/>
      <c r="O22" s="3"/>
    </row>
    <row r="23" spans="2:27">
      <c r="B23" s="190"/>
      <c r="C23" s="2">
        <v>0.5708333333333333</v>
      </c>
      <c r="D23" s="3" t="s">
        <v>138</v>
      </c>
      <c r="E23" s="127">
        <v>6.3833581796567502</v>
      </c>
      <c r="F23" s="3">
        <v>3</v>
      </c>
      <c r="G23" s="3">
        <v>105</v>
      </c>
      <c r="H23" s="3">
        <v>65</v>
      </c>
      <c r="I23" s="3">
        <v>93</v>
      </c>
      <c r="J23" s="3"/>
      <c r="K23" s="1">
        <v>8</v>
      </c>
      <c r="L23" s="1">
        <v>8</v>
      </c>
      <c r="M23" s="3"/>
      <c r="N23" s="3"/>
      <c r="O23" s="3"/>
    </row>
    <row r="24" spans="2:27">
      <c r="B24" s="190"/>
      <c r="C24" s="2">
        <v>0.94791666666666663</v>
      </c>
      <c r="D24" s="3"/>
      <c r="E24" s="3"/>
      <c r="F24" s="3"/>
      <c r="G24" s="3"/>
      <c r="H24" s="3"/>
      <c r="I24" s="3"/>
      <c r="J24" s="3"/>
      <c r="K24" s="16">
        <v>6</v>
      </c>
      <c r="L24" s="16">
        <v>6</v>
      </c>
      <c r="M24" s="3"/>
      <c r="N24" s="3"/>
      <c r="O24" s="3"/>
    </row>
    <row r="25" spans="2:27">
      <c r="B25" s="167">
        <v>43678</v>
      </c>
      <c r="C25" s="2">
        <v>0.60347222222222219</v>
      </c>
      <c r="D25" s="3" t="s">
        <v>139</v>
      </c>
      <c r="E25" s="3">
        <v>9.7618211408452602</v>
      </c>
      <c r="F25" s="3">
        <v>0</v>
      </c>
      <c r="G25" s="3">
        <v>123</v>
      </c>
      <c r="H25" s="3">
        <v>81</v>
      </c>
      <c r="I25" s="3">
        <v>78</v>
      </c>
      <c r="J25" s="3"/>
      <c r="K25" s="1">
        <v>6</v>
      </c>
      <c r="L25" s="1">
        <v>6</v>
      </c>
      <c r="M25" s="3"/>
      <c r="N25" s="3"/>
      <c r="O25" s="3"/>
    </row>
    <row r="26" spans="2:27">
      <c r="B26" s="168"/>
      <c r="C26" s="30">
        <v>0.65555555555555556</v>
      </c>
      <c r="D26" s="31" t="s">
        <v>140</v>
      </c>
      <c r="E26" s="31">
        <v>7.8078511180307997</v>
      </c>
      <c r="F26" s="31">
        <v>2</v>
      </c>
      <c r="G26" s="31">
        <v>136</v>
      </c>
      <c r="H26" s="31">
        <v>90</v>
      </c>
      <c r="I26" s="31">
        <v>84</v>
      </c>
      <c r="J26" s="31"/>
      <c r="K26" s="32" t="s">
        <v>20</v>
      </c>
      <c r="L26" s="32" t="s">
        <v>20</v>
      </c>
      <c r="M26" s="3"/>
      <c r="N26" s="3"/>
      <c r="O26" s="3"/>
      <c r="R26" s="59" t="s">
        <v>654</v>
      </c>
    </row>
    <row r="27" spans="2:27">
      <c r="B27" s="168"/>
      <c r="C27" s="2">
        <v>0.65763888888888888</v>
      </c>
      <c r="D27" s="3" t="s">
        <v>141</v>
      </c>
      <c r="E27" s="3">
        <v>11.369093305199099</v>
      </c>
      <c r="F27" s="3">
        <v>2</v>
      </c>
      <c r="G27" s="3">
        <v>137</v>
      </c>
      <c r="H27" s="3">
        <v>92</v>
      </c>
      <c r="I27" s="3">
        <v>88</v>
      </c>
      <c r="J27" s="3"/>
      <c r="K27" s="1"/>
      <c r="L27" s="3"/>
      <c r="M27" s="3"/>
      <c r="N27" s="3"/>
      <c r="O27" s="3"/>
    </row>
    <row r="28" spans="2:27">
      <c r="B28" s="168"/>
      <c r="C28" s="2">
        <v>0.65972222222222221</v>
      </c>
      <c r="D28" s="3" t="s">
        <v>142</v>
      </c>
      <c r="E28" s="3">
        <v>7.46282618306617</v>
      </c>
      <c r="F28" s="3">
        <v>2</v>
      </c>
      <c r="G28" s="3">
        <v>142</v>
      </c>
      <c r="H28" s="3">
        <v>92</v>
      </c>
      <c r="I28" s="3">
        <v>88</v>
      </c>
      <c r="J28" s="3"/>
      <c r="K28" s="1"/>
      <c r="L28" s="3"/>
      <c r="M28" s="3"/>
      <c r="N28" s="3"/>
      <c r="O28" s="3"/>
    </row>
    <row r="29" spans="2:27">
      <c r="B29" s="168"/>
      <c r="C29" s="2">
        <v>0.67013888888888884</v>
      </c>
      <c r="D29" s="3" t="s">
        <v>143</v>
      </c>
      <c r="E29" s="3">
        <v>10.1663802295088</v>
      </c>
      <c r="F29" s="3">
        <v>2</v>
      </c>
      <c r="G29" s="3">
        <v>140</v>
      </c>
      <c r="H29" s="3">
        <v>90</v>
      </c>
      <c r="I29" s="3">
        <v>86</v>
      </c>
      <c r="J29" s="3"/>
      <c r="K29" s="1"/>
      <c r="L29" s="3"/>
      <c r="M29" s="3"/>
      <c r="N29" s="3"/>
      <c r="O29" s="3"/>
    </row>
    <row r="30" spans="2:27">
      <c r="B30" s="168"/>
      <c r="C30" s="2">
        <v>0.68402777777777779</v>
      </c>
      <c r="D30" s="3" t="s">
        <v>144</v>
      </c>
      <c r="E30" s="3">
        <v>11.516333463518301</v>
      </c>
      <c r="F30" s="3">
        <v>2</v>
      </c>
      <c r="G30" s="3">
        <v>138</v>
      </c>
      <c r="H30" s="3">
        <v>93</v>
      </c>
      <c r="I30" s="3">
        <v>88</v>
      </c>
      <c r="J30" s="3"/>
      <c r="K30" s="1"/>
      <c r="L30" s="3"/>
      <c r="M30" s="3"/>
      <c r="N30" s="3"/>
      <c r="O30" s="3"/>
    </row>
    <row r="31" spans="2:27">
      <c r="B31" s="168"/>
      <c r="C31" s="2">
        <v>0.69791666666666663</v>
      </c>
      <c r="D31" s="3" t="s">
        <v>145</v>
      </c>
      <c r="E31" s="3">
        <v>7.3214974374833099</v>
      </c>
      <c r="F31" s="3">
        <v>2</v>
      </c>
      <c r="G31" s="3">
        <v>136</v>
      </c>
      <c r="H31" s="3">
        <v>90</v>
      </c>
      <c r="I31" s="3">
        <v>84</v>
      </c>
      <c r="J31" s="3"/>
      <c r="K31" s="1"/>
      <c r="L31" s="3"/>
      <c r="M31" s="3"/>
      <c r="N31" s="3"/>
      <c r="O31" s="3"/>
    </row>
    <row r="32" spans="2:27">
      <c r="B32" s="168"/>
      <c r="C32" s="2">
        <v>0.73958333333333337</v>
      </c>
      <c r="D32" s="3" t="s">
        <v>146</v>
      </c>
      <c r="E32" s="3">
        <v>8.8364818794595497</v>
      </c>
      <c r="F32" s="3">
        <v>0</v>
      </c>
      <c r="G32" s="3">
        <v>144</v>
      </c>
      <c r="H32" s="3">
        <v>81</v>
      </c>
      <c r="I32" s="3">
        <v>93</v>
      </c>
      <c r="J32" s="3"/>
      <c r="K32" s="1"/>
      <c r="L32" s="3"/>
      <c r="M32" s="3"/>
      <c r="N32" s="3"/>
      <c r="O32" s="3"/>
    </row>
    <row r="33" spans="2:15">
      <c r="B33" s="169"/>
      <c r="C33" s="4" t="s">
        <v>149</v>
      </c>
      <c r="D33" s="3" t="s">
        <v>147</v>
      </c>
      <c r="E33" s="3">
        <v>9.6621816620455796</v>
      </c>
      <c r="F33" s="3">
        <v>0</v>
      </c>
      <c r="G33" s="3">
        <v>131</v>
      </c>
      <c r="H33" s="3">
        <v>92</v>
      </c>
      <c r="I33" s="3">
        <v>81</v>
      </c>
      <c r="J33" s="3"/>
      <c r="K33" s="1"/>
      <c r="L33" s="3"/>
      <c r="M33" s="3"/>
      <c r="N33" s="3"/>
      <c r="O33" s="3"/>
    </row>
    <row r="34" spans="2:15">
      <c r="B34" s="28">
        <v>43679</v>
      </c>
      <c r="C34" s="2">
        <v>0.28541666666666665</v>
      </c>
      <c r="D34" s="3" t="s">
        <v>148</v>
      </c>
      <c r="E34" s="3">
        <v>4.6304350169249497</v>
      </c>
      <c r="F34" s="3">
        <v>3</v>
      </c>
      <c r="G34" s="3">
        <v>144</v>
      </c>
      <c r="H34" s="3">
        <v>77</v>
      </c>
      <c r="I34" s="3">
        <v>63</v>
      </c>
      <c r="J34" s="3"/>
      <c r="K34" s="1"/>
      <c r="L34" s="3"/>
      <c r="M34" s="3"/>
      <c r="N34" s="3"/>
      <c r="O34" s="3"/>
    </row>
  </sheetData>
  <mergeCells count="27">
    <mergeCell ref="B13:B19"/>
    <mergeCell ref="B20:B24"/>
    <mergeCell ref="B25:B33"/>
    <mergeCell ref="Q2:R2"/>
    <mergeCell ref="G3:I3"/>
    <mergeCell ref="K3:O4"/>
    <mergeCell ref="Q3:R3"/>
    <mergeCell ref="G4:H4"/>
    <mergeCell ref="I11:I12"/>
    <mergeCell ref="B2:B3"/>
    <mergeCell ref="C2:C3"/>
    <mergeCell ref="G2:I2"/>
    <mergeCell ref="K2:L2"/>
    <mergeCell ref="B11:B12"/>
    <mergeCell ref="C11:C12"/>
    <mergeCell ref="D11:D12"/>
    <mergeCell ref="F11:F12"/>
    <mergeCell ref="G11:H11"/>
    <mergeCell ref="K5:L5"/>
    <mergeCell ref="K6:L6"/>
    <mergeCell ref="E11:E12"/>
    <mergeCell ref="V10:X10"/>
    <mergeCell ref="Y10:AA10"/>
    <mergeCell ref="J11:J12"/>
    <mergeCell ref="K11:L11"/>
    <mergeCell ref="M11:N11"/>
    <mergeCell ref="O11:O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AA43"/>
  <sheetViews>
    <sheetView zoomScale="90" zoomScaleNormal="90" workbookViewId="0">
      <selection activeCell="X12" sqref="X12"/>
    </sheetView>
  </sheetViews>
  <sheetFormatPr defaultRowHeight="14.4"/>
  <cols>
    <col min="1" max="1" width="3.21875" customWidth="1"/>
    <col min="2" max="2" width="11.44140625" bestFit="1" customWidth="1"/>
    <col min="3" max="3" width="14.33203125" customWidth="1"/>
    <col min="4" max="5" width="9.77734375" customWidth="1"/>
    <col min="6" max="6" width="8.109375" customWidth="1"/>
    <col min="7" max="7" width="11.33203125" customWidth="1"/>
    <col min="8" max="8" width="8.21875" bestFit="1" customWidth="1"/>
    <col min="9" max="9" width="11.44140625" customWidth="1"/>
    <col min="10" max="10" width="8.5546875" customWidth="1"/>
    <col min="11" max="11" width="7.44140625" customWidth="1"/>
    <col min="12" max="12" width="6.44140625" customWidth="1"/>
    <col min="13" max="14" width="7.33203125" customWidth="1"/>
    <col min="15" max="15" width="14.21875" customWidth="1"/>
    <col min="16" max="16" width="6.5546875" customWidth="1"/>
    <col min="17" max="17" width="6.44140625" customWidth="1"/>
    <col min="18" max="19" width="10.44140625" customWidth="1"/>
    <col min="23" max="23" width="7.44140625" customWidth="1"/>
    <col min="24" max="24" width="7.88671875" customWidth="1"/>
    <col min="25" max="25" width="7.109375" customWidth="1"/>
    <col min="26" max="26" width="7.6640625" customWidth="1"/>
    <col min="27" max="27" width="7.5546875" customWidth="1"/>
    <col min="28" max="28" width="7.109375" customWidth="1"/>
  </cols>
  <sheetData>
    <row r="1" spans="2:27">
      <c r="T1" t="s">
        <v>173</v>
      </c>
    </row>
    <row r="2" spans="2:27">
      <c r="B2" s="170" t="s">
        <v>0</v>
      </c>
      <c r="C2" s="172" t="s">
        <v>162</v>
      </c>
      <c r="G2" s="175" t="s">
        <v>24</v>
      </c>
      <c r="H2" s="175"/>
      <c r="I2" s="175"/>
      <c r="K2" s="161" t="s">
        <v>32</v>
      </c>
      <c r="L2" s="162"/>
      <c r="Q2" s="159" t="s">
        <v>33</v>
      </c>
      <c r="R2" s="160"/>
      <c r="S2" s="17" t="s">
        <v>129</v>
      </c>
      <c r="T2" s="17" t="s">
        <v>40</v>
      </c>
    </row>
    <row r="3" spans="2:27">
      <c r="B3" s="171"/>
      <c r="C3" s="173"/>
      <c r="G3" s="176" t="s">
        <v>38</v>
      </c>
      <c r="H3" s="176"/>
      <c r="I3" s="176"/>
      <c r="K3" s="186" t="s">
        <v>172</v>
      </c>
      <c r="L3" s="187"/>
      <c r="M3" s="187"/>
      <c r="N3" s="187"/>
      <c r="O3" s="187"/>
      <c r="Q3" s="159" t="s">
        <v>34</v>
      </c>
      <c r="R3" s="160"/>
      <c r="S3" s="17" t="s">
        <v>130</v>
      </c>
      <c r="T3" s="17" t="s">
        <v>41</v>
      </c>
    </row>
    <row r="4" spans="2:27" ht="21">
      <c r="B4" s="12" t="s">
        <v>23</v>
      </c>
      <c r="C4" s="13">
        <v>1005</v>
      </c>
      <c r="G4" s="174" t="s">
        <v>19</v>
      </c>
      <c r="H4" s="174"/>
      <c r="K4" s="188"/>
      <c r="L4" s="189"/>
      <c r="M4" s="189"/>
      <c r="N4" s="189"/>
      <c r="O4" s="189"/>
    </row>
    <row r="5" spans="2:27">
      <c r="B5" s="6" t="s">
        <v>1</v>
      </c>
      <c r="C5" s="7">
        <v>60</v>
      </c>
      <c r="G5" s="9" t="s">
        <v>25</v>
      </c>
      <c r="H5" s="25">
        <v>0.4375</v>
      </c>
      <c r="I5" s="43">
        <v>43677</v>
      </c>
      <c r="K5" s="157" t="s">
        <v>25</v>
      </c>
      <c r="L5" s="158"/>
      <c r="M5" s="41" t="s">
        <v>177</v>
      </c>
      <c r="N5" s="25">
        <v>0.43958333333333338</v>
      </c>
    </row>
    <row r="6" spans="2:27">
      <c r="B6" s="6" t="s">
        <v>2</v>
      </c>
      <c r="C6" s="8">
        <v>164</v>
      </c>
      <c r="G6" s="9" t="s">
        <v>26</v>
      </c>
      <c r="H6" s="7"/>
      <c r="K6" s="157" t="s">
        <v>26</v>
      </c>
      <c r="L6" s="158"/>
      <c r="M6" s="64" t="s">
        <v>182</v>
      </c>
      <c r="N6" s="29">
        <v>0.81944444444444453</v>
      </c>
      <c r="O6">
        <f>27+56*60+40</f>
        <v>3427</v>
      </c>
      <c r="P6">
        <f>O6-65</f>
        <v>3362</v>
      </c>
    </row>
    <row r="7" spans="2:27">
      <c r="B7" s="6" t="s">
        <v>3</v>
      </c>
      <c r="C7" s="8" t="s">
        <v>18</v>
      </c>
      <c r="M7" t="s">
        <v>181</v>
      </c>
    </row>
    <row r="8" spans="2:27">
      <c r="B8" s="6" t="s">
        <v>8</v>
      </c>
      <c r="C8" s="8">
        <v>37</v>
      </c>
    </row>
    <row r="10" spans="2:27" ht="15" thickBot="1">
      <c r="V10" s="154" t="s">
        <v>63</v>
      </c>
      <c r="W10" s="155"/>
      <c r="X10" s="156"/>
      <c r="Y10" s="154" t="s">
        <v>62</v>
      </c>
      <c r="Z10" s="155"/>
      <c r="AA10" s="156"/>
    </row>
    <row r="11" spans="2:27" ht="15" customHeight="1">
      <c r="B11" s="165" t="s">
        <v>4</v>
      </c>
      <c r="C11" s="165" t="s">
        <v>5</v>
      </c>
      <c r="D11" s="165" t="s">
        <v>6</v>
      </c>
      <c r="E11" s="165" t="s">
        <v>671</v>
      </c>
      <c r="F11" s="165" t="s">
        <v>28</v>
      </c>
      <c r="G11" s="177" t="s">
        <v>7</v>
      </c>
      <c r="H11" s="178"/>
      <c r="I11" s="165" t="s">
        <v>9</v>
      </c>
      <c r="J11" s="165" t="s">
        <v>29</v>
      </c>
      <c r="K11" s="177" t="s">
        <v>27</v>
      </c>
      <c r="L11" s="178"/>
      <c r="M11" s="177" t="s">
        <v>31</v>
      </c>
      <c r="N11" s="178"/>
      <c r="O11" s="165" t="s">
        <v>30</v>
      </c>
      <c r="R11" s="10" t="s">
        <v>10</v>
      </c>
      <c r="S11" s="10" t="s">
        <v>11</v>
      </c>
      <c r="T11" s="10" t="s">
        <v>12</v>
      </c>
      <c r="U11" s="10" t="s">
        <v>13</v>
      </c>
      <c r="V11" s="23" t="s">
        <v>14</v>
      </c>
      <c r="W11" s="22" t="s">
        <v>15</v>
      </c>
      <c r="X11" s="22" t="s">
        <v>35</v>
      </c>
      <c r="Y11" s="24" t="s">
        <v>14</v>
      </c>
      <c r="Z11" s="24" t="s">
        <v>36</v>
      </c>
      <c r="AA11" s="24" t="s">
        <v>37</v>
      </c>
    </row>
    <row r="12" spans="2:27">
      <c r="B12" s="166"/>
      <c r="C12" s="166"/>
      <c r="D12" s="166"/>
      <c r="E12" s="166"/>
      <c r="F12" s="166"/>
      <c r="G12" s="18" t="s">
        <v>16</v>
      </c>
      <c r="H12" s="19" t="s">
        <v>17</v>
      </c>
      <c r="I12" s="166"/>
      <c r="J12" s="166"/>
      <c r="K12" s="20" t="s">
        <v>63</v>
      </c>
      <c r="L12" s="21" t="s">
        <v>87</v>
      </c>
      <c r="M12" s="20" t="s">
        <v>63</v>
      </c>
      <c r="N12" s="21" t="s">
        <v>87</v>
      </c>
      <c r="O12" s="166"/>
      <c r="R12" s="195" t="s">
        <v>177</v>
      </c>
      <c r="S12" s="2">
        <v>0.43958333333333338</v>
      </c>
      <c r="T12" s="2">
        <v>0.59027777777777779</v>
      </c>
      <c r="U12" s="11">
        <f>27+180+10</f>
        <v>217</v>
      </c>
      <c r="V12" s="11">
        <v>8</v>
      </c>
      <c r="W12" s="1">
        <f>V12*0.25</f>
        <v>2</v>
      </c>
      <c r="X12" s="1">
        <f>W12*U12/60</f>
        <v>7.2333333333333334</v>
      </c>
      <c r="Y12" s="11">
        <v>8</v>
      </c>
      <c r="Z12" s="1">
        <f>Y12*1.9</f>
        <v>15.2</v>
      </c>
      <c r="AA12" s="1">
        <f>Z12*U12/60</f>
        <v>54.973333333333329</v>
      </c>
    </row>
    <row r="13" spans="2:27">
      <c r="B13" s="190">
        <v>43677</v>
      </c>
      <c r="C13" s="2">
        <v>0.43888888888888888</v>
      </c>
      <c r="D13" s="3" t="s">
        <v>163</v>
      </c>
      <c r="E13" s="127">
        <v>0.89803628260441604</v>
      </c>
      <c r="F13" s="3">
        <v>0</v>
      </c>
      <c r="G13" s="3">
        <v>108</v>
      </c>
      <c r="H13" s="3">
        <v>64</v>
      </c>
      <c r="I13" s="3">
        <v>74</v>
      </c>
      <c r="J13" s="3"/>
      <c r="K13" s="1"/>
      <c r="L13" s="3"/>
      <c r="M13" s="3"/>
      <c r="N13" s="3"/>
      <c r="O13" s="3"/>
      <c r="R13" s="196"/>
      <c r="S13" s="65">
        <v>0.59027777777777779</v>
      </c>
      <c r="T13" s="65">
        <v>0.61458333333333337</v>
      </c>
      <c r="U13" s="66">
        <v>35</v>
      </c>
      <c r="V13" s="66">
        <v>12</v>
      </c>
      <c r="W13" s="67">
        <f>V13*0.25</f>
        <v>3</v>
      </c>
      <c r="X13" s="67">
        <f>W13*U13/60</f>
        <v>1.75</v>
      </c>
      <c r="Y13" s="66">
        <v>12</v>
      </c>
      <c r="Z13" s="67">
        <f>Y13*1.9</f>
        <v>22.799999999999997</v>
      </c>
      <c r="AA13" s="67">
        <f>Z13*U13/60</f>
        <v>13.299999999999999</v>
      </c>
    </row>
    <row r="14" spans="2:27">
      <c r="B14" s="190"/>
      <c r="C14" s="33">
        <v>0.43958333333333338</v>
      </c>
      <c r="D14" s="34"/>
      <c r="E14" s="34"/>
      <c r="F14" s="34"/>
      <c r="G14" s="34"/>
      <c r="H14" s="34"/>
      <c r="I14" s="34"/>
      <c r="J14" s="34"/>
      <c r="K14" s="35" t="s">
        <v>89</v>
      </c>
      <c r="L14" s="35" t="s">
        <v>89</v>
      </c>
      <c r="M14" s="3"/>
      <c r="N14" s="3"/>
      <c r="O14" s="3"/>
      <c r="R14" s="196"/>
      <c r="S14" s="2">
        <v>0.61458333333333337</v>
      </c>
      <c r="T14" s="2"/>
      <c r="U14" s="11">
        <v>1</v>
      </c>
      <c r="V14" s="11" t="s">
        <v>91</v>
      </c>
      <c r="W14" s="1">
        <f>X14*60</f>
        <v>75</v>
      </c>
      <c r="X14" s="1">
        <v>1.25</v>
      </c>
      <c r="Y14" s="11" t="s">
        <v>91</v>
      </c>
      <c r="Z14" s="1">
        <f>AA14*60</f>
        <v>570</v>
      </c>
      <c r="AA14" s="1">
        <v>9.5</v>
      </c>
    </row>
    <row r="15" spans="2:27" ht="15" thickBot="1">
      <c r="B15" s="190"/>
      <c r="C15" s="2">
        <v>0.44305555555555554</v>
      </c>
      <c r="D15" s="3" t="s">
        <v>164</v>
      </c>
      <c r="E15" s="127">
        <v>0</v>
      </c>
      <c r="F15" s="3">
        <v>0</v>
      </c>
      <c r="G15" s="3">
        <v>98</v>
      </c>
      <c r="H15" s="3">
        <v>47</v>
      </c>
      <c r="I15" s="3">
        <v>74</v>
      </c>
      <c r="J15" s="3"/>
      <c r="K15" s="1">
        <v>8</v>
      </c>
      <c r="L15" s="1">
        <v>8</v>
      </c>
      <c r="M15" s="3"/>
      <c r="N15" s="3"/>
      <c r="O15" s="3"/>
      <c r="R15" s="196"/>
      <c r="S15" s="72">
        <v>0.61527777777777781</v>
      </c>
      <c r="T15" s="72">
        <v>0.77083333333333337</v>
      </c>
      <c r="U15">
        <f>14+210</f>
        <v>224</v>
      </c>
      <c r="V15">
        <v>12</v>
      </c>
      <c r="W15" s="148">
        <f>V15*0.25</f>
        <v>3</v>
      </c>
      <c r="X15" s="149">
        <f>W15*U15/60</f>
        <v>11.2</v>
      </c>
      <c r="Y15">
        <v>12</v>
      </c>
      <c r="Z15" s="149">
        <f>Y15*1.9</f>
        <v>22.799999999999997</v>
      </c>
      <c r="AA15" s="149">
        <f>Z15*U15/60</f>
        <v>85.119999999999976</v>
      </c>
    </row>
    <row r="16" spans="2:27" ht="15" thickTop="1">
      <c r="B16" s="190"/>
      <c r="C16" s="2">
        <v>0.4604166666666667</v>
      </c>
      <c r="D16" s="3" t="s">
        <v>165</v>
      </c>
      <c r="E16" s="127">
        <v>1.0706857463057999</v>
      </c>
      <c r="F16" s="3">
        <v>0</v>
      </c>
      <c r="G16" s="3">
        <v>115</v>
      </c>
      <c r="H16" s="3">
        <v>61</v>
      </c>
      <c r="I16" s="3">
        <v>51</v>
      </c>
      <c r="J16" s="3"/>
      <c r="K16" s="1">
        <v>8</v>
      </c>
      <c r="L16" s="1">
        <v>8</v>
      </c>
      <c r="M16" s="3"/>
      <c r="N16" s="3"/>
      <c r="O16" s="3"/>
      <c r="R16" s="14"/>
      <c r="S16" s="68">
        <v>0.77083333333333337</v>
      </c>
      <c r="T16" s="68">
        <v>0.93958333333333333</v>
      </c>
      <c r="U16" s="69">
        <f>3.5*60+33</f>
        <v>243</v>
      </c>
      <c r="V16" s="69">
        <v>8</v>
      </c>
      <c r="W16" s="70">
        <f t="shared" ref="W16:W21" si="0">V16*0.5</f>
        <v>4</v>
      </c>
      <c r="X16" s="70">
        <f t="shared" ref="X16:X21" si="1">W16*U16/60</f>
        <v>16.2</v>
      </c>
      <c r="Y16" s="69">
        <v>8</v>
      </c>
      <c r="Z16" s="70">
        <f t="shared" ref="Z16:Z21" si="2">Y16*1.8</f>
        <v>14.4</v>
      </c>
      <c r="AA16" s="70">
        <f t="shared" ref="AA16:AA21" si="3">Z16*U16/60</f>
        <v>58.320000000000007</v>
      </c>
    </row>
    <row r="17" spans="2:27">
      <c r="B17" s="190"/>
      <c r="C17" s="2">
        <v>0.48194444444444445</v>
      </c>
      <c r="D17" s="3" t="s">
        <v>166</v>
      </c>
      <c r="E17" s="127">
        <v>1.2063911630684601</v>
      </c>
      <c r="F17" s="3">
        <v>0</v>
      </c>
      <c r="G17" s="3">
        <v>115</v>
      </c>
      <c r="H17" s="3">
        <v>54</v>
      </c>
      <c r="I17" s="3">
        <v>68</v>
      </c>
      <c r="J17" s="3"/>
      <c r="K17" s="1">
        <v>8</v>
      </c>
      <c r="L17" s="1">
        <v>8</v>
      </c>
      <c r="M17" s="3"/>
      <c r="N17" s="3"/>
      <c r="O17" s="3"/>
      <c r="R17" s="138" t="s">
        <v>152</v>
      </c>
      <c r="S17" s="2">
        <v>0.93958333333333333</v>
      </c>
      <c r="T17" s="2">
        <v>0.30555555555555552</v>
      </c>
      <c r="U17" s="11">
        <f>27+8*60+20</f>
        <v>527</v>
      </c>
      <c r="V17" s="11">
        <v>6</v>
      </c>
      <c r="W17" s="1">
        <f t="shared" si="0"/>
        <v>3</v>
      </c>
      <c r="X17" s="1">
        <f t="shared" si="1"/>
        <v>26.35</v>
      </c>
      <c r="Y17" s="11">
        <v>6</v>
      </c>
      <c r="Z17" s="1">
        <f t="shared" si="2"/>
        <v>10.8</v>
      </c>
      <c r="AA17" s="1">
        <f t="shared" si="3"/>
        <v>94.86</v>
      </c>
    </row>
    <row r="18" spans="2:27">
      <c r="B18" s="190"/>
      <c r="C18" s="2">
        <v>0.50208333333333333</v>
      </c>
      <c r="D18" s="3" t="s">
        <v>167</v>
      </c>
      <c r="E18" s="127">
        <v>1.5981544715143901</v>
      </c>
      <c r="F18" s="3">
        <v>0</v>
      </c>
      <c r="G18" s="3">
        <v>110</v>
      </c>
      <c r="H18" s="3">
        <v>59</v>
      </c>
      <c r="I18" s="3">
        <v>69</v>
      </c>
      <c r="J18" s="3"/>
      <c r="K18" s="1">
        <v>8</v>
      </c>
      <c r="L18" s="1">
        <v>8</v>
      </c>
      <c r="M18" s="3"/>
      <c r="N18" s="3"/>
      <c r="O18" s="3"/>
      <c r="R18" s="138" t="s">
        <v>178</v>
      </c>
      <c r="S18" s="2">
        <v>0.30555555555555552</v>
      </c>
      <c r="T18" s="2">
        <v>0.45277777777777778</v>
      </c>
      <c r="U18" s="11">
        <f>40+120+52</f>
        <v>212</v>
      </c>
      <c r="V18" s="11">
        <v>10</v>
      </c>
      <c r="W18" s="1">
        <f t="shared" si="0"/>
        <v>5</v>
      </c>
      <c r="X18" s="1">
        <f t="shared" si="1"/>
        <v>17.666666666666668</v>
      </c>
      <c r="Y18" s="11">
        <v>10</v>
      </c>
      <c r="Z18" s="1">
        <f t="shared" si="2"/>
        <v>18</v>
      </c>
      <c r="AA18" s="1">
        <f t="shared" si="3"/>
        <v>63.6</v>
      </c>
    </row>
    <row r="19" spans="2:27">
      <c r="B19" s="190"/>
      <c r="C19" s="2">
        <v>0.59027777777777779</v>
      </c>
      <c r="D19" s="3"/>
      <c r="E19" s="3"/>
      <c r="F19" s="3"/>
      <c r="G19" s="3">
        <v>132</v>
      </c>
      <c r="H19" s="3">
        <v>78</v>
      </c>
      <c r="I19" s="3">
        <v>66</v>
      </c>
      <c r="J19" s="3"/>
      <c r="K19" s="16">
        <v>12</v>
      </c>
      <c r="L19" s="16">
        <v>12</v>
      </c>
      <c r="M19" s="3"/>
      <c r="N19" s="3"/>
      <c r="O19" s="3" t="s">
        <v>176</v>
      </c>
      <c r="R19" s="138"/>
      <c r="S19" s="2">
        <v>0.45833333333333331</v>
      </c>
      <c r="T19" s="2">
        <v>0.89583333333333337</v>
      </c>
      <c r="U19" s="11">
        <v>630</v>
      </c>
      <c r="V19" s="11">
        <v>10</v>
      </c>
      <c r="W19" s="1">
        <f t="shared" si="0"/>
        <v>5</v>
      </c>
      <c r="X19" s="1">
        <f t="shared" si="1"/>
        <v>52.5</v>
      </c>
      <c r="Y19" s="11">
        <v>10</v>
      </c>
      <c r="Z19" s="1">
        <f t="shared" si="2"/>
        <v>18</v>
      </c>
      <c r="AA19" s="1">
        <f t="shared" si="3"/>
        <v>189</v>
      </c>
    </row>
    <row r="20" spans="2:27">
      <c r="B20" s="190"/>
      <c r="C20" s="2">
        <v>0.61458333333333337</v>
      </c>
      <c r="D20" s="3"/>
      <c r="E20" s="3"/>
      <c r="F20" s="3">
        <v>6</v>
      </c>
      <c r="G20" s="3">
        <v>132</v>
      </c>
      <c r="H20" s="3">
        <v>79</v>
      </c>
      <c r="I20" s="3">
        <v>64</v>
      </c>
      <c r="J20" s="3"/>
      <c r="K20" s="1">
        <v>12</v>
      </c>
      <c r="L20" s="1">
        <v>12</v>
      </c>
      <c r="M20" s="182" t="s">
        <v>91</v>
      </c>
      <c r="N20" s="183"/>
      <c r="O20" s="3"/>
      <c r="R20" s="137" t="s">
        <v>179</v>
      </c>
      <c r="S20" s="2">
        <v>0.90416666666666667</v>
      </c>
      <c r="T20" s="2">
        <v>0.3263888888888889</v>
      </c>
      <c r="U20" s="11">
        <f>18+9*60+50</f>
        <v>608</v>
      </c>
      <c r="V20" s="11">
        <v>10</v>
      </c>
      <c r="W20" s="1">
        <f t="shared" si="0"/>
        <v>5</v>
      </c>
      <c r="X20" s="1">
        <f t="shared" si="1"/>
        <v>50.666666666666664</v>
      </c>
      <c r="Y20" s="11">
        <v>10</v>
      </c>
      <c r="Z20" s="1">
        <f t="shared" si="2"/>
        <v>18</v>
      </c>
      <c r="AA20" s="1">
        <f t="shared" si="3"/>
        <v>182.4</v>
      </c>
    </row>
    <row r="21" spans="2:27">
      <c r="B21" s="190"/>
      <c r="C21" s="2">
        <v>0.69444444444444453</v>
      </c>
      <c r="D21" s="3" t="s">
        <v>168</v>
      </c>
      <c r="E21" s="127">
        <v>4.3586012873111599</v>
      </c>
      <c r="F21" s="3">
        <v>0</v>
      </c>
      <c r="G21" s="3">
        <v>100</v>
      </c>
      <c r="H21" s="3">
        <v>47</v>
      </c>
      <c r="I21" s="3">
        <v>60</v>
      </c>
      <c r="J21" s="3"/>
      <c r="K21" s="1">
        <v>12</v>
      </c>
      <c r="L21" s="1">
        <v>12</v>
      </c>
      <c r="M21" s="3"/>
      <c r="N21" s="3"/>
      <c r="O21" s="3"/>
      <c r="R21" s="138" t="s">
        <v>182</v>
      </c>
      <c r="S21" s="2">
        <v>0.3576388888888889</v>
      </c>
      <c r="T21" s="2">
        <v>0.81944444444444453</v>
      </c>
      <c r="U21" s="11">
        <f>25+10*60+40</f>
        <v>665</v>
      </c>
      <c r="V21" s="11">
        <v>10</v>
      </c>
      <c r="W21" s="1">
        <f t="shared" si="0"/>
        <v>5</v>
      </c>
      <c r="X21" s="1">
        <f t="shared" si="1"/>
        <v>55.416666666666664</v>
      </c>
      <c r="Y21" s="11">
        <v>10</v>
      </c>
      <c r="Z21" s="1">
        <f t="shared" si="2"/>
        <v>18</v>
      </c>
      <c r="AA21" s="1">
        <f t="shared" si="3"/>
        <v>199.5</v>
      </c>
    </row>
    <row r="22" spans="2:27">
      <c r="B22" s="190"/>
      <c r="C22" s="2">
        <v>0.77083333333333337</v>
      </c>
      <c r="D22" s="3"/>
      <c r="E22" s="3"/>
      <c r="F22" s="3"/>
      <c r="G22" s="3"/>
      <c r="H22" s="3"/>
      <c r="I22" s="3"/>
      <c r="J22" s="3"/>
      <c r="K22" s="16">
        <v>8</v>
      </c>
      <c r="L22" s="16">
        <v>8</v>
      </c>
      <c r="M22" s="3"/>
      <c r="N22" s="3"/>
      <c r="O22" s="3" t="s">
        <v>174</v>
      </c>
      <c r="R22" s="138"/>
      <c r="S22" s="2">
        <v>0.83194444444444438</v>
      </c>
      <c r="T22" s="11" t="s">
        <v>180</v>
      </c>
      <c r="U22" s="11"/>
      <c r="V22" s="11"/>
      <c r="W22" s="1"/>
      <c r="X22" s="1"/>
      <c r="Y22" s="1"/>
      <c r="Z22" s="1"/>
      <c r="AA22" s="1"/>
    </row>
    <row r="23" spans="2:27">
      <c r="B23" s="190"/>
      <c r="C23" s="2">
        <v>0.93958333333333333</v>
      </c>
      <c r="D23" s="3"/>
      <c r="E23" s="3"/>
      <c r="F23" s="3"/>
      <c r="G23" s="3"/>
      <c r="H23" s="3"/>
      <c r="I23" s="3"/>
      <c r="J23" s="3"/>
      <c r="K23" s="16">
        <v>6</v>
      </c>
      <c r="L23" s="16">
        <v>6</v>
      </c>
      <c r="M23" s="3"/>
      <c r="N23" s="3"/>
      <c r="O23" s="3"/>
      <c r="R23" s="10" t="s">
        <v>21</v>
      </c>
      <c r="S23" s="11"/>
      <c r="T23" s="11"/>
      <c r="U23" s="10">
        <f>SUM(U12:U22)</f>
        <v>3362</v>
      </c>
      <c r="X23" s="10">
        <f>SUM(X12:X22)</f>
        <v>240.23333333333332</v>
      </c>
      <c r="AA23" s="10">
        <f>SUM(AA12:AA22)</f>
        <v>950.57333333333338</v>
      </c>
    </row>
    <row r="24" spans="2:27">
      <c r="B24" s="190"/>
      <c r="C24" s="2">
        <v>0.94236111111111109</v>
      </c>
      <c r="D24" s="3" t="s">
        <v>169</v>
      </c>
      <c r="E24" s="127">
        <v>7.1929481424026198</v>
      </c>
      <c r="F24" s="3">
        <v>0</v>
      </c>
      <c r="G24" s="3">
        <v>110</v>
      </c>
      <c r="H24" s="3">
        <v>52</v>
      </c>
      <c r="I24" s="3">
        <v>73</v>
      </c>
      <c r="J24" s="3"/>
      <c r="K24" s="1">
        <v>6</v>
      </c>
      <c r="L24" s="1">
        <v>6</v>
      </c>
      <c r="M24" s="3"/>
      <c r="N24" s="3"/>
      <c r="O24" s="3"/>
      <c r="U24">
        <f>U23/60</f>
        <v>56.033333333333331</v>
      </c>
    </row>
    <row r="25" spans="2:27">
      <c r="B25" s="190">
        <v>43678</v>
      </c>
      <c r="C25" s="2">
        <v>0.30555555555555552</v>
      </c>
      <c r="D25" s="3"/>
      <c r="E25" s="3"/>
      <c r="F25" s="3"/>
      <c r="G25" s="3"/>
      <c r="H25" s="3"/>
      <c r="I25" s="3"/>
      <c r="J25" s="3"/>
      <c r="K25" s="16">
        <v>10</v>
      </c>
      <c r="L25" s="16">
        <v>10</v>
      </c>
      <c r="M25" s="3"/>
      <c r="N25" s="3"/>
      <c r="O25" s="3"/>
      <c r="P25">
        <v>8</v>
      </c>
      <c r="X25">
        <f>X23/U23*60</f>
        <v>4.2873289708506839</v>
      </c>
      <c r="AA25">
        <f>AA23/U23*60</f>
        <v>16.964425936942298</v>
      </c>
    </row>
    <row r="26" spans="2:27">
      <c r="B26" s="190"/>
      <c r="C26" s="30">
        <v>0.45277777777777778</v>
      </c>
      <c r="D26" s="31"/>
      <c r="E26" s="31"/>
      <c r="F26" s="31"/>
      <c r="G26" s="31"/>
      <c r="H26" s="31"/>
      <c r="I26" s="31"/>
      <c r="J26" s="31"/>
      <c r="K26" s="32" t="s">
        <v>20</v>
      </c>
      <c r="L26" s="32" t="s">
        <v>20</v>
      </c>
      <c r="M26" s="3"/>
      <c r="N26" s="3"/>
      <c r="O26" s="3"/>
    </row>
    <row r="27" spans="2:27">
      <c r="B27" s="190"/>
      <c r="C27" s="33">
        <v>0.45833333333333331</v>
      </c>
      <c r="D27" s="34"/>
      <c r="E27" s="34"/>
      <c r="F27" s="34"/>
      <c r="G27" s="34"/>
      <c r="H27" s="34"/>
      <c r="I27" s="34"/>
      <c r="J27" s="34"/>
      <c r="K27" s="35" t="s">
        <v>175</v>
      </c>
      <c r="L27" s="35" t="s">
        <v>175</v>
      </c>
      <c r="M27" s="3"/>
      <c r="N27" s="3"/>
      <c r="O27" s="3"/>
    </row>
    <row r="28" spans="2:27">
      <c r="B28" s="190"/>
      <c r="C28" s="2">
        <v>0.4597222222222222</v>
      </c>
      <c r="D28" s="3" t="s">
        <v>170</v>
      </c>
      <c r="E28" s="127">
        <v>13.517809307456799</v>
      </c>
      <c r="F28" s="3">
        <v>0</v>
      </c>
      <c r="G28" s="3">
        <v>137</v>
      </c>
      <c r="H28" s="3">
        <v>63</v>
      </c>
      <c r="I28" s="3">
        <v>57</v>
      </c>
      <c r="J28" s="3"/>
      <c r="K28" s="63">
        <v>10</v>
      </c>
      <c r="L28" s="63">
        <v>10</v>
      </c>
      <c r="M28" s="3"/>
      <c r="N28" s="3"/>
      <c r="O28" s="3"/>
      <c r="P28">
        <v>12</v>
      </c>
    </row>
    <row r="29" spans="2:27">
      <c r="B29" s="190"/>
      <c r="C29" s="30">
        <v>0.89583333333333337</v>
      </c>
      <c r="D29" s="31"/>
      <c r="E29" s="31"/>
      <c r="F29" s="31"/>
      <c r="G29" s="31"/>
      <c r="H29" s="31"/>
      <c r="I29" s="31"/>
      <c r="J29" s="31"/>
      <c r="K29" s="32" t="s">
        <v>20</v>
      </c>
      <c r="L29" s="32" t="s">
        <v>20</v>
      </c>
      <c r="M29" s="3"/>
      <c r="N29" s="3"/>
      <c r="O29" s="3"/>
    </row>
    <row r="30" spans="2:27">
      <c r="B30" s="190"/>
      <c r="C30" s="33">
        <v>0.90416666666666667</v>
      </c>
      <c r="D30" s="34"/>
      <c r="E30" s="34"/>
      <c r="F30" s="34"/>
      <c r="G30" s="34"/>
      <c r="H30" s="34"/>
      <c r="I30" s="34"/>
      <c r="J30" s="34"/>
      <c r="K30" s="35" t="s">
        <v>175</v>
      </c>
      <c r="L30" s="35" t="s">
        <v>175</v>
      </c>
      <c r="M30" s="3"/>
      <c r="N30" s="3"/>
      <c r="O30" s="3"/>
      <c r="P30">
        <v>45</v>
      </c>
    </row>
    <row r="31" spans="2:27">
      <c r="B31" s="190">
        <v>43679</v>
      </c>
      <c r="C31" s="30">
        <v>0.3263888888888889</v>
      </c>
      <c r="D31" s="31"/>
      <c r="E31" s="31"/>
      <c r="F31" s="31"/>
      <c r="G31" s="31"/>
      <c r="H31" s="31"/>
      <c r="I31" s="31"/>
      <c r="J31" s="31"/>
      <c r="K31" s="32" t="s">
        <v>20</v>
      </c>
      <c r="L31" s="32" t="s">
        <v>20</v>
      </c>
      <c r="M31" s="3"/>
      <c r="N31" s="3"/>
      <c r="O31" s="3"/>
    </row>
    <row r="32" spans="2:27">
      <c r="B32" s="190"/>
      <c r="C32" s="33">
        <v>0.3576388888888889</v>
      </c>
      <c r="D32" s="34"/>
      <c r="E32" s="34"/>
      <c r="F32" s="34"/>
      <c r="G32" s="34"/>
      <c r="H32" s="34"/>
      <c r="I32" s="34"/>
      <c r="J32" s="34"/>
      <c r="K32" s="35" t="s">
        <v>175</v>
      </c>
      <c r="L32" s="35" t="s">
        <v>175</v>
      </c>
      <c r="M32" s="3"/>
      <c r="N32" s="3"/>
      <c r="O32" s="3"/>
    </row>
    <row r="33" spans="2:15">
      <c r="B33" s="190"/>
      <c r="C33" s="2">
        <v>0.4465277777777778</v>
      </c>
      <c r="D33" s="3" t="s">
        <v>171</v>
      </c>
      <c r="E33" s="127">
        <v>30.870675400440302</v>
      </c>
      <c r="F33" s="3">
        <v>0</v>
      </c>
      <c r="G33" s="3">
        <v>135</v>
      </c>
      <c r="H33" s="3">
        <v>63</v>
      </c>
      <c r="I33" s="3">
        <v>54</v>
      </c>
      <c r="J33" s="3"/>
      <c r="K33" s="1">
        <v>10</v>
      </c>
      <c r="L33" s="1">
        <v>10</v>
      </c>
      <c r="M33" s="3"/>
      <c r="N33" s="3"/>
      <c r="O33" s="3"/>
    </row>
    <row r="34" spans="2:15">
      <c r="B34" s="190"/>
      <c r="C34" s="30">
        <v>0.81944444444444453</v>
      </c>
      <c r="D34" s="31"/>
      <c r="E34" s="31"/>
      <c r="F34" s="31"/>
      <c r="G34" s="31"/>
      <c r="H34" s="31"/>
      <c r="I34" s="31"/>
      <c r="J34" s="31"/>
      <c r="K34" s="32" t="s">
        <v>20</v>
      </c>
      <c r="L34" s="32" t="s">
        <v>20</v>
      </c>
      <c r="M34" s="3"/>
      <c r="N34" s="3"/>
      <c r="O34" s="3"/>
    </row>
    <row r="35" spans="2:15">
      <c r="B35" s="190"/>
      <c r="C35" s="33">
        <v>0.83194444444444438</v>
      </c>
      <c r="D35" s="34"/>
      <c r="E35" s="34"/>
      <c r="F35" s="34"/>
      <c r="G35" s="34"/>
      <c r="H35" s="34"/>
      <c r="I35" s="34"/>
      <c r="J35" s="34"/>
      <c r="K35" s="35" t="s">
        <v>175</v>
      </c>
      <c r="L35" s="35" t="s">
        <v>175</v>
      </c>
      <c r="M35" s="3"/>
      <c r="N35" s="3"/>
      <c r="O35" s="3"/>
    </row>
    <row r="36" spans="2:15">
      <c r="B36" s="5"/>
      <c r="C36" s="2"/>
      <c r="D36" s="3"/>
      <c r="E36" s="3"/>
      <c r="F36" s="3"/>
      <c r="G36" s="3"/>
      <c r="H36" s="3"/>
      <c r="I36" s="3"/>
      <c r="J36" s="3"/>
      <c r="K36" s="1"/>
      <c r="L36" s="3"/>
      <c r="M36" s="3"/>
      <c r="N36" s="3"/>
      <c r="O36" s="3"/>
    </row>
    <row r="37" spans="2:15">
      <c r="B37" s="5"/>
      <c r="C37" s="2"/>
      <c r="D37" s="3"/>
      <c r="E37" s="3"/>
      <c r="F37" s="3"/>
      <c r="G37" s="3"/>
      <c r="H37" s="3"/>
      <c r="I37" s="3"/>
      <c r="J37" s="3"/>
      <c r="K37" s="1"/>
      <c r="L37" s="3"/>
      <c r="M37" s="3"/>
      <c r="N37" s="3"/>
      <c r="O37" s="3"/>
    </row>
    <row r="38" spans="2:15">
      <c r="B38" s="5"/>
      <c r="C38" s="2"/>
      <c r="D38" s="3"/>
      <c r="E38" s="3"/>
      <c r="F38" s="3"/>
      <c r="G38" s="3"/>
      <c r="H38" s="3"/>
      <c r="I38" s="3"/>
      <c r="J38" s="3"/>
      <c r="K38" s="1"/>
      <c r="L38" s="3"/>
      <c r="M38" s="3"/>
      <c r="N38" s="3"/>
      <c r="O38" s="3"/>
    </row>
    <row r="39" spans="2:15">
      <c r="B39" s="5"/>
      <c r="C39" s="2"/>
      <c r="D39" s="3"/>
      <c r="E39" s="3"/>
      <c r="F39" s="3"/>
      <c r="G39" s="3"/>
      <c r="H39" s="3"/>
      <c r="I39" s="3"/>
      <c r="J39" s="3"/>
      <c r="K39" s="1"/>
      <c r="L39" s="3"/>
      <c r="M39" s="3"/>
      <c r="N39" s="3"/>
      <c r="O39" s="3"/>
    </row>
    <row r="40" spans="2:15">
      <c r="B40" s="5"/>
      <c r="C40" s="2"/>
      <c r="D40" s="3"/>
      <c r="E40" s="3"/>
      <c r="F40" s="3"/>
      <c r="G40" s="3"/>
      <c r="H40" s="3"/>
      <c r="I40" s="3"/>
      <c r="J40" s="3"/>
      <c r="K40" s="1"/>
      <c r="L40" s="3"/>
      <c r="M40" s="3"/>
      <c r="N40" s="3"/>
      <c r="O40" s="3"/>
    </row>
    <row r="41" spans="2:15">
      <c r="B41" s="5"/>
      <c r="C41" s="4"/>
      <c r="D41" s="3"/>
      <c r="E41" s="3"/>
      <c r="F41" s="3"/>
      <c r="G41" s="3"/>
      <c r="H41" s="3"/>
      <c r="I41" s="3"/>
      <c r="J41" s="3"/>
      <c r="K41" s="1"/>
      <c r="L41" s="3"/>
      <c r="M41" s="3"/>
      <c r="N41" s="3"/>
      <c r="O41" s="3"/>
    </row>
    <row r="42" spans="2:15">
      <c r="B42" s="5"/>
      <c r="C42" s="2"/>
      <c r="D42" s="3"/>
      <c r="E42" s="3"/>
      <c r="F42" s="3"/>
      <c r="G42" s="3"/>
      <c r="H42" s="3"/>
      <c r="I42" s="3"/>
      <c r="J42" s="3"/>
      <c r="K42" s="1"/>
      <c r="L42" s="3"/>
      <c r="M42" s="3"/>
      <c r="N42" s="3"/>
      <c r="O42" s="3"/>
    </row>
    <row r="43" spans="2:15">
      <c r="B43" s="5"/>
      <c r="C43" s="2"/>
      <c r="D43" s="3"/>
      <c r="E43" s="3"/>
      <c r="F43" s="3"/>
      <c r="G43" s="3"/>
      <c r="H43" s="3"/>
      <c r="I43" s="3"/>
      <c r="J43" s="3"/>
      <c r="K43" s="1"/>
      <c r="L43" s="3"/>
      <c r="M43" s="3"/>
      <c r="N43" s="3"/>
      <c r="O43" s="3"/>
    </row>
  </sheetData>
  <mergeCells count="29">
    <mergeCell ref="B25:B30"/>
    <mergeCell ref="B31:B35"/>
    <mergeCell ref="Q2:R2"/>
    <mergeCell ref="G3:I3"/>
    <mergeCell ref="K3:O4"/>
    <mergeCell ref="Q3:R3"/>
    <mergeCell ref="G4:H4"/>
    <mergeCell ref="I11:I12"/>
    <mergeCell ref="B2:B3"/>
    <mergeCell ref="C2:C3"/>
    <mergeCell ref="G2:I2"/>
    <mergeCell ref="K2:L2"/>
    <mergeCell ref="B11:B12"/>
    <mergeCell ref="C11:C12"/>
    <mergeCell ref="D11:D12"/>
    <mergeCell ref="F11:F12"/>
    <mergeCell ref="G11:H11"/>
    <mergeCell ref="K5:L5"/>
    <mergeCell ref="K6:L6"/>
    <mergeCell ref="B13:B24"/>
    <mergeCell ref="E11:E12"/>
    <mergeCell ref="Y10:AA10"/>
    <mergeCell ref="M20:N20"/>
    <mergeCell ref="J11:J12"/>
    <mergeCell ref="K11:L11"/>
    <mergeCell ref="M11:N11"/>
    <mergeCell ref="O11:O12"/>
    <mergeCell ref="V10:X10"/>
    <mergeCell ref="R12:R1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A36"/>
  <sheetViews>
    <sheetView zoomScale="90" zoomScaleNormal="90" workbookViewId="0">
      <selection activeCell="AA17" sqref="AA17"/>
    </sheetView>
  </sheetViews>
  <sheetFormatPr defaultRowHeight="14.4"/>
  <cols>
    <col min="1" max="1" width="3.109375" customWidth="1"/>
    <col min="2" max="2" width="11.44140625" bestFit="1" customWidth="1"/>
    <col min="3" max="3" width="14.6640625" customWidth="1"/>
    <col min="4" max="5" width="9.77734375" customWidth="1"/>
    <col min="6" max="6" width="6.33203125" customWidth="1"/>
    <col min="7" max="7" width="11.33203125" customWidth="1"/>
    <col min="8" max="8" width="8.21875" bestFit="1" customWidth="1"/>
    <col min="9" max="9" width="7.77734375" customWidth="1"/>
    <col min="10" max="10" width="8.5546875" customWidth="1"/>
    <col min="11" max="11" width="7.44140625" customWidth="1"/>
    <col min="12" max="12" width="6" customWidth="1"/>
    <col min="13" max="13" width="7.33203125" customWidth="1"/>
    <col min="14" max="14" width="6.5546875" customWidth="1"/>
    <col min="15" max="15" width="14.21875" customWidth="1"/>
    <col min="16" max="16" width="5.77734375" customWidth="1"/>
    <col min="17" max="17" width="6.44140625" customWidth="1"/>
    <col min="19" max="19" width="10.44140625" customWidth="1"/>
    <col min="23" max="23" width="7.44140625" customWidth="1"/>
    <col min="24" max="24" width="7.88671875" customWidth="1"/>
    <col min="25" max="25" width="7.109375" customWidth="1"/>
    <col min="26" max="26" width="7.6640625" customWidth="1"/>
    <col min="27" max="27" width="7.5546875" customWidth="1"/>
    <col min="28" max="28" width="7.109375" customWidth="1"/>
  </cols>
  <sheetData>
    <row r="2" spans="2:27">
      <c r="B2" s="170" t="s">
        <v>0</v>
      </c>
      <c r="C2" s="172" t="s">
        <v>183</v>
      </c>
      <c r="G2" s="175" t="s">
        <v>24</v>
      </c>
      <c r="H2" s="175"/>
      <c r="I2" s="175"/>
      <c r="K2" s="161" t="s">
        <v>32</v>
      </c>
      <c r="L2" s="162"/>
      <c r="Q2" s="159" t="s">
        <v>33</v>
      </c>
      <c r="R2" s="160"/>
      <c r="S2" s="17" t="s">
        <v>129</v>
      </c>
    </row>
    <row r="3" spans="2:27">
      <c r="B3" s="171"/>
      <c r="C3" s="173"/>
      <c r="G3" s="176" t="s">
        <v>38</v>
      </c>
      <c r="H3" s="176"/>
      <c r="I3" s="176"/>
      <c r="K3" s="194" t="s">
        <v>128</v>
      </c>
      <c r="L3" s="194"/>
      <c r="M3" s="194"/>
      <c r="N3" s="194"/>
      <c r="O3" s="194"/>
      <c r="Q3" s="159" t="s">
        <v>34</v>
      </c>
      <c r="R3" s="160"/>
      <c r="S3" s="17" t="s">
        <v>130</v>
      </c>
    </row>
    <row r="4" spans="2:27" ht="21">
      <c r="B4" s="12" t="s">
        <v>23</v>
      </c>
      <c r="C4" s="13">
        <v>1006</v>
      </c>
      <c r="G4" s="174" t="s">
        <v>19</v>
      </c>
      <c r="H4" s="174"/>
      <c r="K4" s="194"/>
      <c r="L4" s="194"/>
      <c r="M4" s="194"/>
      <c r="N4" s="194"/>
      <c r="O4" s="194"/>
    </row>
    <row r="5" spans="2:27">
      <c r="B5" s="6" t="s">
        <v>1</v>
      </c>
      <c r="C5" s="7">
        <v>73</v>
      </c>
      <c r="G5" s="9" t="s">
        <v>25</v>
      </c>
      <c r="H5" s="25">
        <v>0.4548611111111111</v>
      </c>
      <c r="I5" s="43" t="s">
        <v>184</v>
      </c>
      <c r="K5" s="157" t="s">
        <v>25</v>
      </c>
      <c r="L5" s="158"/>
      <c r="M5" s="40" t="s">
        <v>178</v>
      </c>
      <c r="N5" s="25">
        <v>0.45763888888888887</v>
      </c>
    </row>
    <row r="6" spans="2:27">
      <c r="B6" s="6" t="s">
        <v>2</v>
      </c>
      <c r="C6" s="8">
        <v>163</v>
      </c>
      <c r="G6" s="9" t="s">
        <v>26</v>
      </c>
      <c r="H6" s="25">
        <v>0.5444444444444444</v>
      </c>
      <c r="K6" s="157" t="s">
        <v>26</v>
      </c>
      <c r="L6" s="158"/>
      <c r="M6" s="40" t="s">
        <v>207</v>
      </c>
      <c r="N6" s="25">
        <v>0.54652777777777783</v>
      </c>
      <c r="O6">
        <f>1+50*60+7-20</f>
        <v>2988</v>
      </c>
    </row>
    <row r="7" spans="2:27">
      <c r="B7" s="6" t="s">
        <v>3</v>
      </c>
      <c r="C7" s="8" t="s">
        <v>102</v>
      </c>
    </row>
    <row r="8" spans="2:27">
      <c r="B8" s="6" t="s">
        <v>8</v>
      </c>
      <c r="C8" s="8">
        <v>64</v>
      </c>
    </row>
    <row r="10" spans="2:27" ht="15" thickBot="1">
      <c r="V10" s="154" t="s">
        <v>63</v>
      </c>
      <c r="W10" s="155"/>
      <c r="X10" s="156"/>
      <c r="Y10" s="154" t="s">
        <v>62</v>
      </c>
      <c r="Z10" s="155"/>
      <c r="AA10" s="156"/>
    </row>
    <row r="11" spans="2:27" ht="15" customHeight="1">
      <c r="B11" s="165" t="s">
        <v>4</v>
      </c>
      <c r="C11" s="165" t="s">
        <v>5</v>
      </c>
      <c r="D11" s="165" t="s">
        <v>6</v>
      </c>
      <c r="E11" s="165" t="s">
        <v>671</v>
      </c>
      <c r="F11" s="165" t="s">
        <v>28</v>
      </c>
      <c r="G11" s="177" t="s">
        <v>7</v>
      </c>
      <c r="H11" s="178"/>
      <c r="I11" s="165" t="s">
        <v>9</v>
      </c>
      <c r="J11" s="165" t="s">
        <v>29</v>
      </c>
      <c r="K11" s="177" t="s">
        <v>27</v>
      </c>
      <c r="L11" s="178"/>
      <c r="M11" s="177" t="s">
        <v>31</v>
      </c>
      <c r="N11" s="178"/>
      <c r="O11" s="165" t="s">
        <v>30</v>
      </c>
      <c r="R11" s="10" t="s">
        <v>10</v>
      </c>
      <c r="S11" s="10" t="s">
        <v>11</v>
      </c>
      <c r="T11" s="10" t="s">
        <v>12</v>
      </c>
      <c r="U11" s="10" t="s">
        <v>13</v>
      </c>
      <c r="V11" s="23" t="s">
        <v>14</v>
      </c>
      <c r="W11" s="22" t="s">
        <v>15</v>
      </c>
      <c r="X11" s="22" t="s">
        <v>35</v>
      </c>
      <c r="Y11" s="24" t="s">
        <v>14</v>
      </c>
      <c r="Z11" s="24" t="s">
        <v>36</v>
      </c>
      <c r="AA11" s="24" t="s">
        <v>37</v>
      </c>
    </row>
    <row r="12" spans="2:27">
      <c r="B12" s="166"/>
      <c r="C12" s="166"/>
      <c r="D12" s="166"/>
      <c r="E12" s="166"/>
      <c r="F12" s="166"/>
      <c r="G12" s="18" t="s">
        <v>16</v>
      </c>
      <c r="H12" s="19" t="s">
        <v>17</v>
      </c>
      <c r="I12" s="166"/>
      <c r="J12" s="166"/>
      <c r="K12" s="20" t="s">
        <v>63</v>
      </c>
      <c r="L12" s="21" t="s">
        <v>87</v>
      </c>
      <c r="M12" s="20" t="s">
        <v>63</v>
      </c>
      <c r="N12" s="21" t="s">
        <v>87</v>
      </c>
      <c r="O12" s="166"/>
      <c r="R12" s="197" t="s">
        <v>178</v>
      </c>
      <c r="S12" s="2">
        <v>0.4993055555555555</v>
      </c>
      <c r="T12" s="2">
        <v>0.46111111111111108</v>
      </c>
      <c r="U12" s="11">
        <v>5</v>
      </c>
      <c r="V12" s="11">
        <v>60</v>
      </c>
      <c r="W12" s="1">
        <f>V12*0.25</f>
        <v>15</v>
      </c>
      <c r="X12" s="1">
        <f>W12*U12/60</f>
        <v>1.25</v>
      </c>
      <c r="Y12" s="11">
        <v>60</v>
      </c>
      <c r="Z12" s="1">
        <f>Y12*1.9</f>
        <v>114</v>
      </c>
      <c r="AA12" s="1">
        <f>Z12*U12/60</f>
        <v>9.5</v>
      </c>
    </row>
    <row r="13" spans="2:27">
      <c r="B13" s="167">
        <v>43678</v>
      </c>
      <c r="C13" s="2">
        <v>0.45555555555555555</v>
      </c>
      <c r="D13" s="3" t="s">
        <v>186</v>
      </c>
      <c r="E13" s="127">
        <v>0.50988830157578302</v>
      </c>
      <c r="F13" s="3"/>
      <c r="G13" s="3">
        <v>146</v>
      </c>
      <c r="H13" s="3">
        <v>94</v>
      </c>
      <c r="I13" s="3">
        <v>70</v>
      </c>
      <c r="J13" s="3"/>
      <c r="K13" s="1"/>
      <c r="L13" s="3"/>
      <c r="M13" s="3"/>
      <c r="N13" s="3"/>
      <c r="O13" s="3"/>
      <c r="R13" s="197"/>
      <c r="S13" s="2">
        <v>0.46111111111111108</v>
      </c>
      <c r="T13" s="2">
        <v>0.4993055555555555</v>
      </c>
      <c r="U13" s="11">
        <v>55</v>
      </c>
      <c r="V13" s="11">
        <v>7</v>
      </c>
      <c r="W13" s="1">
        <f>V13*0.25</f>
        <v>1.75</v>
      </c>
      <c r="X13" s="1">
        <f>W13*U13/60</f>
        <v>1.6041666666666667</v>
      </c>
      <c r="Y13" s="11">
        <v>7</v>
      </c>
      <c r="Z13" s="1">
        <f>Y13*1.9</f>
        <v>13.299999999999999</v>
      </c>
      <c r="AA13" s="1">
        <f>Z13*U13/60</f>
        <v>12.191666666666665</v>
      </c>
    </row>
    <row r="14" spans="2:27">
      <c r="B14" s="168"/>
      <c r="C14" s="33">
        <v>0.45763888888888887</v>
      </c>
      <c r="D14" s="34"/>
      <c r="E14" s="34"/>
      <c r="F14" s="34" t="s">
        <v>370</v>
      </c>
      <c r="G14" s="34">
        <v>146</v>
      </c>
      <c r="H14" s="34">
        <v>94</v>
      </c>
      <c r="I14" s="34">
        <v>70</v>
      </c>
      <c r="J14" s="34"/>
      <c r="K14" s="35" t="s">
        <v>205</v>
      </c>
      <c r="L14" s="34"/>
      <c r="M14" s="198" t="s">
        <v>91</v>
      </c>
      <c r="N14" s="198"/>
      <c r="O14" s="3" t="s">
        <v>204</v>
      </c>
      <c r="R14" s="197"/>
      <c r="S14" s="2">
        <v>0.4993055555555555</v>
      </c>
      <c r="T14" s="2">
        <v>0.88541666666666663</v>
      </c>
      <c r="U14" s="11">
        <f>9*60+16</f>
        <v>556</v>
      </c>
      <c r="V14" s="11">
        <v>5</v>
      </c>
      <c r="W14" s="1">
        <f>V14*0.25</f>
        <v>1.25</v>
      </c>
      <c r="X14" s="1">
        <f>W14*U14/60</f>
        <v>11.583333333333334</v>
      </c>
      <c r="Y14" s="11">
        <v>5</v>
      </c>
      <c r="Z14" s="1">
        <f>Y14*1.9</f>
        <v>9.5</v>
      </c>
      <c r="AA14" s="1">
        <f>Z14*U14/60</f>
        <v>88.033333333333331</v>
      </c>
    </row>
    <row r="15" spans="2:27">
      <c r="B15" s="168"/>
      <c r="C15" s="2">
        <v>0.46111111111111108</v>
      </c>
      <c r="D15" s="3"/>
      <c r="E15" s="3"/>
      <c r="F15" s="3" t="s">
        <v>370</v>
      </c>
      <c r="G15" s="3"/>
      <c r="H15" s="3"/>
      <c r="I15" s="3"/>
      <c r="J15" s="3"/>
      <c r="K15" s="11">
        <v>7</v>
      </c>
      <c r="L15" s="11">
        <v>7</v>
      </c>
      <c r="M15" s="11"/>
      <c r="N15" s="11"/>
      <c r="O15" s="3"/>
      <c r="R15" s="52" t="s">
        <v>179</v>
      </c>
      <c r="S15" s="2">
        <v>0.89583333333333337</v>
      </c>
      <c r="T15" s="2">
        <v>0.54583333333333328</v>
      </c>
      <c r="U15" s="11">
        <f>15.5*60+6</f>
        <v>936</v>
      </c>
      <c r="V15" s="11">
        <v>5</v>
      </c>
      <c r="W15" s="1">
        <f>V15*0.25</f>
        <v>1.25</v>
      </c>
      <c r="X15" s="1">
        <f>W15*U15/60</f>
        <v>19.5</v>
      </c>
      <c r="Y15" s="11">
        <v>5</v>
      </c>
      <c r="Z15" s="1">
        <f>Y15*1.9</f>
        <v>9.5</v>
      </c>
      <c r="AA15" s="1">
        <f>Z15*U15/60</f>
        <v>148.19999999999999</v>
      </c>
    </row>
    <row r="16" spans="2:27">
      <c r="B16" s="168"/>
      <c r="C16" s="2">
        <v>0.46597222222222223</v>
      </c>
      <c r="D16" s="3" t="s">
        <v>187</v>
      </c>
      <c r="E16" s="127">
        <v>2.1387134276527702</v>
      </c>
      <c r="F16" s="3" t="s">
        <v>370</v>
      </c>
      <c r="G16" s="3">
        <v>127</v>
      </c>
      <c r="H16" s="3">
        <v>70</v>
      </c>
      <c r="I16" s="3">
        <v>65</v>
      </c>
      <c r="J16" s="3"/>
      <c r="K16" s="3">
        <v>7</v>
      </c>
      <c r="L16" s="3">
        <v>7</v>
      </c>
      <c r="M16" s="3"/>
      <c r="N16" s="3"/>
      <c r="O16" s="3"/>
      <c r="R16" s="52" t="s">
        <v>206</v>
      </c>
      <c r="S16" s="2">
        <v>0.5493055555555556</v>
      </c>
      <c r="T16" s="2">
        <v>0.54652777777777783</v>
      </c>
      <c r="U16" s="11">
        <f>24*60-4</f>
        <v>1436</v>
      </c>
      <c r="V16" s="11">
        <v>5</v>
      </c>
      <c r="W16" s="1">
        <f>V16*0.25</f>
        <v>1.25</v>
      </c>
      <c r="X16" s="1">
        <f>W16*U16/60</f>
        <v>29.916666666666668</v>
      </c>
      <c r="Y16" s="11">
        <v>5</v>
      </c>
      <c r="Z16" s="1">
        <f>Y16*1.9</f>
        <v>9.5</v>
      </c>
      <c r="AA16" s="1">
        <f>Z16*U16/60</f>
        <v>227.36666666666667</v>
      </c>
    </row>
    <row r="17" spans="2:27">
      <c r="B17" s="168"/>
      <c r="C17" s="2">
        <v>0.48194444444444445</v>
      </c>
      <c r="D17" s="3" t="s">
        <v>188</v>
      </c>
      <c r="E17" s="127">
        <v>1.7774528143000901</v>
      </c>
      <c r="F17" s="3" t="s">
        <v>370</v>
      </c>
      <c r="G17" s="3">
        <v>124</v>
      </c>
      <c r="H17" s="3">
        <v>74</v>
      </c>
      <c r="I17" s="3">
        <v>67</v>
      </c>
      <c r="J17" s="3"/>
      <c r="K17" s="3">
        <v>7</v>
      </c>
      <c r="L17" s="3">
        <v>7</v>
      </c>
      <c r="M17" s="3"/>
      <c r="N17" s="3"/>
      <c r="O17" s="3"/>
      <c r="R17" s="10" t="s">
        <v>21</v>
      </c>
      <c r="S17" s="11"/>
      <c r="T17" s="11"/>
      <c r="U17" s="10">
        <f>SUM(U12:U16)</f>
        <v>2988</v>
      </c>
      <c r="X17" s="10">
        <f>SUM(X12:X16)</f>
        <v>63.854166666666671</v>
      </c>
      <c r="AA17" s="10">
        <f>SUM(AA12:AA16)</f>
        <v>485.29166666666663</v>
      </c>
    </row>
    <row r="18" spans="2:27">
      <c r="B18" s="168"/>
      <c r="C18" s="2">
        <v>0.4993055555555555</v>
      </c>
      <c r="D18" s="3"/>
      <c r="F18" s="3" t="s">
        <v>370</v>
      </c>
      <c r="G18" s="3">
        <v>75</v>
      </c>
      <c r="H18" s="3">
        <v>50</v>
      </c>
      <c r="I18" s="3">
        <v>56</v>
      </c>
      <c r="J18" s="3"/>
      <c r="K18" s="44">
        <v>5</v>
      </c>
      <c r="L18" s="44">
        <v>5</v>
      </c>
      <c r="M18" s="3"/>
      <c r="N18" s="3"/>
      <c r="O18" s="3" t="s">
        <v>203</v>
      </c>
      <c r="U18">
        <f>U17/60</f>
        <v>49.8</v>
      </c>
    </row>
    <row r="19" spans="2:27">
      <c r="B19" s="168"/>
      <c r="C19" s="2">
        <v>0.50347222222222221</v>
      </c>
      <c r="D19" s="3" t="s">
        <v>189</v>
      </c>
      <c r="E19" s="127">
        <v>1.0612369400517301</v>
      </c>
      <c r="F19" s="3" t="s">
        <v>370</v>
      </c>
      <c r="G19" s="3">
        <v>108</v>
      </c>
      <c r="H19" s="3">
        <v>72</v>
      </c>
      <c r="I19" s="3">
        <v>65</v>
      </c>
      <c r="J19" s="3"/>
      <c r="K19" s="3">
        <v>5</v>
      </c>
      <c r="L19" s="3">
        <v>5</v>
      </c>
      <c r="M19" s="3"/>
      <c r="N19" s="3"/>
      <c r="O19" s="3"/>
      <c r="X19">
        <f>X17/U17*60</f>
        <v>1.2822121820615797</v>
      </c>
      <c r="AA19">
        <f>AA17/U17*60</f>
        <v>9.7448125836680042</v>
      </c>
    </row>
    <row r="20" spans="2:27">
      <c r="B20" s="168"/>
      <c r="C20" s="2">
        <v>0.5444444444444444</v>
      </c>
      <c r="D20" s="3" t="s">
        <v>190</v>
      </c>
      <c r="E20" s="127">
        <v>2.4760477928131999</v>
      </c>
      <c r="F20" s="3" t="s">
        <v>370</v>
      </c>
      <c r="G20" s="3">
        <v>90</v>
      </c>
      <c r="H20" s="3">
        <v>63</v>
      </c>
      <c r="I20" s="3">
        <v>62</v>
      </c>
      <c r="J20" s="3"/>
      <c r="K20" s="3">
        <v>5</v>
      </c>
      <c r="L20" s="3">
        <v>5</v>
      </c>
      <c r="M20" s="3"/>
      <c r="N20" s="3"/>
      <c r="O20" s="3"/>
    </row>
    <row r="21" spans="2:27">
      <c r="B21" s="168"/>
      <c r="C21" s="2">
        <v>0.71111111111111114</v>
      </c>
      <c r="D21" s="3" t="s">
        <v>191</v>
      </c>
      <c r="E21" s="127">
        <v>6.5901992202105699</v>
      </c>
      <c r="F21" s="3">
        <v>0</v>
      </c>
      <c r="G21" s="3">
        <v>142</v>
      </c>
      <c r="H21" s="3">
        <v>78</v>
      </c>
      <c r="I21" s="3">
        <v>74</v>
      </c>
      <c r="J21" s="3"/>
      <c r="K21" s="3">
        <v>5</v>
      </c>
      <c r="L21" s="3">
        <v>5</v>
      </c>
      <c r="M21" s="3"/>
      <c r="N21" s="3"/>
      <c r="O21" s="3"/>
    </row>
    <row r="22" spans="2:27">
      <c r="B22" s="168"/>
      <c r="C22" s="30">
        <v>0.88541666666666663</v>
      </c>
      <c r="D22" s="31"/>
      <c r="E22" s="31"/>
      <c r="F22" s="31"/>
      <c r="G22" s="31"/>
      <c r="H22" s="31"/>
      <c r="I22" s="31"/>
      <c r="J22" s="31"/>
      <c r="K22" s="31" t="s">
        <v>20</v>
      </c>
      <c r="L22" s="31" t="s">
        <v>20</v>
      </c>
      <c r="M22" s="3"/>
      <c r="N22" s="3"/>
      <c r="O22" s="3"/>
      <c r="P22">
        <v>15</v>
      </c>
    </row>
    <row r="23" spans="2:27">
      <c r="B23" s="168"/>
      <c r="C23" s="33">
        <v>0.89583333333333337</v>
      </c>
      <c r="D23" s="34"/>
      <c r="E23" s="34"/>
      <c r="F23" s="34"/>
      <c r="G23" s="34"/>
      <c r="H23" s="34"/>
      <c r="I23" s="34"/>
      <c r="J23" s="34"/>
      <c r="K23" s="34" t="s">
        <v>58</v>
      </c>
      <c r="L23" s="34" t="s">
        <v>58</v>
      </c>
      <c r="M23" s="3"/>
      <c r="N23" s="3"/>
      <c r="O23" s="3"/>
    </row>
    <row r="24" spans="2:27">
      <c r="B24" s="169"/>
      <c r="C24" s="2">
        <v>0.96458333333333324</v>
      </c>
      <c r="D24" s="3" t="s">
        <v>192</v>
      </c>
      <c r="E24" s="127">
        <v>4.2426239293881904</v>
      </c>
      <c r="F24" s="3"/>
      <c r="G24" s="3">
        <v>112</v>
      </c>
      <c r="H24" s="3">
        <v>61</v>
      </c>
      <c r="I24" s="3">
        <v>78</v>
      </c>
      <c r="J24" s="3"/>
      <c r="K24" s="3">
        <v>5</v>
      </c>
      <c r="L24" s="3">
        <v>5</v>
      </c>
      <c r="M24" s="3"/>
      <c r="N24" s="3"/>
      <c r="O24" s="3"/>
    </row>
    <row r="25" spans="2:27">
      <c r="B25" s="167">
        <v>43679</v>
      </c>
      <c r="C25" s="2">
        <v>0.49513888888888885</v>
      </c>
      <c r="D25" s="3" t="s">
        <v>193</v>
      </c>
      <c r="E25" s="127">
        <v>5.4403942073676399</v>
      </c>
      <c r="F25" s="3">
        <v>0</v>
      </c>
      <c r="G25" s="3">
        <v>137</v>
      </c>
      <c r="H25" s="3">
        <v>76</v>
      </c>
      <c r="I25" s="3">
        <v>77</v>
      </c>
      <c r="J25" s="3"/>
      <c r="K25" s="3">
        <v>5</v>
      </c>
      <c r="L25" s="3">
        <v>5</v>
      </c>
      <c r="M25" s="3"/>
      <c r="N25" s="3"/>
      <c r="O25" s="3"/>
    </row>
    <row r="26" spans="2:27">
      <c r="B26" s="168"/>
      <c r="C26" s="30">
        <v>0.54583333333333328</v>
      </c>
      <c r="D26" s="31"/>
      <c r="E26" s="31"/>
      <c r="F26" s="31"/>
      <c r="G26" s="31"/>
      <c r="H26" s="31"/>
      <c r="I26" s="31"/>
      <c r="J26" s="31"/>
      <c r="K26" s="31" t="s">
        <v>20</v>
      </c>
      <c r="L26" s="31" t="s">
        <v>20</v>
      </c>
      <c r="M26" s="3"/>
      <c r="N26" s="3"/>
      <c r="O26" s="3"/>
      <c r="P26">
        <v>5</v>
      </c>
    </row>
    <row r="27" spans="2:27">
      <c r="B27" s="169"/>
      <c r="C27" s="33">
        <v>0.5493055555555556</v>
      </c>
      <c r="D27" s="34"/>
      <c r="E27" s="34"/>
      <c r="F27" s="34"/>
      <c r="G27" s="34"/>
      <c r="H27" s="34"/>
      <c r="I27" s="34"/>
      <c r="J27" s="34"/>
      <c r="K27" s="34" t="s">
        <v>58</v>
      </c>
      <c r="L27" s="34" t="s">
        <v>58</v>
      </c>
      <c r="M27" s="3"/>
      <c r="N27" s="3"/>
      <c r="O27" s="3"/>
    </row>
    <row r="28" spans="2:27">
      <c r="B28" s="167">
        <v>43680</v>
      </c>
      <c r="C28" s="30">
        <v>0.54652777777777783</v>
      </c>
      <c r="D28" s="31" t="s">
        <v>194</v>
      </c>
      <c r="E28" s="31">
        <v>4.9388141768532501</v>
      </c>
      <c r="F28" s="31">
        <v>0</v>
      </c>
      <c r="G28" s="31">
        <v>144</v>
      </c>
      <c r="H28" s="31">
        <v>77</v>
      </c>
      <c r="I28" s="31">
        <v>87</v>
      </c>
      <c r="J28" s="31"/>
      <c r="K28" s="31" t="s">
        <v>20</v>
      </c>
      <c r="L28" s="31" t="s">
        <v>20</v>
      </c>
      <c r="M28" s="3"/>
      <c r="N28" s="3"/>
      <c r="O28" s="3"/>
    </row>
    <row r="29" spans="2:27">
      <c r="B29" s="168"/>
      <c r="C29" s="2">
        <v>0.5493055555555556</v>
      </c>
      <c r="D29" s="3" t="s">
        <v>195</v>
      </c>
      <c r="E29" s="3">
        <v>5.6167493444402998</v>
      </c>
      <c r="F29" s="3">
        <v>0</v>
      </c>
      <c r="G29" s="3">
        <v>144</v>
      </c>
      <c r="H29" s="3">
        <v>77</v>
      </c>
      <c r="I29" s="3">
        <v>82</v>
      </c>
      <c r="J29" s="3"/>
      <c r="K29" s="1"/>
      <c r="L29" s="3"/>
      <c r="M29" s="3"/>
      <c r="N29" s="3"/>
      <c r="O29" s="3"/>
    </row>
    <row r="30" spans="2:27">
      <c r="B30" s="168"/>
      <c r="C30" s="2">
        <v>0.55069444444444449</v>
      </c>
      <c r="D30" s="3" t="s">
        <v>196</v>
      </c>
      <c r="E30" s="3">
        <v>7.1901519019353399</v>
      </c>
      <c r="F30" s="3">
        <v>0</v>
      </c>
      <c r="G30" s="3">
        <v>143</v>
      </c>
      <c r="H30" s="3">
        <v>72</v>
      </c>
      <c r="I30" s="3">
        <v>81</v>
      </c>
      <c r="J30" s="3"/>
      <c r="K30" s="1"/>
      <c r="L30" s="3"/>
      <c r="M30" s="3"/>
      <c r="N30" s="3"/>
      <c r="O30" s="3"/>
    </row>
    <row r="31" spans="2:27">
      <c r="B31" s="168"/>
      <c r="C31" s="2">
        <v>0.56111111111111112</v>
      </c>
      <c r="D31" s="3" t="s">
        <v>197</v>
      </c>
      <c r="E31" s="3">
        <v>4.51921631711771</v>
      </c>
      <c r="F31" s="3">
        <v>0</v>
      </c>
      <c r="G31" s="3">
        <v>148</v>
      </c>
      <c r="H31" s="3">
        <v>80</v>
      </c>
      <c r="I31" s="3">
        <v>79</v>
      </c>
      <c r="J31" s="3"/>
      <c r="K31" s="1"/>
      <c r="L31" s="3"/>
      <c r="M31" s="3"/>
      <c r="N31" s="3"/>
      <c r="O31" s="3"/>
    </row>
    <row r="32" spans="2:27">
      <c r="B32" s="168"/>
      <c r="C32" s="2">
        <v>0.58333333333333337</v>
      </c>
      <c r="D32" s="3" t="s">
        <v>198</v>
      </c>
      <c r="E32" s="3">
        <v>6.9732468778160701</v>
      </c>
      <c r="F32" s="3">
        <v>0</v>
      </c>
      <c r="G32" s="3">
        <v>140</v>
      </c>
      <c r="H32" s="3">
        <v>90</v>
      </c>
      <c r="I32" s="3">
        <v>80</v>
      </c>
      <c r="J32" s="3"/>
      <c r="K32" s="1"/>
      <c r="L32" s="3"/>
      <c r="M32" s="3"/>
      <c r="N32" s="3"/>
      <c r="O32" s="3"/>
    </row>
    <row r="33" spans="2:15">
      <c r="B33" s="168"/>
      <c r="C33" s="2">
        <v>0.60625000000000007</v>
      </c>
      <c r="D33" s="3" t="s">
        <v>199</v>
      </c>
      <c r="E33" s="3">
        <v>7.6712003677981304</v>
      </c>
      <c r="F33" s="3">
        <v>1</v>
      </c>
      <c r="G33" s="3">
        <v>140</v>
      </c>
      <c r="H33" s="3">
        <v>90</v>
      </c>
      <c r="I33" s="3">
        <v>77</v>
      </c>
      <c r="J33" s="3"/>
      <c r="K33" s="1"/>
      <c r="L33" s="3"/>
      <c r="M33" s="3"/>
      <c r="N33" s="3"/>
      <c r="O33" s="3"/>
    </row>
    <row r="34" spans="2:15">
      <c r="B34" s="168"/>
      <c r="C34" s="4" t="s">
        <v>185</v>
      </c>
      <c r="D34" s="3" t="s">
        <v>200</v>
      </c>
      <c r="E34" s="3">
        <v>9.6499062510551905</v>
      </c>
      <c r="F34" s="3">
        <v>4</v>
      </c>
      <c r="G34" s="3">
        <v>157</v>
      </c>
      <c r="H34" s="3">
        <v>67</v>
      </c>
      <c r="I34" s="3">
        <v>84</v>
      </c>
      <c r="J34" s="3"/>
      <c r="K34" s="1"/>
      <c r="L34" s="3"/>
      <c r="M34" s="3"/>
      <c r="N34" s="3"/>
      <c r="O34" s="3"/>
    </row>
    <row r="35" spans="2:15">
      <c r="B35" s="168"/>
      <c r="C35" s="2">
        <v>0.81458333333333333</v>
      </c>
      <c r="D35" s="3" t="s">
        <v>201</v>
      </c>
      <c r="E35" s="3">
        <v>11.1713060570683</v>
      </c>
      <c r="F35" s="3">
        <v>5</v>
      </c>
      <c r="G35" s="3">
        <v>167</v>
      </c>
      <c r="H35" s="3">
        <v>81</v>
      </c>
      <c r="I35" s="3">
        <v>85</v>
      </c>
      <c r="J35" s="3"/>
      <c r="K35" s="1"/>
      <c r="L35" s="3"/>
      <c r="M35" s="3"/>
      <c r="N35" s="3"/>
      <c r="O35" s="3"/>
    </row>
    <row r="36" spans="2:15">
      <c r="B36" s="169"/>
      <c r="C36" s="2">
        <v>0.97916666666666663</v>
      </c>
      <c r="D36" s="3" t="s">
        <v>202</v>
      </c>
      <c r="E36" s="3">
        <v>6.9825882787213303</v>
      </c>
      <c r="F36" s="3">
        <v>0</v>
      </c>
      <c r="G36" s="3">
        <v>150</v>
      </c>
      <c r="H36" s="3">
        <v>82</v>
      </c>
      <c r="I36" s="3">
        <v>85</v>
      </c>
      <c r="J36" s="3"/>
      <c r="K36" s="1"/>
      <c r="L36" s="3"/>
      <c r="M36" s="3"/>
      <c r="N36" s="3"/>
      <c r="O36" s="3"/>
    </row>
  </sheetData>
  <mergeCells count="29">
    <mergeCell ref="Q2:R2"/>
    <mergeCell ref="G3:I3"/>
    <mergeCell ref="K3:O4"/>
    <mergeCell ref="Q3:R3"/>
    <mergeCell ref="G4:H4"/>
    <mergeCell ref="B2:B3"/>
    <mergeCell ref="C2:C3"/>
    <mergeCell ref="G2:I2"/>
    <mergeCell ref="K2:L2"/>
    <mergeCell ref="B11:B12"/>
    <mergeCell ref="C11:C12"/>
    <mergeCell ref="D11:D12"/>
    <mergeCell ref="F11:F12"/>
    <mergeCell ref="G11:H11"/>
    <mergeCell ref="J11:J12"/>
    <mergeCell ref="E11:E12"/>
    <mergeCell ref="V10:X10"/>
    <mergeCell ref="Y10:AA10"/>
    <mergeCell ref="K11:L11"/>
    <mergeCell ref="M11:N11"/>
    <mergeCell ref="O11:O12"/>
    <mergeCell ref="B13:B24"/>
    <mergeCell ref="B25:B27"/>
    <mergeCell ref="B28:B36"/>
    <mergeCell ref="R12:R14"/>
    <mergeCell ref="K5:L5"/>
    <mergeCell ref="K6:L6"/>
    <mergeCell ref="M14:N14"/>
    <mergeCell ref="I11:I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AB41"/>
  <sheetViews>
    <sheetView zoomScale="90" zoomScaleNormal="90" workbookViewId="0">
      <selection activeCell="R46" sqref="R46"/>
    </sheetView>
  </sheetViews>
  <sheetFormatPr defaultRowHeight="14.4"/>
  <cols>
    <col min="1" max="1" width="4" customWidth="1"/>
    <col min="2" max="2" width="11.44140625" bestFit="1" customWidth="1"/>
    <col min="3" max="3" width="14.6640625" customWidth="1"/>
    <col min="4" max="5" width="9.77734375" customWidth="1"/>
    <col min="6" max="6" width="8.109375" customWidth="1"/>
    <col min="7" max="7" width="11.33203125" customWidth="1"/>
    <col min="8" max="8" width="8.21875" bestFit="1" customWidth="1"/>
    <col min="9" max="9" width="7.77734375" customWidth="1"/>
    <col min="10" max="10" width="8.5546875" customWidth="1"/>
    <col min="11" max="11" width="7.44140625" customWidth="1"/>
    <col min="12" max="12" width="6.44140625" customWidth="1"/>
    <col min="13" max="14" width="7.33203125" customWidth="1"/>
    <col min="15" max="15" width="14.21875" customWidth="1"/>
    <col min="16" max="16" width="6.5546875" customWidth="1"/>
    <col min="17" max="17" width="6.44140625" customWidth="1"/>
    <col min="18" max="18" width="9.88671875" customWidth="1"/>
    <col min="19" max="19" width="10.44140625" customWidth="1"/>
    <col min="21" max="21" width="7.44140625" customWidth="1"/>
    <col min="22" max="22" width="7.5546875" customWidth="1"/>
    <col min="23" max="23" width="5.44140625" bestFit="1" customWidth="1"/>
    <col min="24" max="24" width="7.44140625" customWidth="1"/>
    <col min="25" max="25" width="7.88671875" customWidth="1"/>
    <col min="26" max="26" width="5.44140625" bestFit="1" customWidth="1"/>
    <col min="27" max="27" width="7.6640625" customWidth="1"/>
    <col min="28" max="28" width="7.5546875" customWidth="1"/>
    <col min="29" max="29" width="7.109375" customWidth="1"/>
  </cols>
  <sheetData>
    <row r="2" spans="2:28">
      <c r="B2" s="170" t="s">
        <v>0</v>
      </c>
      <c r="C2" s="172" t="s">
        <v>208</v>
      </c>
      <c r="G2" s="175" t="s">
        <v>24</v>
      </c>
      <c r="H2" s="175"/>
      <c r="I2" s="175"/>
      <c r="K2" s="161" t="s">
        <v>32</v>
      </c>
      <c r="L2" s="162"/>
      <c r="Q2" s="159" t="s">
        <v>33</v>
      </c>
      <c r="R2" s="160"/>
      <c r="S2" s="17" t="s">
        <v>129</v>
      </c>
    </row>
    <row r="3" spans="2:28">
      <c r="B3" s="171"/>
      <c r="C3" s="173"/>
      <c r="G3" s="176" t="s">
        <v>38</v>
      </c>
      <c r="H3" s="176"/>
      <c r="I3" s="176"/>
      <c r="K3" s="194" t="s">
        <v>128</v>
      </c>
      <c r="L3" s="194"/>
      <c r="M3" s="194"/>
      <c r="N3" s="194"/>
      <c r="O3" s="194"/>
      <c r="Q3" s="159" t="s">
        <v>34</v>
      </c>
      <c r="R3" s="160"/>
      <c r="S3" s="17" t="s">
        <v>130</v>
      </c>
    </row>
    <row r="4" spans="2:28" ht="21">
      <c r="B4" s="12" t="s">
        <v>23</v>
      </c>
      <c r="C4" s="13">
        <v>1007</v>
      </c>
      <c r="G4" s="174" t="s">
        <v>19</v>
      </c>
      <c r="H4" s="174"/>
      <c r="K4" s="194"/>
      <c r="L4" s="194"/>
      <c r="M4" s="194"/>
      <c r="N4" s="194"/>
      <c r="O4" s="194"/>
    </row>
    <row r="5" spans="2:28">
      <c r="B5" s="6" t="s">
        <v>1</v>
      </c>
      <c r="C5" s="7">
        <v>84</v>
      </c>
      <c r="G5" s="9" t="s">
        <v>25</v>
      </c>
      <c r="H5" s="25">
        <v>0.36458333333333331</v>
      </c>
      <c r="I5" t="s">
        <v>209</v>
      </c>
      <c r="K5" s="157" t="s">
        <v>25</v>
      </c>
      <c r="L5" s="158"/>
      <c r="M5" s="25">
        <v>0.39027777777777778</v>
      </c>
      <c r="N5" s="40" t="s">
        <v>209</v>
      </c>
      <c r="O5">
        <f>38+50*60+20</f>
        <v>3058</v>
      </c>
      <c r="P5">
        <f>O5-137</f>
        <v>2921</v>
      </c>
    </row>
    <row r="6" spans="2:28">
      <c r="B6" s="6" t="s">
        <v>2</v>
      </c>
      <c r="C6" s="8">
        <v>161</v>
      </c>
      <c r="G6" s="9" t="s">
        <v>26</v>
      </c>
      <c r="H6" s="7"/>
      <c r="K6" s="157" t="s">
        <v>26</v>
      </c>
      <c r="L6" s="158"/>
      <c r="M6" s="25">
        <v>0.51388888888888895</v>
      </c>
      <c r="N6" s="40" t="s">
        <v>235</v>
      </c>
    </row>
    <row r="7" spans="2:28">
      <c r="B7" s="6" t="s">
        <v>3</v>
      </c>
      <c r="C7" s="8" t="s">
        <v>102</v>
      </c>
    </row>
    <row r="8" spans="2:28">
      <c r="B8" s="6" t="s">
        <v>8</v>
      </c>
      <c r="C8" s="8">
        <v>60</v>
      </c>
    </row>
    <row r="10" spans="2:28" ht="15" thickBot="1">
      <c r="U10" s="106" t="s">
        <v>63</v>
      </c>
      <c r="V10" s="106" t="s">
        <v>62</v>
      </c>
      <c r="W10" s="154" t="s">
        <v>63</v>
      </c>
      <c r="X10" s="155"/>
      <c r="Y10" s="156"/>
      <c r="Z10" s="154" t="s">
        <v>62</v>
      </c>
      <c r="AA10" s="155"/>
      <c r="AB10" s="156"/>
    </row>
    <row r="11" spans="2:28" ht="15" customHeight="1">
      <c r="B11" s="165" t="s">
        <v>4</v>
      </c>
      <c r="C11" s="165" t="s">
        <v>5</v>
      </c>
      <c r="D11" s="165" t="s">
        <v>6</v>
      </c>
      <c r="E11" s="165" t="s">
        <v>671</v>
      </c>
      <c r="F11" s="165" t="s">
        <v>28</v>
      </c>
      <c r="G11" s="177" t="s">
        <v>7</v>
      </c>
      <c r="H11" s="178"/>
      <c r="I11" s="165" t="s">
        <v>9</v>
      </c>
      <c r="J11" s="165" t="s">
        <v>29</v>
      </c>
      <c r="K11" s="177" t="s">
        <v>27</v>
      </c>
      <c r="L11" s="178"/>
      <c r="M11" s="177" t="s">
        <v>31</v>
      </c>
      <c r="N11" s="178"/>
      <c r="O11" s="165" t="s">
        <v>30</v>
      </c>
      <c r="R11" s="10" t="s">
        <v>10</v>
      </c>
      <c r="S11" s="10" t="s">
        <v>11</v>
      </c>
      <c r="T11" s="10" t="s">
        <v>12</v>
      </c>
      <c r="U11" s="202" t="s">
        <v>13</v>
      </c>
      <c r="V11" s="203"/>
      <c r="W11" s="23" t="s">
        <v>14</v>
      </c>
      <c r="X11" s="22" t="s">
        <v>15</v>
      </c>
      <c r="Y11" s="22" t="s">
        <v>35</v>
      </c>
      <c r="Z11" s="24" t="s">
        <v>14</v>
      </c>
      <c r="AA11" s="24" t="s">
        <v>36</v>
      </c>
      <c r="AB11" s="24" t="s">
        <v>37</v>
      </c>
    </row>
    <row r="12" spans="2:28">
      <c r="B12" s="166"/>
      <c r="C12" s="166"/>
      <c r="D12" s="166"/>
      <c r="E12" s="166"/>
      <c r="F12" s="166"/>
      <c r="G12" s="18" t="s">
        <v>16</v>
      </c>
      <c r="H12" s="19" t="s">
        <v>17</v>
      </c>
      <c r="I12" s="166"/>
      <c r="J12" s="166"/>
      <c r="K12" s="20" t="s">
        <v>63</v>
      </c>
      <c r="L12" s="21" t="s">
        <v>87</v>
      </c>
      <c r="M12" s="20" t="s">
        <v>63</v>
      </c>
      <c r="N12" s="21" t="s">
        <v>87</v>
      </c>
      <c r="O12" s="166"/>
      <c r="R12" s="199" t="s">
        <v>209</v>
      </c>
      <c r="S12" s="2">
        <v>0.39027777777777778</v>
      </c>
      <c r="T12" s="2">
        <v>0.41250000000000003</v>
      </c>
      <c r="U12" s="11">
        <v>32</v>
      </c>
      <c r="V12" s="11">
        <v>32</v>
      </c>
      <c r="W12" s="11">
        <v>5</v>
      </c>
      <c r="X12" s="1">
        <f>W12*0.25</f>
        <v>1.25</v>
      </c>
      <c r="Y12" s="1">
        <f>X12*U12/60</f>
        <v>0.66666666666666663</v>
      </c>
      <c r="Z12" s="11">
        <v>5</v>
      </c>
      <c r="AA12" s="1">
        <f>Z12*1.9</f>
        <v>9.5</v>
      </c>
      <c r="AB12" s="1">
        <f>AA12*V12/60</f>
        <v>5.0666666666666664</v>
      </c>
    </row>
    <row r="13" spans="2:28">
      <c r="B13" s="167">
        <v>43691</v>
      </c>
      <c r="C13" s="2">
        <v>0.3833333333333333</v>
      </c>
      <c r="D13" s="73" t="s">
        <v>211</v>
      </c>
      <c r="E13" s="127">
        <v>2.4808024525405599</v>
      </c>
      <c r="F13" s="3"/>
      <c r="G13" s="3">
        <v>112</v>
      </c>
      <c r="H13" s="3">
        <v>75</v>
      </c>
      <c r="I13" s="3">
        <v>64</v>
      </c>
      <c r="J13" s="3"/>
      <c r="K13" s="1"/>
      <c r="L13" s="3"/>
      <c r="M13" s="3"/>
      <c r="N13" s="3"/>
      <c r="O13" s="3"/>
      <c r="R13" s="200"/>
      <c r="S13" s="180">
        <v>0.41250000000000003</v>
      </c>
      <c r="T13" s="181"/>
      <c r="U13" s="11">
        <v>1</v>
      </c>
      <c r="V13" s="11">
        <v>1</v>
      </c>
      <c r="W13" s="11" t="s">
        <v>238</v>
      </c>
      <c r="X13" s="1">
        <v>60</v>
      </c>
      <c r="Y13" s="1">
        <v>1</v>
      </c>
      <c r="Z13" s="11" t="s">
        <v>238</v>
      </c>
      <c r="AA13" s="1">
        <f>AB13*60</f>
        <v>456</v>
      </c>
      <c r="AB13" s="1">
        <v>7.6</v>
      </c>
    </row>
    <row r="14" spans="2:28">
      <c r="B14" s="168"/>
      <c r="C14" s="33">
        <v>0.39027777777777778</v>
      </c>
      <c r="D14" s="76"/>
      <c r="E14" s="76"/>
      <c r="F14" s="34"/>
      <c r="G14" s="34"/>
      <c r="H14" s="34"/>
      <c r="I14" s="34"/>
      <c r="J14" s="34"/>
      <c r="K14" s="35" t="s">
        <v>58</v>
      </c>
      <c r="L14" s="34" t="s">
        <v>58</v>
      </c>
      <c r="M14" s="3"/>
      <c r="N14" s="3"/>
      <c r="O14" s="3"/>
      <c r="R14" s="200"/>
      <c r="S14" s="2">
        <v>0.41319444444444442</v>
      </c>
      <c r="T14" s="2">
        <v>0.47222222222222227</v>
      </c>
      <c r="U14" s="11">
        <v>85</v>
      </c>
      <c r="V14" s="11">
        <v>85</v>
      </c>
      <c r="W14" s="11">
        <v>5</v>
      </c>
      <c r="X14" s="1">
        <v>1.25</v>
      </c>
      <c r="Y14" s="1">
        <f>X14*V14/60</f>
        <v>1.7708333333333333</v>
      </c>
      <c r="Z14" s="11">
        <v>5</v>
      </c>
      <c r="AA14" s="1">
        <f>Z14*1.9</f>
        <v>9.5</v>
      </c>
      <c r="AB14" s="1">
        <f>AA14*V14/60</f>
        <v>13.458333333333334</v>
      </c>
    </row>
    <row r="15" spans="2:28">
      <c r="B15" s="168"/>
      <c r="C15" s="2">
        <v>0.39374999999999999</v>
      </c>
      <c r="D15" s="73" t="s">
        <v>212</v>
      </c>
      <c r="E15" s="127">
        <v>2.95406261242913</v>
      </c>
      <c r="F15" s="3" t="s">
        <v>370</v>
      </c>
      <c r="G15" s="3">
        <v>110</v>
      </c>
      <c r="H15" s="3">
        <v>67</v>
      </c>
      <c r="I15" s="3">
        <v>67</v>
      </c>
      <c r="J15" s="3"/>
      <c r="K15" s="1">
        <v>5</v>
      </c>
      <c r="L15" s="3">
        <v>5</v>
      </c>
      <c r="M15" s="3"/>
      <c r="N15" s="3"/>
      <c r="O15" s="3"/>
      <c r="R15" s="200"/>
      <c r="S15" s="180">
        <v>0.47222222222222227</v>
      </c>
      <c r="T15" s="181"/>
      <c r="U15" s="11">
        <v>1</v>
      </c>
      <c r="V15" s="11">
        <v>1</v>
      </c>
      <c r="W15" s="11" t="s">
        <v>91</v>
      </c>
      <c r="X15" s="1">
        <v>75</v>
      </c>
      <c r="Y15" s="1">
        <v>1.25</v>
      </c>
      <c r="Z15" s="11" t="s">
        <v>91</v>
      </c>
      <c r="AA15" s="1">
        <f>AB15*60</f>
        <v>588</v>
      </c>
      <c r="AB15" s="1">
        <v>9.8000000000000007</v>
      </c>
    </row>
    <row r="16" spans="2:28">
      <c r="B16" s="168"/>
      <c r="C16" s="2">
        <v>0.41111111111111115</v>
      </c>
      <c r="D16" s="73" t="s">
        <v>213</v>
      </c>
      <c r="E16" s="127">
        <v>2.5716981448194001</v>
      </c>
      <c r="F16" s="3" t="s">
        <v>370</v>
      </c>
      <c r="G16" s="3">
        <v>90</v>
      </c>
      <c r="H16" s="3">
        <v>50</v>
      </c>
      <c r="I16" s="3">
        <v>68</v>
      </c>
      <c r="J16" s="3"/>
      <c r="K16" s="1">
        <v>5</v>
      </c>
      <c r="L16" s="3">
        <v>5</v>
      </c>
      <c r="M16" s="3"/>
      <c r="N16" s="3"/>
      <c r="O16" s="3"/>
      <c r="R16" s="201"/>
      <c r="S16" s="2">
        <v>0.47291666666666665</v>
      </c>
      <c r="T16" s="2">
        <v>0.52777777777777779</v>
      </c>
      <c r="U16" s="11">
        <v>79</v>
      </c>
      <c r="V16" s="11">
        <v>79</v>
      </c>
      <c r="W16" s="11">
        <v>5</v>
      </c>
      <c r="X16" s="1">
        <f>W16*0.25</f>
        <v>1.25</v>
      </c>
      <c r="Y16" s="1">
        <f>X16*U16/60</f>
        <v>1.6458333333333333</v>
      </c>
      <c r="Z16" s="11">
        <v>5</v>
      </c>
      <c r="AA16" s="1">
        <f>Z16*1.9</f>
        <v>9.5</v>
      </c>
      <c r="AB16" s="1">
        <f>AA16*V16/60</f>
        <v>12.508333333333333</v>
      </c>
    </row>
    <row r="17" spans="2:28">
      <c r="B17" s="168"/>
      <c r="C17" s="150">
        <v>0.41250000000000003</v>
      </c>
      <c r="D17" s="73"/>
      <c r="F17" s="3" t="s">
        <v>370</v>
      </c>
      <c r="G17" s="3">
        <v>90</v>
      </c>
      <c r="H17" s="3">
        <v>51</v>
      </c>
      <c r="I17" s="3">
        <v>66</v>
      </c>
      <c r="J17" s="3"/>
      <c r="K17" s="1">
        <v>5</v>
      </c>
      <c r="L17" s="1">
        <v>5</v>
      </c>
      <c r="M17" s="182" t="s">
        <v>122</v>
      </c>
      <c r="N17" s="183"/>
      <c r="O17" s="3"/>
      <c r="R17" s="52" t="s">
        <v>236</v>
      </c>
      <c r="S17" s="2">
        <v>0.5395833333333333</v>
      </c>
      <c r="T17" s="2">
        <v>0.8125</v>
      </c>
      <c r="U17" s="11">
        <f>3+30.5*60</f>
        <v>1833</v>
      </c>
      <c r="V17" s="11">
        <f>3+30.5*60</f>
        <v>1833</v>
      </c>
      <c r="W17" s="11">
        <v>5</v>
      </c>
      <c r="X17" s="1">
        <f>W17*0.25</f>
        <v>1.25</v>
      </c>
      <c r="Y17" s="1">
        <f>X17*U17/60</f>
        <v>38.1875</v>
      </c>
      <c r="Z17" s="11">
        <v>5</v>
      </c>
      <c r="AA17" s="1">
        <f>Z17*1.9</f>
        <v>9.5</v>
      </c>
      <c r="AB17" s="1">
        <f>AA17*V17/60</f>
        <v>290.22500000000002</v>
      </c>
    </row>
    <row r="18" spans="2:28">
      <c r="B18" s="168"/>
      <c r="C18" s="2">
        <v>0.41666666666666669</v>
      </c>
      <c r="D18" s="73"/>
      <c r="F18" s="3" t="s">
        <v>370</v>
      </c>
      <c r="G18" s="3">
        <v>89</v>
      </c>
      <c r="H18" s="3">
        <v>51</v>
      </c>
      <c r="I18" s="3">
        <v>67</v>
      </c>
      <c r="J18" s="3"/>
      <c r="K18" s="1">
        <v>5</v>
      </c>
      <c r="L18" s="1">
        <v>5</v>
      </c>
      <c r="M18" s="50"/>
      <c r="N18" s="51"/>
      <c r="O18" s="3" t="s">
        <v>233</v>
      </c>
      <c r="R18" s="52" t="s">
        <v>237</v>
      </c>
      <c r="S18" s="2">
        <v>0.89583333333333337</v>
      </c>
      <c r="T18" s="2">
        <v>0.51388888888888895</v>
      </c>
      <c r="U18" s="11">
        <f>14.5*60+20</f>
        <v>890</v>
      </c>
      <c r="V18" s="11">
        <f>14.5*60+20</f>
        <v>890</v>
      </c>
      <c r="W18" s="11">
        <v>5</v>
      </c>
      <c r="X18" s="1">
        <f>W18*0.25</f>
        <v>1.25</v>
      </c>
      <c r="Y18" s="1">
        <f>X18*U18/60</f>
        <v>18.541666666666668</v>
      </c>
      <c r="Z18" s="11">
        <v>5</v>
      </c>
      <c r="AA18" s="1">
        <f>Z18*1.9</f>
        <v>9.5</v>
      </c>
      <c r="AB18" s="1">
        <f>AA18*V18/60</f>
        <v>140.91666666666666</v>
      </c>
    </row>
    <row r="19" spans="2:28">
      <c r="B19" s="168"/>
      <c r="C19" s="2">
        <v>0.43194444444444446</v>
      </c>
      <c r="D19" s="73" t="s">
        <v>214</v>
      </c>
      <c r="E19" s="127">
        <v>3.3341142600843101</v>
      </c>
      <c r="F19" s="3" t="s">
        <v>370</v>
      </c>
      <c r="G19" s="3">
        <v>127</v>
      </c>
      <c r="H19" s="3">
        <v>70</v>
      </c>
      <c r="I19" s="3">
        <v>60</v>
      </c>
      <c r="J19" s="3"/>
      <c r="K19" s="1">
        <v>5</v>
      </c>
      <c r="L19" s="1">
        <v>5</v>
      </c>
      <c r="M19" s="3"/>
      <c r="N19" s="3"/>
      <c r="O19" s="3"/>
      <c r="R19" s="197" t="s">
        <v>235</v>
      </c>
      <c r="S19" s="2">
        <v>0.51388888888888895</v>
      </c>
      <c r="T19" s="11" t="s">
        <v>180</v>
      </c>
      <c r="U19" s="11"/>
      <c r="V19" s="11"/>
      <c r="W19" s="11" t="s">
        <v>99</v>
      </c>
      <c r="X19" s="1" t="s">
        <v>99</v>
      </c>
      <c r="Y19" s="1"/>
      <c r="Z19" s="1"/>
      <c r="AA19" s="1"/>
      <c r="AB19" s="1"/>
    </row>
    <row r="20" spans="2:28">
      <c r="B20" s="168"/>
      <c r="C20" s="150">
        <v>0.47222222222222227</v>
      </c>
      <c r="D20" s="73"/>
      <c r="F20" s="3" t="s">
        <v>370</v>
      </c>
      <c r="G20" s="3">
        <v>106</v>
      </c>
      <c r="H20" s="3">
        <v>58</v>
      </c>
      <c r="I20" s="3">
        <v>61</v>
      </c>
      <c r="J20" s="3"/>
      <c r="K20" s="1">
        <v>5</v>
      </c>
      <c r="L20" s="1">
        <v>5</v>
      </c>
      <c r="M20" s="182" t="s">
        <v>91</v>
      </c>
      <c r="N20" s="183"/>
      <c r="O20" s="3"/>
      <c r="R20" s="197"/>
      <c r="S20" s="11" t="s">
        <v>180</v>
      </c>
      <c r="T20" s="11" t="s">
        <v>180</v>
      </c>
      <c r="U20" s="11"/>
      <c r="V20" s="11"/>
      <c r="W20" s="11" t="s">
        <v>99</v>
      </c>
      <c r="X20" s="1" t="s">
        <v>99</v>
      </c>
      <c r="Y20" s="1"/>
      <c r="Z20" s="1"/>
      <c r="AA20" s="1"/>
      <c r="AB20" s="1"/>
    </row>
    <row r="21" spans="2:28">
      <c r="B21" s="168"/>
      <c r="C21" s="2">
        <v>0.47361111111111115</v>
      </c>
      <c r="D21" s="73" t="s">
        <v>215</v>
      </c>
      <c r="E21" s="127">
        <v>5.8660192162302698</v>
      </c>
      <c r="F21" s="3" t="s">
        <v>370</v>
      </c>
      <c r="G21" s="3">
        <v>100</v>
      </c>
      <c r="H21" s="3">
        <v>58</v>
      </c>
      <c r="I21" s="3">
        <v>66</v>
      </c>
      <c r="J21" s="3"/>
      <c r="K21" s="1">
        <v>5</v>
      </c>
      <c r="L21" s="1">
        <v>5</v>
      </c>
      <c r="M21" s="3"/>
      <c r="N21" s="3"/>
      <c r="O21" s="3"/>
      <c r="R21" s="57"/>
      <c r="S21" s="11" t="s">
        <v>180</v>
      </c>
      <c r="T21" s="11" t="s">
        <v>180</v>
      </c>
      <c r="U21" s="11"/>
      <c r="V21" s="11"/>
      <c r="W21" s="11" t="s">
        <v>99</v>
      </c>
      <c r="X21" s="1" t="s">
        <v>99</v>
      </c>
      <c r="Y21" s="1"/>
      <c r="Z21" s="1"/>
      <c r="AA21" s="1"/>
      <c r="AB21" s="1"/>
    </row>
    <row r="22" spans="2:28">
      <c r="B22" s="168"/>
      <c r="C22" s="30">
        <v>0.52777777777777779</v>
      </c>
      <c r="D22" s="77"/>
      <c r="E22" s="77"/>
      <c r="F22" s="31" t="s">
        <v>370</v>
      </c>
      <c r="G22" s="31"/>
      <c r="H22" s="31"/>
      <c r="I22" s="31"/>
      <c r="J22" s="31"/>
      <c r="K22" s="32" t="s">
        <v>20</v>
      </c>
      <c r="L22" s="32" t="s">
        <v>20</v>
      </c>
      <c r="M22" s="3"/>
      <c r="N22" s="3"/>
      <c r="O22" s="3"/>
      <c r="P22">
        <v>17</v>
      </c>
      <c r="R22" s="58"/>
      <c r="S22" s="11" t="s">
        <v>180</v>
      </c>
      <c r="T22" s="11" t="s">
        <v>180</v>
      </c>
      <c r="U22" s="11"/>
      <c r="V22" s="11"/>
      <c r="W22" s="11" t="s">
        <v>99</v>
      </c>
      <c r="X22" s="1" t="s">
        <v>99</v>
      </c>
      <c r="Y22" s="1"/>
      <c r="Z22" s="1"/>
      <c r="AA22" s="1"/>
      <c r="AB22" s="1"/>
    </row>
    <row r="23" spans="2:28">
      <c r="B23" s="168"/>
      <c r="C23" s="33">
        <v>0.5395833333333333</v>
      </c>
      <c r="D23" s="76"/>
      <c r="E23" s="76"/>
      <c r="F23" s="34" t="s">
        <v>370</v>
      </c>
      <c r="G23" s="34"/>
      <c r="H23" s="34"/>
      <c r="I23" s="34"/>
      <c r="J23" s="34"/>
      <c r="K23" s="35" t="s">
        <v>58</v>
      </c>
      <c r="L23" s="35" t="s">
        <v>58</v>
      </c>
      <c r="M23" s="3"/>
      <c r="N23" s="3"/>
      <c r="O23" s="3"/>
      <c r="R23" s="10" t="s">
        <v>21</v>
      </c>
      <c r="S23" s="11"/>
      <c r="T23" s="11"/>
      <c r="U23" s="10">
        <f>SUM(U12:U22)</f>
        <v>2921</v>
      </c>
      <c r="V23" s="10">
        <f>SUM(V12:V22)</f>
        <v>2921</v>
      </c>
      <c r="Y23" s="10">
        <f>SUM(Y12:Y22)</f>
        <v>63.0625</v>
      </c>
      <c r="AB23" s="10">
        <f>SUM(AB12:AB22)</f>
        <v>479.57500000000005</v>
      </c>
    </row>
    <row r="24" spans="2:28">
      <c r="B24" s="168"/>
      <c r="C24" s="2">
        <v>0.68055555555555547</v>
      </c>
      <c r="D24" s="73" t="s">
        <v>216</v>
      </c>
      <c r="E24" s="127">
        <v>4.4064895590470599</v>
      </c>
      <c r="F24" s="3">
        <v>0</v>
      </c>
      <c r="G24" s="3">
        <v>118</v>
      </c>
      <c r="H24" s="3">
        <v>72</v>
      </c>
      <c r="I24" s="3">
        <v>71</v>
      </c>
      <c r="J24" s="3"/>
      <c r="K24" s="1">
        <v>5</v>
      </c>
      <c r="L24" s="1">
        <v>5</v>
      </c>
      <c r="M24" s="3"/>
      <c r="N24" s="3"/>
      <c r="O24" s="3"/>
      <c r="U24">
        <f>U23/60</f>
        <v>48.68333333333333</v>
      </c>
    </row>
    <row r="25" spans="2:28">
      <c r="B25" s="169"/>
      <c r="C25" s="2">
        <v>0.89027777777777783</v>
      </c>
      <c r="D25" s="73" t="s">
        <v>217</v>
      </c>
      <c r="E25" s="127">
        <v>5.16931298192564</v>
      </c>
      <c r="F25" s="3">
        <v>0</v>
      </c>
      <c r="G25" s="3">
        <v>105</v>
      </c>
      <c r="H25" s="3">
        <v>62</v>
      </c>
      <c r="I25" s="3">
        <v>83</v>
      </c>
      <c r="J25" s="3"/>
      <c r="K25" s="1">
        <v>5</v>
      </c>
      <c r="L25" s="1">
        <v>5</v>
      </c>
      <c r="M25" s="3"/>
      <c r="N25" s="3"/>
      <c r="O25" s="3"/>
      <c r="Y25">
        <f>Y23/U23*60</f>
        <v>1.2953611776788772</v>
      </c>
      <c r="AB25">
        <f>AB23/V23*60</f>
        <v>9.8509072235535786</v>
      </c>
    </row>
    <row r="26" spans="2:28">
      <c r="B26" s="167">
        <v>43692</v>
      </c>
      <c r="C26" s="2">
        <v>0.3923611111111111</v>
      </c>
      <c r="D26" s="73" t="s">
        <v>218</v>
      </c>
      <c r="E26" s="127">
        <v>9.6347970511641403</v>
      </c>
      <c r="F26" s="3">
        <v>0</v>
      </c>
      <c r="G26" s="3">
        <v>105</v>
      </c>
      <c r="H26" s="3">
        <v>60</v>
      </c>
      <c r="I26" s="3">
        <v>77</v>
      </c>
      <c r="J26" s="3"/>
      <c r="K26" s="1">
        <v>5</v>
      </c>
      <c r="L26" s="1">
        <v>5</v>
      </c>
      <c r="M26" s="3"/>
      <c r="N26" s="3"/>
      <c r="O26" s="3"/>
    </row>
    <row r="27" spans="2:28">
      <c r="B27" s="168"/>
      <c r="C27" s="30">
        <v>0.8125</v>
      </c>
      <c r="D27" s="77"/>
      <c r="E27" s="77"/>
      <c r="F27" s="31"/>
      <c r="G27" s="31"/>
      <c r="H27" s="31"/>
      <c r="I27" s="31"/>
      <c r="J27" s="31"/>
      <c r="K27" s="32" t="s">
        <v>20</v>
      </c>
      <c r="L27" s="32" t="s">
        <v>20</v>
      </c>
      <c r="M27" s="3"/>
      <c r="N27" s="3"/>
      <c r="O27" s="3"/>
      <c r="P27">
        <v>120</v>
      </c>
    </row>
    <row r="28" spans="2:28">
      <c r="B28" s="169"/>
      <c r="C28" s="33">
        <v>0.89583333333333337</v>
      </c>
      <c r="D28" s="76"/>
      <c r="E28" s="76"/>
      <c r="F28" s="34"/>
      <c r="G28" s="34"/>
      <c r="H28" s="34"/>
      <c r="I28" s="34"/>
      <c r="J28" s="34"/>
      <c r="K28" s="35" t="s">
        <v>58</v>
      </c>
      <c r="L28" s="35" t="s">
        <v>58</v>
      </c>
      <c r="M28" s="3"/>
      <c r="N28" s="3"/>
      <c r="O28" s="3"/>
    </row>
    <row r="29" spans="2:28">
      <c r="B29" s="167">
        <v>43693</v>
      </c>
      <c r="C29" s="2">
        <v>0.3923611111111111</v>
      </c>
      <c r="D29" s="73" t="s">
        <v>219</v>
      </c>
      <c r="E29" s="73">
        <v>10.4634016773401</v>
      </c>
      <c r="F29" s="3">
        <v>0</v>
      </c>
      <c r="G29" s="3">
        <v>110</v>
      </c>
      <c r="H29" s="3">
        <v>87</v>
      </c>
      <c r="I29" s="3">
        <v>93</v>
      </c>
      <c r="J29" s="3"/>
      <c r="K29" s="1">
        <v>5</v>
      </c>
      <c r="L29" s="1">
        <v>5</v>
      </c>
      <c r="M29" s="3"/>
      <c r="N29" s="3"/>
      <c r="O29" s="3"/>
    </row>
    <row r="30" spans="2:28">
      <c r="B30" s="168"/>
      <c r="C30" s="30">
        <v>0.51388888888888895</v>
      </c>
      <c r="D30" s="77" t="s">
        <v>220</v>
      </c>
      <c r="E30" s="77">
        <v>9.0340820805173703</v>
      </c>
      <c r="F30" s="78" t="s">
        <v>231</v>
      </c>
      <c r="G30" s="31">
        <v>121</v>
      </c>
      <c r="H30" s="31">
        <v>87</v>
      </c>
      <c r="I30" s="31">
        <v>94</v>
      </c>
      <c r="J30" s="31"/>
      <c r="K30" s="32" t="s">
        <v>20</v>
      </c>
      <c r="L30" s="16">
        <v>5</v>
      </c>
      <c r="M30" s="3"/>
      <c r="N30" s="3"/>
      <c r="O30" s="3" t="s">
        <v>234</v>
      </c>
    </row>
    <row r="31" spans="2:28">
      <c r="B31" s="168"/>
      <c r="C31" s="2">
        <v>0.51597222222222217</v>
      </c>
      <c r="D31" s="73" t="s">
        <v>221</v>
      </c>
      <c r="E31" s="73">
        <v>10.6514007606176</v>
      </c>
      <c r="F31" s="75" t="s">
        <v>231</v>
      </c>
      <c r="G31" s="3"/>
      <c r="H31" s="3"/>
      <c r="I31" s="3"/>
      <c r="J31" s="3"/>
      <c r="K31" s="1"/>
      <c r="L31" s="3">
        <v>5</v>
      </c>
      <c r="M31" s="3"/>
      <c r="N31" s="3"/>
      <c r="O31" s="3"/>
    </row>
    <row r="32" spans="2:28">
      <c r="B32" s="168"/>
      <c r="C32" s="2">
        <v>0.51736111111111105</v>
      </c>
      <c r="D32" s="73" t="s">
        <v>222</v>
      </c>
      <c r="E32" s="73">
        <v>7.9508168439418796</v>
      </c>
      <c r="F32" s="75" t="s">
        <v>231</v>
      </c>
      <c r="G32" s="3"/>
      <c r="H32" s="3"/>
      <c r="I32" s="3"/>
      <c r="J32" s="3"/>
      <c r="K32" s="1"/>
      <c r="L32" s="3">
        <v>5</v>
      </c>
      <c r="M32" s="3"/>
      <c r="N32" s="3"/>
      <c r="O32" s="3"/>
    </row>
    <row r="33" spans="2:17">
      <c r="B33" s="168"/>
      <c r="C33" s="2">
        <v>0.52777777777777779</v>
      </c>
      <c r="D33" s="73" t="s">
        <v>223</v>
      </c>
      <c r="E33" s="73">
        <v>11.131937839807399</v>
      </c>
      <c r="F33" s="75" t="s">
        <v>231</v>
      </c>
      <c r="G33" s="3"/>
      <c r="H33" s="3"/>
      <c r="I33" s="3"/>
      <c r="J33" s="3"/>
      <c r="K33" s="1"/>
      <c r="L33" s="3">
        <v>5</v>
      </c>
      <c r="M33" s="3"/>
      <c r="N33" s="3"/>
      <c r="O33" s="3"/>
    </row>
    <row r="34" spans="2:17">
      <c r="B34" s="168"/>
      <c r="C34" s="2">
        <v>0.54166666666666663</v>
      </c>
      <c r="D34" s="73" t="s">
        <v>224</v>
      </c>
      <c r="E34" s="73">
        <v>9.2768502945949596</v>
      </c>
      <c r="F34" s="75" t="s">
        <v>231</v>
      </c>
      <c r="G34" s="3"/>
      <c r="H34" s="3"/>
      <c r="I34" s="3"/>
      <c r="J34" s="3"/>
      <c r="K34" s="1"/>
      <c r="L34" s="3">
        <v>5</v>
      </c>
      <c r="M34" s="3"/>
      <c r="N34" s="3"/>
      <c r="O34" s="3"/>
    </row>
    <row r="35" spans="2:17">
      <c r="B35" s="168"/>
      <c r="C35" s="2">
        <v>0.55555555555555558</v>
      </c>
      <c r="D35" s="73" t="s">
        <v>225</v>
      </c>
      <c r="E35" s="73">
        <v>7.4671425180488402</v>
      </c>
      <c r="F35" s="3">
        <v>1</v>
      </c>
      <c r="G35" s="3"/>
      <c r="H35" s="3"/>
      <c r="I35" s="3"/>
      <c r="J35" s="3"/>
      <c r="K35" s="1"/>
      <c r="L35" s="3">
        <v>5</v>
      </c>
      <c r="M35" s="3"/>
      <c r="N35" s="3"/>
      <c r="O35" s="3"/>
    </row>
    <row r="36" spans="2:17">
      <c r="B36" s="168"/>
      <c r="C36" s="4" t="s">
        <v>210</v>
      </c>
      <c r="D36" s="73" t="s">
        <v>226</v>
      </c>
      <c r="E36" s="73">
        <v>5.1639105502106304</v>
      </c>
      <c r="F36" s="3">
        <v>1</v>
      </c>
      <c r="G36" s="3">
        <v>142</v>
      </c>
      <c r="H36" s="3">
        <v>87</v>
      </c>
      <c r="I36" s="3">
        <v>63</v>
      </c>
      <c r="J36" s="3"/>
      <c r="K36" s="1"/>
      <c r="L36" s="3">
        <v>5</v>
      </c>
      <c r="M36" s="3"/>
      <c r="N36" s="3"/>
      <c r="O36" s="3"/>
    </row>
    <row r="37" spans="2:17">
      <c r="B37" s="169"/>
      <c r="C37" s="2">
        <v>0.76388888888888884</v>
      </c>
      <c r="D37" s="73" t="s">
        <v>227</v>
      </c>
      <c r="E37" s="73">
        <v>11.6018680009142</v>
      </c>
      <c r="F37" s="3" t="s">
        <v>232</v>
      </c>
      <c r="G37" s="3">
        <v>140</v>
      </c>
      <c r="H37" s="3">
        <v>90</v>
      </c>
      <c r="I37" s="3">
        <v>90</v>
      </c>
      <c r="J37" s="3"/>
      <c r="K37" s="1"/>
      <c r="L37" s="79">
        <v>10</v>
      </c>
      <c r="M37" s="3"/>
      <c r="N37" s="3"/>
      <c r="O37" s="3"/>
      <c r="Q37" s="59" t="s">
        <v>239</v>
      </c>
    </row>
    <row r="38" spans="2:17">
      <c r="B38" s="55">
        <v>43694</v>
      </c>
      <c r="C38" s="65">
        <v>1.3888888888888888E-2</v>
      </c>
      <c r="D38" s="73" t="s">
        <v>228</v>
      </c>
      <c r="E38" s="132">
        <v>10.3180215748121</v>
      </c>
      <c r="F38" s="71">
        <v>0</v>
      </c>
      <c r="G38" s="71">
        <v>120</v>
      </c>
      <c r="H38" s="71">
        <v>75</v>
      </c>
      <c r="I38" s="71">
        <v>90</v>
      </c>
      <c r="J38" s="71"/>
      <c r="K38" s="67"/>
      <c r="L38" s="80">
        <v>7</v>
      </c>
      <c r="M38" s="71"/>
      <c r="N38" s="71"/>
      <c r="O38" s="71"/>
    </row>
    <row r="39" spans="2:17">
      <c r="B39" s="54">
        <v>43695</v>
      </c>
      <c r="C39" s="2">
        <v>3.472222222222222E-3</v>
      </c>
      <c r="D39" s="4" t="s">
        <v>229</v>
      </c>
      <c r="E39" s="4">
        <v>7.74058728258517</v>
      </c>
      <c r="F39" s="11">
        <v>3</v>
      </c>
      <c r="G39" s="11">
        <v>110</v>
      </c>
      <c r="H39" s="11">
        <v>87</v>
      </c>
      <c r="I39" s="11">
        <v>63</v>
      </c>
      <c r="J39" s="11"/>
      <c r="K39" s="11"/>
      <c r="L39" s="81">
        <v>12</v>
      </c>
      <c r="M39" s="11"/>
      <c r="N39" s="11"/>
      <c r="O39" s="11"/>
    </row>
    <row r="40" spans="2:17">
      <c r="B40" s="74">
        <v>43696</v>
      </c>
      <c r="C40" s="2">
        <v>0.51388888888888895</v>
      </c>
      <c r="D40" s="4" t="s">
        <v>230</v>
      </c>
      <c r="E40" s="4">
        <v>5.1104940669210999</v>
      </c>
      <c r="F40" s="11">
        <v>0</v>
      </c>
      <c r="G40" s="11">
        <v>123</v>
      </c>
      <c r="H40" s="11">
        <v>76</v>
      </c>
      <c r="I40" s="11">
        <v>67</v>
      </c>
      <c r="J40" s="11"/>
      <c r="K40" s="11"/>
      <c r="L40" s="81">
        <v>0</v>
      </c>
      <c r="M40" s="11"/>
      <c r="N40" s="11"/>
      <c r="O40" s="11"/>
    </row>
    <row r="41" spans="2:17">
      <c r="C41" s="72"/>
    </row>
  </sheetData>
  <mergeCells count="34">
    <mergeCell ref="S13:T13"/>
    <mergeCell ref="S15:T15"/>
    <mergeCell ref="Q2:R2"/>
    <mergeCell ref="G3:I3"/>
    <mergeCell ref="K5:L5"/>
    <mergeCell ref="K6:L6"/>
    <mergeCell ref="K3:O4"/>
    <mergeCell ref="Q3:R3"/>
    <mergeCell ref="G4:H4"/>
    <mergeCell ref="B2:B3"/>
    <mergeCell ref="C2:C3"/>
    <mergeCell ref="G2:I2"/>
    <mergeCell ref="K2:L2"/>
    <mergeCell ref="B11:B12"/>
    <mergeCell ref="C11:C12"/>
    <mergeCell ref="D11:D12"/>
    <mergeCell ref="F11:F12"/>
    <mergeCell ref="G11:H11"/>
    <mergeCell ref="J11:J12"/>
    <mergeCell ref="E11:E12"/>
    <mergeCell ref="I11:I12"/>
    <mergeCell ref="W10:Y10"/>
    <mergeCell ref="Z10:AB10"/>
    <mergeCell ref="K11:L11"/>
    <mergeCell ref="M11:N11"/>
    <mergeCell ref="O11:O12"/>
    <mergeCell ref="U11:V11"/>
    <mergeCell ref="B13:B25"/>
    <mergeCell ref="B26:B28"/>
    <mergeCell ref="B29:B37"/>
    <mergeCell ref="R19:R20"/>
    <mergeCell ref="M17:N17"/>
    <mergeCell ref="M20:N20"/>
    <mergeCell ref="R12:R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A35"/>
  <sheetViews>
    <sheetView zoomScale="90" zoomScaleNormal="90" workbookViewId="0">
      <selection activeCell="W20" sqref="W20"/>
    </sheetView>
  </sheetViews>
  <sheetFormatPr defaultRowHeight="14.4"/>
  <cols>
    <col min="1" max="1" width="4" customWidth="1"/>
    <col min="2" max="2" width="11.44140625" bestFit="1" customWidth="1"/>
    <col min="3" max="3" width="14.6640625" customWidth="1"/>
    <col min="4" max="5" width="9.77734375" customWidth="1"/>
    <col min="6" max="6" width="8.109375" customWidth="1"/>
    <col min="7" max="7" width="11.33203125" customWidth="1"/>
    <col min="8" max="8" width="8.21875" bestFit="1" customWidth="1"/>
    <col min="9" max="9" width="7.77734375" customWidth="1"/>
    <col min="10" max="10" width="8.5546875" customWidth="1"/>
    <col min="11" max="11" width="7.44140625" customWidth="1"/>
    <col min="12" max="12" width="6.44140625" customWidth="1"/>
    <col min="13" max="14" width="7.33203125" customWidth="1"/>
    <col min="15" max="15" width="14.21875" customWidth="1"/>
    <col min="16" max="16" width="6.5546875" customWidth="1"/>
    <col min="17" max="17" width="6.44140625" customWidth="1"/>
    <col min="19" max="19" width="12" customWidth="1"/>
    <col min="20" max="20" width="6.109375" bestFit="1" customWidth="1"/>
    <col min="22" max="22" width="5.33203125" bestFit="1" customWidth="1"/>
    <col min="23" max="23" width="6.6640625" bestFit="1" customWidth="1"/>
    <col min="24" max="24" width="7.88671875" customWidth="1"/>
    <col min="25" max="25" width="5.33203125" bestFit="1" customWidth="1"/>
    <col min="26" max="26" width="5.77734375" bestFit="1" customWidth="1"/>
    <col min="27" max="27" width="7.5546875" customWidth="1"/>
    <col min="28" max="28" width="7.109375" customWidth="1"/>
  </cols>
  <sheetData>
    <row r="2" spans="2:27">
      <c r="B2" s="170" t="s">
        <v>0</v>
      </c>
      <c r="C2" s="172" t="s">
        <v>240</v>
      </c>
      <c r="G2" s="175" t="s">
        <v>24</v>
      </c>
      <c r="H2" s="175"/>
      <c r="I2" s="175"/>
      <c r="K2" s="161" t="s">
        <v>32</v>
      </c>
      <c r="L2" s="162"/>
      <c r="Q2" s="159" t="s">
        <v>33</v>
      </c>
      <c r="R2" s="160"/>
      <c r="S2" s="17" t="s">
        <v>129</v>
      </c>
    </row>
    <row r="3" spans="2:27">
      <c r="B3" s="171"/>
      <c r="C3" s="173"/>
      <c r="G3" s="176" t="s">
        <v>38</v>
      </c>
      <c r="H3" s="176"/>
      <c r="I3" s="176"/>
      <c r="K3" s="194" t="s">
        <v>128</v>
      </c>
      <c r="L3" s="194"/>
      <c r="M3" s="194"/>
      <c r="N3" s="194"/>
      <c r="O3" s="194"/>
      <c r="Q3" s="159" t="s">
        <v>34</v>
      </c>
      <c r="R3" s="160"/>
      <c r="S3" s="17" t="s">
        <v>130</v>
      </c>
    </row>
    <row r="4" spans="2:27" ht="21">
      <c r="B4" s="48" t="s">
        <v>23</v>
      </c>
      <c r="C4" s="49">
        <v>1008</v>
      </c>
      <c r="G4" s="174" t="s">
        <v>19</v>
      </c>
      <c r="H4" s="174"/>
      <c r="K4" s="194"/>
      <c r="L4" s="194"/>
      <c r="M4" s="194"/>
      <c r="N4" s="194"/>
      <c r="O4" s="194"/>
    </row>
    <row r="5" spans="2:27">
      <c r="B5" s="6" t="s">
        <v>1</v>
      </c>
      <c r="C5" s="7">
        <v>64</v>
      </c>
      <c r="G5" s="9" t="s">
        <v>25</v>
      </c>
      <c r="H5" s="25">
        <v>0.45347222222222222</v>
      </c>
      <c r="I5" t="s">
        <v>241</v>
      </c>
      <c r="K5" s="157" t="s">
        <v>25</v>
      </c>
      <c r="L5" s="158"/>
      <c r="M5" s="40" t="s">
        <v>262</v>
      </c>
      <c r="N5" s="25">
        <v>0.46527777777777773</v>
      </c>
    </row>
    <row r="6" spans="2:27">
      <c r="B6" s="6" t="s">
        <v>2</v>
      </c>
      <c r="C6" s="8">
        <v>169</v>
      </c>
      <c r="G6" s="9" t="s">
        <v>26</v>
      </c>
      <c r="H6" s="25">
        <v>0.53472222222222221</v>
      </c>
      <c r="K6" s="157" t="s">
        <v>26</v>
      </c>
      <c r="L6" s="158"/>
      <c r="M6" s="40" t="s">
        <v>263</v>
      </c>
      <c r="N6" s="25">
        <v>0.86875000000000002</v>
      </c>
      <c r="O6">
        <f>50+56*60+51</f>
        <v>3461</v>
      </c>
    </row>
    <row r="7" spans="2:27">
      <c r="B7" s="6" t="s">
        <v>3</v>
      </c>
      <c r="C7" s="8" t="s">
        <v>102</v>
      </c>
    </row>
    <row r="8" spans="2:27">
      <c r="B8" s="6" t="s">
        <v>8</v>
      </c>
      <c r="C8" s="8">
        <v>35</v>
      </c>
    </row>
    <row r="10" spans="2:27" ht="15" thickBot="1">
      <c r="V10" s="154" t="s">
        <v>63</v>
      </c>
      <c r="W10" s="155"/>
      <c r="X10" s="156"/>
      <c r="Y10" s="154" t="s">
        <v>62</v>
      </c>
      <c r="Z10" s="155"/>
      <c r="AA10" s="156"/>
    </row>
    <row r="11" spans="2:27" ht="15" customHeight="1">
      <c r="B11" s="165" t="s">
        <v>4</v>
      </c>
      <c r="C11" s="165" t="s">
        <v>5</v>
      </c>
      <c r="D11" s="165" t="s">
        <v>6</v>
      </c>
      <c r="E11" s="165" t="s">
        <v>671</v>
      </c>
      <c r="F11" s="165" t="s">
        <v>28</v>
      </c>
      <c r="G11" s="177" t="s">
        <v>7</v>
      </c>
      <c r="H11" s="178"/>
      <c r="I11" s="165" t="s">
        <v>9</v>
      </c>
      <c r="J11" s="165" t="s">
        <v>29</v>
      </c>
      <c r="K11" s="177" t="s">
        <v>27</v>
      </c>
      <c r="L11" s="178"/>
      <c r="M11" s="177" t="s">
        <v>31</v>
      </c>
      <c r="N11" s="178"/>
      <c r="O11" s="165" t="s">
        <v>30</v>
      </c>
      <c r="R11" s="10" t="s">
        <v>10</v>
      </c>
      <c r="S11" s="10" t="s">
        <v>11</v>
      </c>
      <c r="T11" s="10" t="s">
        <v>12</v>
      </c>
      <c r="U11" s="10" t="s">
        <v>13</v>
      </c>
      <c r="V11" s="23" t="s">
        <v>14</v>
      </c>
      <c r="W11" s="22" t="s">
        <v>15</v>
      </c>
      <c r="X11" s="22" t="s">
        <v>35</v>
      </c>
      <c r="Y11" s="24" t="s">
        <v>14</v>
      </c>
      <c r="Z11" s="24" t="s">
        <v>36</v>
      </c>
      <c r="AA11" s="24" t="s">
        <v>37</v>
      </c>
    </row>
    <row r="12" spans="2:27">
      <c r="B12" s="166"/>
      <c r="C12" s="166"/>
      <c r="D12" s="166"/>
      <c r="E12" s="166"/>
      <c r="F12" s="166"/>
      <c r="G12" s="47" t="s">
        <v>16</v>
      </c>
      <c r="H12" s="19" t="s">
        <v>17</v>
      </c>
      <c r="I12" s="166"/>
      <c r="J12" s="166"/>
      <c r="K12" s="20" t="s">
        <v>63</v>
      </c>
      <c r="L12" s="20" t="s">
        <v>87</v>
      </c>
      <c r="M12" s="20" t="s">
        <v>63</v>
      </c>
      <c r="N12" s="20" t="s">
        <v>87</v>
      </c>
      <c r="O12" s="166"/>
      <c r="R12" s="204" t="s">
        <v>262</v>
      </c>
      <c r="S12" s="2">
        <v>0.46527777777777773</v>
      </c>
      <c r="T12" s="2">
        <v>0.46736111111111112</v>
      </c>
      <c r="U12" s="11">
        <v>3</v>
      </c>
      <c r="V12" s="11">
        <v>6</v>
      </c>
      <c r="W12" s="1">
        <f>V12*0.25</f>
        <v>1.5</v>
      </c>
      <c r="X12" s="1">
        <f t="shared" ref="X12:X20" si="0">W12*U12/60</f>
        <v>7.4999999999999997E-2</v>
      </c>
      <c r="Y12" s="11">
        <v>6</v>
      </c>
      <c r="Z12" s="1">
        <f t="shared" ref="Z12:Z20" si="1">Y12*1.9</f>
        <v>11.399999999999999</v>
      </c>
      <c r="AA12" s="1">
        <f t="shared" ref="AA12:AA20" si="2">Z12*U12/60</f>
        <v>0.56999999999999995</v>
      </c>
    </row>
    <row r="13" spans="2:27">
      <c r="B13" s="167">
        <v>43740</v>
      </c>
      <c r="C13" s="33">
        <v>0.46527777777777773</v>
      </c>
      <c r="D13" s="34" t="s">
        <v>243</v>
      </c>
      <c r="E13" s="34">
        <v>1.4020254655494</v>
      </c>
      <c r="F13" s="34">
        <v>0</v>
      </c>
      <c r="G13" s="34">
        <v>96</v>
      </c>
      <c r="H13" s="34">
        <v>56</v>
      </c>
      <c r="I13" s="34">
        <v>82</v>
      </c>
      <c r="J13" s="34"/>
      <c r="K13" s="35" t="s">
        <v>261</v>
      </c>
      <c r="L13" s="35" t="s">
        <v>261</v>
      </c>
      <c r="M13" s="3"/>
      <c r="N13" s="3"/>
      <c r="O13" s="3"/>
      <c r="R13" s="205"/>
      <c r="S13" s="180">
        <v>0.46736111111111112</v>
      </c>
      <c r="T13" s="181"/>
      <c r="U13" s="11">
        <v>1</v>
      </c>
      <c r="V13" s="11" t="s">
        <v>100</v>
      </c>
      <c r="W13" s="1">
        <v>75</v>
      </c>
      <c r="X13" s="1">
        <v>1.25</v>
      </c>
      <c r="Y13" s="11" t="s">
        <v>91</v>
      </c>
      <c r="Z13" s="1">
        <f>AA13*60</f>
        <v>570</v>
      </c>
      <c r="AA13" s="1">
        <v>9.5</v>
      </c>
    </row>
    <row r="14" spans="2:27">
      <c r="B14" s="168"/>
      <c r="C14" s="2">
        <v>0.46736111111111112</v>
      </c>
      <c r="D14" s="3"/>
      <c r="E14" s="3"/>
      <c r="F14" s="3">
        <v>0</v>
      </c>
      <c r="G14" s="3">
        <v>100</v>
      </c>
      <c r="H14" s="3">
        <v>69</v>
      </c>
      <c r="I14" s="3">
        <v>81</v>
      </c>
      <c r="J14" s="3"/>
      <c r="K14" s="1">
        <v>6</v>
      </c>
      <c r="L14" s="1">
        <v>6</v>
      </c>
      <c r="M14" s="182" t="s">
        <v>91</v>
      </c>
      <c r="N14" s="183"/>
      <c r="O14" s="3"/>
      <c r="R14" s="206"/>
      <c r="S14" s="2">
        <v>0.4680555555555555</v>
      </c>
      <c r="T14" s="2">
        <v>0.96527777777777779</v>
      </c>
      <c r="U14" s="11">
        <f>716</f>
        <v>716</v>
      </c>
      <c r="V14" s="11">
        <v>6</v>
      </c>
      <c r="W14" s="1">
        <f>V14*0.25</f>
        <v>1.5</v>
      </c>
      <c r="X14" s="1">
        <f t="shared" ref="X14" si="3">W14*U14/60</f>
        <v>17.899999999999999</v>
      </c>
      <c r="Y14" s="11">
        <v>6</v>
      </c>
      <c r="Z14" s="1">
        <f t="shared" ref="Z14" si="4">Y14*1.9</f>
        <v>11.399999999999999</v>
      </c>
      <c r="AA14" s="1">
        <f t="shared" ref="AA14" si="5">Z14*U14/60</f>
        <v>136.04</v>
      </c>
    </row>
    <row r="15" spans="2:27">
      <c r="B15" s="168"/>
      <c r="C15" s="2">
        <v>0.46875</v>
      </c>
      <c r="D15" s="3" t="s">
        <v>244</v>
      </c>
      <c r="E15" s="127">
        <v>0.73614148256310696</v>
      </c>
      <c r="F15" s="3">
        <v>0</v>
      </c>
      <c r="G15" s="3">
        <v>100</v>
      </c>
      <c r="H15" s="3">
        <v>69</v>
      </c>
      <c r="I15" s="3">
        <v>81</v>
      </c>
      <c r="J15" s="3"/>
      <c r="K15" s="1">
        <v>6</v>
      </c>
      <c r="L15" s="1">
        <v>6</v>
      </c>
      <c r="M15" s="3"/>
      <c r="N15" s="3"/>
      <c r="O15" s="3"/>
      <c r="R15" s="62" t="s">
        <v>264</v>
      </c>
      <c r="S15" s="2">
        <v>0.96527777777777779</v>
      </c>
      <c r="T15" s="2">
        <v>9.375E-2</v>
      </c>
      <c r="U15" s="11">
        <f>50+120+15</f>
        <v>185</v>
      </c>
      <c r="V15" s="11">
        <v>8</v>
      </c>
      <c r="W15" s="1">
        <f>V15*0.25</f>
        <v>2</v>
      </c>
      <c r="X15" s="1">
        <f>W15*U15/60</f>
        <v>6.166666666666667</v>
      </c>
      <c r="Y15" s="11">
        <v>8</v>
      </c>
      <c r="Z15" s="1">
        <f>Y15*1.9</f>
        <v>15.2</v>
      </c>
      <c r="AA15" s="1">
        <f>Z15*U15/60</f>
        <v>46.866666666666667</v>
      </c>
    </row>
    <row r="16" spans="2:27">
      <c r="B16" s="168"/>
      <c r="C16" s="2">
        <v>0.48958333333333331</v>
      </c>
      <c r="D16" s="3" t="s">
        <v>245</v>
      </c>
      <c r="E16" s="127">
        <v>3.4956910183002701</v>
      </c>
      <c r="F16" s="3">
        <v>0</v>
      </c>
      <c r="G16" s="3">
        <v>95</v>
      </c>
      <c r="H16" s="3">
        <v>61</v>
      </c>
      <c r="I16" s="3">
        <v>76</v>
      </c>
      <c r="J16" s="3"/>
      <c r="K16" s="1">
        <v>6</v>
      </c>
      <c r="L16" s="1">
        <v>6</v>
      </c>
      <c r="M16" s="3"/>
      <c r="N16" s="3"/>
      <c r="O16" s="3"/>
      <c r="R16" s="199" t="s">
        <v>655</v>
      </c>
      <c r="S16" s="180">
        <v>9.375E-2</v>
      </c>
      <c r="T16" s="181"/>
      <c r="U16" s="11">
        <v>1</v>
      </c>
      <c r="V16" s="11" t="s">
        <v>91</v>
      </c>
      <c r="W16" s="1">
        <v>75</v>
      </c>
      <c r="X16" s="1">
        <v>1.25</v>
      </c>
      <c r="Y16" s="11" t="s">
        <v>91</v>
      </c>
      <c r="Z16" s="1">
        <v>570</v>
      </c>
      <c r="AA16" s="1">
        <v>9.5</v>
      </c>
    </row>
    <row r="17" spans="2:27">
      <c r="B17" s="168"/>
      <c r="C17" s="2">
        <v>0.51041666666666663</v>
      </c>
      <c r="D17" s="3" t="s">
        <v>246</v>
      </c>
      <c r="E17" s="127">
        <v>3.2191868580093499</v>
      </c>
      <c r="F17" s="3">
        <v>0</v>
      </c>
      <c r="G17" s="3">
        <v>86</v>
      </c>
      <c r="H17" s="3">
        <v>45</v>
      </c>
      <c r="I17" s="3">
        <v>78</v>
      </c>
      <c r="J17" s="3"/>
      <c r="K17" s="1">
        <v>6</v>
      </c>
      <c r="L17" s="1">
        <v>6</v>
      </c>
      <c r="M17" s="3"/>
      <c r="N17" s="3"/>
      <c r="O17" s="3"/>
      <c r="R17" s="200"/>
      <c r="S17" s="2">
        <v>9.4444444444444442E-2</v>
      </c>
      <c r="T17" s="2">
        <v>0.27083333333333331</v>
      </c>
      <c r="U17" s="11">
        <f>240+14</f>
        <v>254</v>
      </c>
      <c r="V17" s="11">
        <v>6</v>
      </c>
      <c r="W17" s="1">
        <f t="shared" ref="W17" si="6">V17*0.25</f>
        <v>1.5</v>
      </c>
      <c r="X17" s="1">
        <f t="shared" ref="X17" si="7">W17*U17/60</f>
        <v>6.35</v>
      </c>
      <c r="Y17" s="11">
        <v>6</v>
      </c>
      <c r="Z17" s="1">
        <f t="shared" ref="Z17" si="8">Y17*1.9</f>
        <v>11.399999999999999</v>
      </c>
      <c r="AA17" s="1">
        <f t="shared" ref="AA17" si="9">Z17*U17/60</f>
        <v>48.259999999999991</v>
      </c>
    </row>
    <row r="18" spans="2:27">
      <c r="B18" s="168"/>
      <c r="C18" s="2">
        <v>0.55208333333333337</v>
      </c>
      <c r="D18" s="3" t="s">
        <v>247</v>
      </c>
      <c r="E18" s="127">
        <v>4.2896517596597796</v>
      </c>
      <c r="F18" s="3">
        <v>0</v>
      </c>
      <c r="G18" s="3">
        <v>95</v>
      </c>
      <c r="H18" s="3">
        <v>54</v>
      </c>
      <c r="I18" s="3">
        <v>83</v>
      </c>
      <c r="J18" s="3"/>
      <c r="K18" s="1">
        <v>6</v>
      </c>
      <c r="L18" s="1">
        <v>6</v>
      </c>
      <c r="M18" s="3"/>
      <c r="N18" s="3"/>
      <c r="O18" s="3"/>
      <c r="R18" s="201"/>
      <c r="S18" s="2">
        <v>0.27083333333333331</v>
      </c>
      <c r="T18" s="2">
        <v>0.59722222222222221</v>
      </c>
      <c r="U18" s="11">
        <f>8*60-10</f>
        <v>470</v>
      </c>
      <c r="V18" s="11">
        <v>8</v>
      </c>
      <c r="W18" s="1">
        <f t="shared" ref="W18:W20" si="10">V18*0.25</f>
        <v>2</v>
      </c>
      <c r="X18" s="1">
        <f t="shared" si="0"/>
        <v>15.666666666666666</v>
      </c>
      <c r="Y18" s="11">
        <v>8</v>
      </c>
      <c r="Z18" s="1">
        <f t="shared" si="1"/>
        <v>15.2</v>
      </c>
      <c r="AA18" s="1">
        <f t="shared" si="2"/>
        <v>119.06666666666666</v>
      </c>
    </row>
    <row r="19" spans="2:27">
      <c r="B19" s="168"/>
      <c r="C19" s="2">
        <v>0.7895833333333333</v>
      </c>
      <c r="D19" s="3" t="s">
        <v>248</v>
      </c>
      <c r="E19" s="127">
        <v>3.7478184168987601</v>
      </c>
      <c r="F19" s="3">
        <v>0</v>
      </c>
      <c r="G19" s="3">
        <v>95</v>
      </c>
      <c r="H19" s="3">
        <v>56</v>
      </c>
      <c r="I19" s="3">
        <v>82</v>
      </c>
      <c r="J19" s="3"/>
      <c r="K19" s="1">
        <v>6</v>
      </c>
      <c r="L19" s="1">
        <v>6</v>
      </c>
      <c r="M19" s="3"/>
      <c r="N19" s="3"/>
      <c r="O19" s="3"/>
      <c r="R19" s="62" t="s">
        <v>265</v>
      </c>
      <c r="S19" s="2">
        <v>0.59722222222222221</v>
      </c>
      <c r="T19" s="2">
        <v>0.64236111111111105</v>
      </c>
      <c r="U19" s="11">
        <f>1440+65</f>
        <v>1505</v>
      </c>
      <c r="V19" s="11">
        <v>5</v>
      </c>
      <c r="W19" s="1">
        <f t="shared" si="10"/>
        <v>1.25</v>
      </c>
      <c r="X19" s="1">
        <f t="shared" si="0"/>
        <v>31.354166666666668</v>
      </c>
      <c r="Y19" s="11">
        <v>5</v>
      </c>
      <c r="Z19" s="1">
        <f t="shared" si="1"/>
        <v>9.5</v>
      </c>
      <c r="AA19" s="1">
        <f t="shared" si="2"/>
        <v>238.29166666666666</v>
      </c>
    </row>
    <row r="20" spans="2:27">
      <c r="B20" s="169"/>
      <c r="C20" s="2">
        <v>0.96527777777777779</v>
      </c>
      <c r="D20" s="3" t="s">
        <v>249</v>
      </c>
      <c r="E20" s="127">
        <v>10.159648448255901</v>
      </c>
      <c r="F20" s="3">
        <v>2</v>
      </c>
      <c r="G20" s="3">
        <v>88</v>
      </c>
      <c r="H20" s="3">
        <v>47</v>
      </c>
      <c r="I20" s="3">
        <v>86</v>
      </c>
      <c r="J20" s="3"/>
      <c r="K20" s="85">
        <v>8</v>
      </c>
      <c r="L20" s="85">
        <v>8</v>
      </c>
      <c r="M20" s="3"/>
      <c r="N20" s="3"/>
      <c r="O20" s="3"/>
      <c r="R20" s="62" t="s">
        <v>263</v>
      </c>
      <c r="S20" s="2">
        <v>0.64236111111111105</v>
      </c>
      <c r="T20" s="2">
        <v>0.86875000000000002</v>
      </c>
      <c r="U20" s="11">
        <f>35+240+51</f>
        <v>326</v>
      </c>
      <c r="V20" s="11">
        <v>3</v>
      </c>
      <c r="W20" s="1">
        <f t="shared" si="10"/>
        <v>0.75</v>
      </c>
      <c r="X20" s="1">
        <f t="shared" si="0"/>
        <v>4.0750000000000002</v>
      </c>
      <c r="Y20" s="11">
        <v>3</v>
      </c>
      <c r="Z20" s="1">
        <f t="shared" si="1"/>
        <v>5.6999999999999993</v>
      </c>
      <c r="AA20" s="1">
        <f t="shared" si="2"/>
        <v>30.969999999999995</v>
      </c>
    </row>
    <row r="21" spans="2:27">
      <c r="B21" s="167">
        <v>43741</v>
      </c>
      <c r="C21" s="2">
        <v>9.375E-2</v>
      </c>
      <c r="D21" s="3"/>
      <c r="E21" s="3"/>
      <c r="F21" s="3"/>
      <c r="G21" s="3">
        <v>80</v>
      </c>
      <c r="H21" s="3">
        <v>50</v>
      </c>
      <c r="I21" s="3"/>
      <c r="J21" s="3"/>
      <c r="K21" s="16">
        <v>6</v>
      </c>
      <c r="L21" s="16">
        <v>6</v>
      </c>
      <c r="M21" s="182" t="s">
        <v>91</v>
      </c>
      <c r="N21" s="183"/>
      <c r="O21" s="3"/>
      <c r="R21" s="10" t="s">
        <v>21</v>
      </c>
      <c r="S21" s="11"/>
      <c r="T21" s="11"/>
      <c r="U21" s="10">
        <f>SUM(U12:U20)</f>
        <v>3461</v>
      </c>
      <c r="X21" s="10">
        <f>SUM(X12:X20)</f>
        <v>84.087500000000006</v>
      </c>
      <c r="AA21" s="10">
        <f>SUM(AA12:AA20)</f>
        <v>639.06499999999994</v>
      </c>
    </row>
    <row r="22" spans="2:27">
      <c r="B22" s="168"/>
      <c r="C22" s="2">
        <v>0.27083333333333331</v>
      </c>
      <c r="D22" s="3"/>
      <c r="E22" s="3"/>
      <c r="F22" s="3"/>
      <c r="G22" s="3">
        <v>90</v>
      </c>
      <c r="H22" s="3">
        <v>60</v>
      </c>
      <c r="I22" s="3"/>
      <c r="J22" s="3"/>
      <c r="K22" s="16">
        <v>8</v>
      </c>
      <c r="L22" s="16">
        <v>8</v>
      </c>
      <c r="M22" s="3"/>
      <c r="N22" s="3"/>
      <c r="O22" s="3"/>
      <c r="U22">
        <f>U21/60</f>
        <v>57.68333333333333</v>
      </c>
    </row>
    <row r="23" spans="2:27">
      <c r="B23" s="169"/>
      <c r="C23" s="2">
        <v>0.59722222222222221</v>
      </c>
      <c r="D23" s="3" t="s">
        <v>250</v>
      </c>
      <c r="E23" s="3">
        <v>14.420513593091499</v>
      </c>
      <c r="F23" s="3">
        <v>6</v>
      </c>
      <c r="G23" s="3">
        <v>96</v>
      </c>
      <c r="H23" s="3">
        <v>57</v>
      </c>
      <c r="I23" s="3">
        <v>80</v>
      </c>
      <c r="J23" s="3"/>
      <c r="K23" s="86">
        <v>5</v>
      </c>
      <c r="L23" s="86">
        <v>5</v>
      </c>
      <c r="M23" s="3"/>
      <c r="N23" s="3"/>
      <c r="O23" s="3"/>
      <c r="X23">
        <f>X21/U21*60</f>
        <v>1.4577434267552731</v>
      </c>
      <c r="AA23">
        <f>AA21/U21*60</f>
        <v>11.078850043340074</v>
      </c>
    </row>
    <row r="24" spans="2:27">
      <c r="B24" s="167">
        <v>43742</v>
      </c>
      <c r="C24" s="2">
        <v>0.64236111111111105</v>
      </c>
      <c r="D24" s="3" t="s">
        <v>251</v>
      </c>
      <c r="E24" s="3">
        <v>11.3652811281205</v>
      </c>
      <c r="F24" s="3">
        <v>2</v>
      </c>
      <c r="G24" s="3">
        <v>103</v>
      </c>
      <c r="H24" s="3">
        <v>61</v>
      </c>
      <c r="I24" s="3">
        <v>89</v>
      </c>
      <c r="J24" s="3"/>
      <c r="K24" s="85">
        <v>3</v>
      </c>
      <c r="L24" s="85">
        <v>3</v>
      </c>
      <c r="M24" s="3"/>
      <c r="N24" s="3"/>
      <c r="O24" s="3"/>
    </row>
    <row r="25" spans="2:27">
      <c r="B25" s="168"/>
      <c r="C25" s="30">
        <v>0.86875000000000002</v>
      </c>
      <c r="D25" s="31" t="s">
        <v>252</v>
      </c>
      <c r="E25" s="31">
        <v>8.1490450462326702</v>
      </c>
      <c r="F25" s="31">
        <v>4</v>
      </c>
      <c r="G25" s="31">
        <v>112</v>
      </c>
      <c r="H25" s="31">
        <v>72</v>
      </c>
      <c r="I25" s="31">
        <v>89</v>
      </c>
      <c r="J25" s="31"/>
      <c r="K25" s="32" t="s">
        <v>20</v>
      </c>
      <c r="L25" s="32" t="s">
        <v>20</v>
      </c>
      <c r="M25" s="3"/>
      <c r="N25" s="3"/>
      <c r="O25" s="3"/>
    </row>
    <row r="26" spans="2:27">
      <c r="B26" s="168"/>
      <c r="C26" s="2">
        <v>0.87083333333333324</v>
      </c>
      <c r="D26" s="3" t="s">
        <v>253</v>
      </c>
      <c r="E26" s="3">
        <v>10.216069754511301</v>
      </c>
      <c r="F26" s="3">
        <v>4</v>
      </c>
      <c r="G26" s="3">
        <v>104</v>
      </c>
      <c r="H26" s="3">
        <v>66</v>
      </c>
      <c r="I26" s="3">
        <v>78</v>
      </c>
      <c r="J26" s="3"/>
      <c r="K26" s="1"/>
      <c r="L26" s="3"/>
      <c r="M26" s="3"/>
      <c r="N26" s="3"/>
      <c r="O26" s="3"/>
    </row>
    <row r="27" spans="2:27">
      <c r="B27" s="168"/>
      <c r="C27" s="2">
        <v>0.87222222222222223</v>
      </c>
      <c r="D27" s="3" t="s">
        <v>254</v>
      </c>
      <c r="E27" s="3">
        <v>6.5559922208942201</v>
      </c>
      <c r="F27" s="3">
        <v>3</v>
      </c>
      <c r="G27" s="3">
        <v>100</v>
      </c>
      <c r="H27" s="3">
        <v>67</v>
      </c>
      <c r="I27" s="3">
        <v>79</v>
      </c>
      <c r="J27" s="3"/>
      <c r="K27" s="1"/>
      <c r="L27" s="3"/>
      <c r="M27" s="3"/>
      <c r="N27" s="3"/>
      <c r="O27" s="3"/>
    </row>
    <row r="28" spans="2:27">
      <c r="B28" s="168"/>
      <c r="C28" s="2">
        <v>0.88263888888888886</v>
      </c>
      <c r="D28" s="3" t="s">
        <v>255</v>
      </c>
      <c r="E28" s="3">
        <v>6.7274956880113699</v>
      </c>
      <c r="F28" s="3">
        <v>3</v>
      </c>
      <c r="G28" s="3">
        <v>118</v>
      </c>
      <c r="H28" s="3">
        <v>78</v>
      </c>
      <c r="I28" s="3">
        <v>80</v>
      </c>
      <c r="J28" s="3"/>
      <c r="K28" s="1"/>
      <c r="L28" s="3"/>
      <c r="M28" s="3"/>
      <c r="N28" s="3"/>
      <c r="O28" s="3"/>
    </row>
    <row r="29" spans="2:27">
      <c r="B29" s="168"/>
      <c r="C29" s="2">
        <v>0.8965277777777777</v>
      </c>
      <c r="D29" s="3" t="s">
        <v>256</v>
      </c>
      <c r="E29" s="3">
        <v>7.54443292453597</v>
      </c>
      <c r="F29" s="3">
        <v>3</v>
      </c>
      <c r="G29" s="3">
        <v>110</v>
      </c>
      <c r="H29" s="3">
        <v>70</v>
      </c>
      <c r="I29" s="3">
        <v>81</v>
      </c>
      <c r="J29" s="3"/>
      <c r="K29" s="1"/>
      <c r="L29" s="3"/>
      <c r="M29" s="3"/>
      <c r="N29" s="3"/>
      <c r="O29" s="3"/>
    </row>
    <row r="30" spans="2:27">
      <c r="B30" s="168"/>
      <c r="C30" s="2">
        <v>0.91041666666666676</v>
      </c>
      <c r="D30" s="3" t="s">
        <v>257</v>
      </c>
      <c r="E30" s="3">
        <v>8.6229050560590093</v>
      </c>
      <c r="F30" s="3">
        <v>3</v>
      </c>
      <c r="G30" s="3">
        <v>112</v>
      </c>
      <c r="H30" s="3">
        <v>71</v>
      </c>
      <c r="I30" s="3">
        <v>78</v>
      </c>
      <c r="J30" s="3"/>
      <c r="K30" s="1"/>
      <c r="L30" s="3"/>
      <c r="M30" s="3"/>
      <c r="N30" s="3"/>
      <c r="O30" s="3"/>
    </row>
    <row r="31" spans="2:27">
      <c r="B31" s="169"/>
      <c r="C31" s="2">
        <v>0.95208333333333339</v>
      </c>
      <c r="D31" s="3" t="s">
        <v>258</v>
      </c>
      <c r="E31" s="3">
        <v>6.8129703850882803</v>
      </c>
      <c r="F31" s="3">
        <v>3</v>
      </c>
      <c r="G31" s="3">
        <v>119</v>
      </c>
      <c r="H31" s="3">
        <v>77</v>
      </c>
      <c r="I31" s="3">
        <v>79</v>
      </c>
      <c r="J31" s="3"/>
      <c r="K31" s="1"/>
      <c r="L31" s="3"/>
      <c r="M31" s="3"/>
      <c r="N31" s="3"/>
      <c r="O31" s="3"/>
    </row>
    <row r="32" spans="2:27">
      <c r="B32" s="61">
        <v>43743</v>
      </c>
      <c r="C32" s="2">
        <v>0.36874999999999997</v>
      </c>
      <c r="D32" s="3" t="s">
        <v>259</v>
      </c>
      <c r="E32" s="3">
        <v>3.6225018337555599</v>
      </c>
      <c r="F32" s="3">
        <v>2</v>
      </c>
      <c r="G32" s="3">
        <v>118</v>
      </c>
      <c r="H32" s="3">
        <v>78</v>
      </c>
      <c r="I32" s="3">
        <v>86</v>
      </c>
      <c r="J32" s="3"/>
      <c r="K32" s="1"/>
      <c r="L32" s="3"/>
      <c r="M32" s="3"/>
      <c r="N32" s="3"/>
      <c r="O32" s="3"/>
    </row>
    <row r="33" spans="2:15">
      <c r="B33" s="61">
        <v>43745</v>
      </c>
      <c r="C33" s="2">
        <v>0.51250000000000007</v>
      </c>
      <c r="D33" s="3" t="s">
        <v>260</v>
      </c>
      <c r="E33" s="3">
        <v>1.7764789771604801</v>
      </c>
      <c r="F33" s="3">
        <v>0</v>
      </c>
      <c r="G33" s="3">
        <v>107</v>
      </c>
      <c r="H33" s="3">
        <v>71</v>
      </c>
      <c r="I33" s="3">
        <v>92</v>
      </c>
      <c r="J33" s="3"/>
      <c r="K33" s="1"/>
      <c r="L33" s="3"/>
      <c r="M33" s="3"/>
      <c r="N33" s="3"/>
      <c r="O33" s="3"/>
    </row>
    <row r="34" spans="2:15">
      <c r="B34" s="61">
        <v>43746</v>
      </c>
      <c r="C34" s="2">
        <v>0.375</v>
      </c>
      <c r="D34" s="3" t="s">
        <v>242</v>
      </c>
      <c r="E34" s="3">
        <v>1.6433380493318399</v>
      </c>
      <c r="F34" s="3" t="s">
        <v>56</v>
      </c>
      <c r="G34" s="3">
        <v>108</v>
      </c>
      <c r="H34" s="3">
        <v>72</v>
      </c>
      <c r="I34" s="3">
        <v>88</v>
      </c>
      <c r="J34" s="3"/>
      <c r="K34" s="1"/>
      <c r="L34" s="3"/>
      <c r="M34" s="3"/>
      <c r="N34" s="3"/>
      <c r="O34" s="3"/>
    </row>
    <row r="35" spans="2:15">
      <c r="B35" s="43"/>
      <c r="C35" s="72"/>
    </row>
  </sheetData>
  <mergeCells count="33">
    <mergeCell ref="B24:B31"/>
    <mergeCell ref="B2:B3"/>
    <mergeCell ref="B11:B12"/>
    <mergeCell ref="C11:C12"/>
    <mergeCell ref="C2:C3"/>
    <mergeCell ref="B13:B20"/>
    <mergeCell ref="D11:D12"/>
    <mergeCell ref="I11:I12"/>
    <mergeCell ref="F11:F12"/>
    <mergeCell ref="G11:H11"/>
    <mergeCell ref="B21:B23"/>
    <mergeCell ref="M21:N21"/>
    <mergeCell ref="Q2:R2"/>
    <mergeCell ref="Q3:R3"/>
    <mergeCell ref="G4:H4"/>
    <mergeCell ref="M14:N14"/>
    <mergeCell ref="R16:R18"/>
    <mergeCell ref="G2:I2"/>
    <mergeCell ref="K2:L2"/>
    <mergeCell ref="G3:I3"/>
    <mergeCell ref="K3:O4"/>
    <mergeCell ref="K5:L5"/>
    <mergeCell ref="K6:L6"/>
    <mergeCell ref="S16:T16"/>
    <mergeCell ref="J11:J12"/>
    <mergeCell ref="K11:L11"/>
    <mergeCell ref="M11:N11"/>
    <mergeCell ref="E11:E12"/>
    <mergeCell ref="V10:X10"/>
    <mergeCell ref="Y10:AA10"/>
    <mergeCell ref="O11:O12"/>
    <mergeCell ref="S13:T13"/>
    <mergeCell ref="R12:R1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24</vt:i4>
      </vt:variant>
    </vt:vector>
  </HeadingPairs>
  <TitlesOfParts>
    <vt:vector size="24" baseType="lpstr">
      <vt:lpstr>legenda</vt:lpstr>
      <vt:lpstr>1001</vt:lpstr>
      <vt:lpstr>1002</vt:lpstr>
      <vt:lpstr>1003</vt:lpstr>
      <vt:lpstr>1004</vt:lpstr>
      <vt:lpstr>1005</vt:lpstr>
      <vt:lpstr>1006</vt:lpstr>
      <vt:lpstr>1007</vt:lpstr>
      <vt:lpstr>1008</vt:lpstr>
      <vt:lpstr>1009</vt:lpstr>
      <vt:lpstr>1010</vt:lpstr>
      <vt:lpstr>1011</vt:lpstr>
      <vt:lpstr>1012</vt:lpstr>
      <vt:lpstr>1013</vt:lpstr>
      <vt:lpstr>1014</vt:lpstr>
      <vt:lpstr>1015</vt:lpstr>
      <vt:lpstr>1016</vt:lpstr>
      <vt:lpstr>1017</vt:lpstr>
      <vt:lpstr>1018</vt:lpstr>
      <vt:lpstr>1019</vt:lpstr>
      <vt:lpstr>1020</vt:lpstr>
      <vt:lpstr>1021</vt:lpstr>
      <vt:lpstr>1022</vt:lpstr>
      <vt:lpstr>1023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farmklin</dc:creator>
  <cp:lastModifiedBy>tom</cp:lastModifiedBy>
  <dcterms:created xsi:type="dcterms:W3CDTF">2016-05-05T08:25:01Z</dcterms:created>
  <dcterms:modified xsi:type="dcterms:W3CDTF">2022-07-21T11:49:53Z</dcterms:modified>
</cp:coreProperties>
</file>