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760" tabRatio="932" activeTab="2"/>
  </bookViews>
  <sheets>
    <sheet name="MODE EMPLOI" sheetId="2" r:id="rId1"/>
    <sheet name="IK 2020" sheetId="6" r:id="rId2"/>
    <sheet name="VEHICULES TOURISMES" sheetId="5" r:id="rId3"/>
    <sheet name="VEHICULES UTILITAIRES" sheetId="4" r:id="rId4"/>
    <sheet name="INDEMNITES KILOM. 01-2020" sheetId="1" r:id="rId5"/>
    <sheet name="INDEMNITES KILOM. 02-2020" sheetId="17" r:id="rId6"/>
    <sheet name="INDEMNITES KILOM. 03-2020" sheetId="16" r:id="rId7"/>
    <sheet name="INDEMNITES KILOM. 04-2020" sheetId="15" r:id="rId8"/>
    <sheet name="INDEMNITES KILOM. 05-2020" sheetId="14" r:id="rId9"/>
    <sheet name="INDEMNITES KILOM. 06-2020" sheetId="13" r:id="rId10"/>
    <sheet name="INDEMNITES KILOM. 07-2020" sheetId="12" r:id="rId11"/>
    <sheet name="INDEMNITES KILOM. 08-2020" sheetId="11" r:id="rId12"/>
    <sheet name="INDEMNITES KILOM. 09-2020" sheetId="10" r:id="rId13"/>
    <sheet name="INDEMNITES KILOM. 10-2020" sheetId="9" r:id="rId14"/>
    <sheet name="INDEMNITES KILOM. 11-2020" sheetId="8" r:id="rId15"/>
    <sheet name="INDEMNITES KILOM. 12-2020" sheetId="7" r:id="rId16"/>
  </sheets>
  <definedNames>
    <definedName name="_xlnm.Print_Area" localSheetId="4">'INDEMNITES KILOM. 01-2020'!$A$1:$P$60</definedName>
    <definedName name="_xlnm.Print_Area" localSheetId="2">'VEHICULES TOURISMES'!$A$1:$P$48</definedName>
    <definedName name="_xlnm.Print_Area" localSheetId="3">'VEHICULES UTILITAIRES'!$A$1:$P$48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5" i="7"/>
  <c r="F45" i="8"/>
  <c r="F45" i="9"/>
  <c r="F45" i="10"/>
  <c r="F45" i="11"/>
  <c r="F46" s="1"/>
  <c r="F45" i="12"/>
  <c r="F45" i="13"/>
  <c r="F45" i="14"/>
  <c r="F45" i="15"/>
  <c r="F45" i="16"/>
  <c r="F45" i="17"/>
  <c r="F45" i="1"/>
  <c r="F46" s="1"/>
  <c r="E36" i="4"/>
  <c r="E38" s="1"/>
  <c r="E36" i="5"/>
  <c r="F46" i="7" l="1"/>
  <c r="F47" s="1"/>
  <c r="F46" i="8"/>
  <c r="F47" s="1"/>
  <c r="F46" i="9"/>
  <c r="F47" s="1"/>
  <c r="F46" i="10"/>
  <c r="F47" s="1"/>
  <c r="F47" i="11"/>
  <c r="F47" i="12"/>
  <c r="F46"/>
  <c r="F46" i="13"/>
  <c r="F47" s="1"/>
  <c r="F46" i="14"/>
  <c r="F47" s="1"/>
  <c r="F46" i="15"/>
  <c r="F47" s="1"/>
  <c r="F46" i="16"/>
  <c r="F47" s="1"/>
  <c r="F46" i="17"/>
  <c r="F47" s="1"/>
  <c r="F47" i="1"/>
  <c r="E39" i="4"/>
  <c r="E38" i="5"/>
  <c r="E39" s="1"/>
  <c r="C22" i="6"/>
  <c r="B16"/>
  <c r="G46" i="7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C27" i="6" s="1"/>
  <c r="D7" i="7"/>
  <c r="A39" s="1"/>
  <c r="H46" i="8"/>
  <c r="G46"/>
  <c r="O45"/>
  <c r="N45"/>
  <c r="M45"/>
  <c r="L45"/>
  <c r="K45"/>
  <c r="K47" s="1"/>
  <c r="J45"/>
  <c r="J47" s="1"/>
  <c r="I45"/>
  <c r="I47" s="1"/>
  <c r="H45"/>
  <c r="H47" s="1"/>
  <c r="G45"/>
  <c r="G47" s="1"/>
  <c r="E45"/>
  <c r="E47" s="1"/>
  <c r="D45"/>
  <c r="C43"/>
  <c r="C26" i="6" s="1"/>
  <c r="A41" i="8"/>
  <c r="A37"/>
  <c r="A34"/>
  <c r="A33"/>
  <c r="A29"/>
  <c r="A26"/>
  <c r="A25"/>
  <c r="A21"/>
  <c r="A18"/>
  <c r="A17"/>
  <c r="A13"/>
  <c r="D7"/>
  <c r="A39" s="1"/>
  <c r="H46" i="9"/>
  <c r="G46"/>
  <c r="O45"/>
  <c r="N45"/>
  <c r="M45"/>
  <c r="L45"/>
  <c r="K45"/>
  <c r="K47" s="1"/>
  <c r="J45"/>
  <c r="J47" s="1"/>
  <c r="I45"/>
  <c r="I47" s="1"/>
  <c r="H45"/>
  <c r="H47" s="1"/>
  <c r="G45"/>
  <c r="G47" s="1"/>
  <c r="E45"/>
  <c r="E47" s="1"/>
  <c r="D45"/>
  <c r="C43"/>
  <c r="C25" i="6" s="1"/>
  <c r="D7" i="9"/>
  <c r="A39" s="1"/>
  <c r="G46" i="10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C24" i="6" s="1"/>
  <c r="A37" i="10"/>
  <c r="A29"/>
  <c r="A25"/>
  <c r="A21"/>
  <c r="A13"/>
  <c r="D7"/>
  <c r="A39" s="1"/>
  <c r="G46" i="11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C23" i="6" s="1"/>
  <c r="D7" i="11"/>
  <c r="A39" s="1"/>
  <c r="G46" i="12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D7"/>
  <c r="A39" s="1"/>
  <c r="H46" i="13"/>
  <c r="G46"/>
  <c r="O45"/>
  <c r="N45"/>
  <c r="M45"/>
  <c r="L45"/>
  <c r="K45"/>
  <c r="K47" s="1"/>
  <c r="J45"/>
  <c r="J47" s="1"/>
  <c r="I45"/>
  <c r="I47" s="1"/>
  <c r="H45"/>
  <c r="H47" s="1"/>
  <c r="G45"/>
  <c r="G47" s="1"/>
  <c r="E45"/>
  <c r="E47" s="1"/>
  <c r="D45"/>
  <c r="C43"/>
  <c r="C21" i="6" s="1"/>
  <c r="A38" i="13"/>
  <c r="A31"/>
  <c r="A26"/>
  <c r="A21"/>
  <c r="A15"/>
  <c r="D7"/>
  <c r="A39" s="1"/>
  <c r="G46" i="14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C20" i="6" s="1"/>
  <c r="D7" i="14"/>
  <c r="A39" s="1"/>
  <c r="A14" i="7" l="1"/>
  <c r="A22"/>
  <c r="A30"/>
  <c r="A38"/>
  <c r="A17"/>
  <c r="A25"/>
  <c r="A33"/>
  <c r="A41"/>
  <c r="A18"/>
  <c r="A26"/>
  <c r="A34"/>
  <c r="A13"/>
  <c r="A21"/>
  <c r="A29"/>
  <c r="A37"/>
  <c r="A14" i="8"/>
  <c r="A22"/>
  <c r="A30"/>
  <c r="A38"/>
  <c r="A14" i="9"/>
  <c r="A22"/>
  <c r="A30"/>
  <c r="A38"/>
  <c r="A13"/>
  <c r="A21"/>
  <c r="A29"/>
  <c r="A37"/>
  <c r="A17"/>
  <c r="A25"/>
  <c r="A33"/>
  <c r="A41"/>
  <c r="A18"/>
  <c r="A26"/>
  <c r="A34"/>
  <c r="A17" i="10"/>
  <c r="A33"/>
  <c r="A41"/>
  <c r="A13" i="13"/>
  <c r="A18"/>
  <c r="A23"/>
  <c r="A29"/>
  <c r="A34"/>
  <c r="A14"/>
  <c r="A19"/>
  <c r="A25"/>
  <c r="A30"/>
  <c r="A37"/>
  <c r="A11"/>
  <c r="A17"/>
  <c r="A22"/>
  <c r="A27"/>
  <c r="A33"/>
  <c r="A41"/>
  <c r="L47" i="7"/>
  <c r="M47"/>
  <c r="D46"/>
  <c r="M46"/>
  <c r="A12"/>
  <c r="A16"/>
  <c r="A20"/>
  <c r="A24"/>
  <c r="A28"/>
  <c r="A32"/>
  <c r="A36"/>
  <c r="A40"/>
  <c r="L46"/>
  <c r="H47"/>
  <c r="N46"/>
  <c r="N47" s="1"/>
  <c r="A11"/>
  <c r="A15"/>
  <c r="A19"/>
  <c r="A23"/>
  <c r="A27"/>
  <c r="A31"/>
  <c r="A35"/>
  <c r="O46"/>
  <c r="O47" s="1"/>
  <c r="L47" i="8"/>
  <c r="D46"/>
  <c r="M46"/>
  <c r="M47" s="1"/>
  <c r="A12"/>
  <c r="A16"/>
  <c r="A20"/>
  <c r="A24"/>
  <c r="A28"/>
  <c r="A32"/>
  <c r="A36"/>
  <c r="A40"/>
  <c r="L46"/>
  <c r="N46"/>
  <c r="N47" s="1"/>
  <c r="A11"/>
  <c r="A15"/>
  <c r="A19"/>
  <c r="A23"/>
  <c r="A27"/>
  <c r="A31"/>
  <c r="A35"/>
  <c r="O46"/>
  <c r="O47" s="1"/>
  <c r="L47" i="9"/>
  <c r="D47"/>
  <c r="M47"/>
  <c r="A12"/>
  <c r="A16"/>
  <c r="A20"/>
  <c r="A24"/>
  <c r="A28"/>
  <c r="A32"/>
  <c r="A36"/>
  <c r="A40"/>
  <c r="L46"/>
  <c r="D46"/>
  <c r="M46"/>
  <c r="N46"/>
  <c r="N47" s="1"/>
  <c r="A11"/>
  <c r="A15"/>
  <c r="A19"/>
  <c r="A23"/>
  <c r="A27"/>
  <c r="A31"/>
  <c r="A35"/>
  <c r="O46"/>
  <c r="O47" s="1"/>
  <c r="N47" i="10"/>
  <c r="L47"/>
  <c r="M46"/>
  <c r="M47" s="1"/>
  <c r="A12"/>
  <c r="A16"/>
  <c r="A20"/>
  <c r="A24"/>
  <c r="A28"/>
  <c r="A32"/>
  <c r="A36"/>
  <c r="A40"/>
  <c r="L46"/>
  <c r="H47"/>
  <c r="D46"/>
  <c r="A14"/>
  <c r="A18"/>
  <c r="A22"/>
  <c r="A26"/>
  <c r="A30"/>
  <c r="A34"/>
  <c r="A38"/>
  <c r="N46"/>
  <c r="A11"/>
  <c r="A15"/>
  <c r="A19"/>
  <c r="A23"/>
  <c r="A27"/>
  <c r="A31"/>
  <c r="A35"/>
  <c r="O46"/>
  <c r="O47" s="1"/>
  <c r="L47" i="11"/>
  <c r="A12"/>
  <c r="A16"/>
  <c r="A20"/>
  <c r="A24"/>
  <c r="A28"/>
  <c r="A32"/>
  <c r="A36"/>
  <c r="A40"/>
  <c r="L46"/>
  <c r="H47"/>
  <c r="A13"/>
  <c r="A17"/>
  <c r="A21"/>
  <c r="A25"/>
  <c r="A29"/>
  <c r="A33"/>
  <c r="A37"/>
  <c r="A41"/>
  <c r="D46"/>
  <c r="M46"/>
  <c r="M47" s="1"/>
  <c r="A14"/>
  <c r="A18"/>
  <c r="A22"/>
  <c r="A26"/>
  <c r="A30"/>
  <c r="A34"/>
  <c r="A38"/>
  <c r="N46"/>
  <c r="N47" s="1"/>
  <c r="A11"/>
  <c r="A15"/>
  <c r="A19"/>
  <c r="A23"/>
  <c r="A27"/>
  <c r="A31"/>
  <c r="A35"/>
  <c r="O46"/>
  <c r="O47" s="1"/>
  <c r="D47" i="12"/>
  <c r="A12"/>
  <c r="A16"/>
  <c r="A20"/>
  <c r="A24"/>
  <c r="A28"/>
  <c r="A32"/>
  <c r="A36"/>
  <c r="A40"/>
  <c r="L46"/>
  <c r="L47" s="1"/>
  <c r="H47"/>
  <c r="A13"/>
  <c r="A17"/>
  <c r="A21"/>
  <c r="A25"/>
  <c r="A29"/>
  <c r="A33"/>
  <c r="A37"/>
  <c r="A41"/>
  <c r="D46"/>
  <c r="M46"/>
  <c r="M47" s="1"/>
  <c r="A14"/>
  <c r="A18"/>
  <c r="A22"/>
  <c r="A26"/>
  <c r="A30"/>
  <c r="A34"/>
  <c r="A38"/>
  <c r="N46"/>
  <c r="N47" s="1"/>
  <c r="A11"/>
  <c r="A15"/>
  <c r="A19"/>
  <c r="A23"/>
  <c r="A27"/>
  <c r="A31"/>
  <c r="A35"/>
  <c r="O46"/>
  <c r="O47" s="1"/>
  <c r="L47" i="13"/>
  <c r="M47"/>
  <c r="D46"/>
  <c r="D47" s="1"/>
  <c r="M46"/>
  <c r="N46"/>
  <c r="N47" s="1"/>
  <c r="A12"/>
  <c r="A16"/>
  <c r="A20"/>
  <c r="A24"/>
  <c r="A28"/>
  <c r="A32"/>
  <c r="A36"/>
  <c r="A40"/>
  <c r="L46"/>
  <c r="A35"/>
  <c r="O46"/>
  <c r="O47" s="1"/>
  <c r="A12" i="14"/>
  <c r="A16"/>
  <c r="A20"/>
  <c r="A24"/>
  <c r="A28"/>
  <c r="A32"/>
  <c r="A36"/>
  <c r="A40"/>
  <c r="L46"/>
  <c r="L47" s="1"/>
  <c r="H47"/>
  <c r="A13"/>
  <c r="A17"/>
  <c r="A21"/>
  <c r="A25"/>
  <c r="A29"/>
  <c r="A33"/>
  <c r="A37"/>
  <c r="A41"/>
  <c r="D46"/>
  <c r="D47" s="1"/>
  <c r="M46"/>
  <c r="M47" s="1"/>
  <c r="A14"/>
  <c r="A18"/>
  <c r="A22"/>
  <c r="A26"/>
  <c r="A30"/>
  <c r="A34"/>
  <c r="A38"/>
  <c r="N46"/>
  <c r="N47" s="1"/>
  <c r="A11"/>
  <c r="A15"/>
  <c r="A19"/>
  <c r="A23"/>
  <c r="A27"/>
  <c r="A31"/>
  <c r="A35"/>
  <c r="O46"/>
  <c r="O47" s="1"/>
  <c r="H46" i="15"/>
  <c r="G46"/>
  <c r="O45"/>
  <c r="N45"/>
  <c r="M45"/>
  <c r="L45"/>
  <c r="K45"/>
  <c r="K47" s="1"/>
  <c r="J45"/>
  <c r="J47" s="1"/>
  <c r="I45"/>
  <c r="I47" s="1"/>
  <c r="H45"/>
  <c r="H47" s="1"/>
  <c r="G45"/>
  <c r="G47" s="1"/>
  <c r="E45"/>
  <c r="E47" s="1"/>
  <c r="D45"/>
  <c r="C43"/>
  <c r="C19" i="6" s="1"/>
  <c r="D7" i="15"/>
  <c r="A41" s="1"/>
  <c r="P46" i="7" l="1"/>
  <c r="D47"/>
  <c r="P46" i="8"/>
  <c r="D47"/>
  <c r="P46" i="9"/>
  <c r="P46" i="10"/>
  <c r="D47"/>
  <c r="P46" i="11"/>
  <c r="D47"/>
  <c r="P46" i="12"/>
  <c r="P46" i="13"/>
  <c r="P46" i="14"/>
  <c r="A18" i="15"/>
  <c r="A34"/>
  <c r="A22"/>
  <c r="A38"/>
  <c r="A26"/>
  <c r="A14"/>
  <c r="A30"/>
  <c r="N47"/>
  <c r="A12"/>
  <c r="A16"/>
  <c r="A20"/>
  <c r="A24"/>
  <c r="A28"/>
  <c r="A32"/>
  <c r="A36"/>
  <c r="A40"/>
  <c r="L46"/>
  <c r="L47" s="1"/>
  <c r="N46"/>
  <c r="A11"/>
  <c r="A15"/>
  <c r="A19"/>
  <c r="A23"/>
  <c r="A27"/>
  <c r="A31"/>
  <c r="A35"/>
  <c r="A39"/>
  <c r="O46"/>
  <c r="O47" s="1"/>
  <c r="A13"/>
  <c r="A17"/>
  <c r="A21"/>
  <c r="A25"/>
  <c r="A29"/>
  <c r="A33"/>
  <c r="A37"/>
  <c r="D46"/>
  <c r="D47" s="1"/>
  <c r="M46"/>
  <c r="M47" s="1"/>
  <c r="O7" i="17"/>
  <c r="B17" i="6" s="1"/>
  <c r="G46" i="16"/>
  <c r="O45"/>
  <c r="N45"/>
  <c r="M45"/>
  <c r="L45"/>
  <c r="K45"/>
  <c r="K47" s="1"/>
  <c r="J45"/>
  <c r="J47" s="1"/>
  <c r="I45"/>
  <c r="I47" s="1"/>
  <c r="H45"/>
  <c r="H46" s="1"/>
  <c r="G45"/>
  <c r="G47" s="1"/>
  <c r="E45"/>
  <c r="E47" s="1"/>
  <c r="D45"/>
  <c r="C43"/>
  <c r="C18" i="6" s="1"/>
  <c r="D7" i="16"/>
  <c r="A34" s="1"/>
  <c r="H46" i="17"/>
  <c r="G46"/>
  <c r="O45"/>
  <c r="N45"/>
  <c r="M45"/>
  <c r="L45"/>
  <c r="K45"/>
  <c r="K47" s="1"/>
  <c r="J45"/>
  <c r="J47" s="1"/>
  <c r="I45"/>
  <c r="I47" s="1"/>
  <c r="H45"/>
  <c r="H47" s="1"/>
  <c r="G45"/>
  <c r="G47" s="1"/>
  <c r="E45"/>
  <c r="E47" s="1"/>
  <c r="D45"/>
  <c r="C43"/>
  <c r="C17" i="6" s="1"/>
  <c r="D7" i="17"/>
  <c r="A39" s="1"/>
  <c r="B8" i="6"/>
  <c r="B9" s="1"/>
  <c r="B10" s="1"/>
  <c r="B11" s="1"/>
  <c r="B12" s="1"/>
  <c r="B13" s="1"/>
  <c r="O7" i="16" l="1"/>
  <c r="P46" i="15"/>
  <c r="D47" i="16"/>
  <c r="M47"/>
  <c r="A18"/>
  <c r="A26"/>
  <c r="A30"/>
  <c r="A38"/>
  <c r="N46"/>
  <c r="N47" s="1"/>
  <c r="A11"/>
  <c r="A15"/>
  <c r="A19"/>
  <c r="A23"/>
  <c r="A27"/>
  <c r="A31"/>
  <c r="A35"/>
  <c r="A39"/>
  <c r="A12"/>
  <c r="A16"/>
  <c r="A20"/>
  <c r="A24"/>
  <c r="A28"/>
  <c r="A32"/>
  <c r="A36"/>
  <c r="A40"/>
  <c r="L46"/>
  <c r="L47" s="1"/>
  <c r="H47"/>
  <c r="A13"/>
  <c r="A17"/>
  <c r="A21"/>
  <c r="A25"/>
  <c r="A29"/>
  <c r="A33"/>
  <c r="A37"/>
  <c r="A41"/>
  <c r="D46"/>
  <c r="M46"/>
  <c r="A14"/>
  <c r="A22"/>
  <c r="O46"/>
  <c r="O47" s="1"/>
  <c r="N47" i="17"/>
  <c r="A18"/>
  <c r="A30"/>
  <c r="O46"/>
  <c r="O47" s="1"/>
  <c r="A12"/>
  <c r="A16"/>
  <c r="A20"/>
  <c r="A24"/>
  <c r="A28"/>
  <c r="A32"/>
  <c r="A36"/>
  <c r="A40"/>
  <c r="L46"/>
  <c r="L47" s="1"/>
  <c r="A13"/>
  <c r="A17"/>
  <c r="A21"/>
  <c r="A25"/>
  <c r="A29"/>
  <c r="A33"/>
  <c r="A37"/>
  <c r="A41"/>
  <c r="D46"/>
  <c r="M46"/>
  <c r="M47" s="1"/>
  <c r="A14"/>
  <c r="A22"/>
  <c r="A26"/>
  <c r="A34"/>
  <c r="A38"/>
  <c r="N46"/>
  <c r="A11"/>
  <c r="A15"/>
  <c r="A19"/>
  <c r="A23"/>
  <c r="A27"/>
  <c r="A31"/>
  <c r="A35"/>
  <c r="O36" i="5"/>
  <c r="N36"/>
  <c r="N38" s="1"/>
  <c r="M36"/>
  <c r="M38" s="1"/>
  <c r="L36"/>
  <c r="L38" s="1"/>
  <c r="K36"/>
  <c r="K38" s="1"/>
  <c r="K39" s="1"/>
  <c r="J36"/>
  <c r="J38" s="1"/>
  <c r="J39" s="1"/>
  <c r="I36"/>
  <c r="I38" s="1"/>
  <c r="I39" s="1"/>
  <c r="H36"/>
  <c r="G36"/>
  <c r="G38" s="1"/>
  <c r="F36"/>
  <c r="D36"/>
  <c r="D38" s="1"/>
  <c r="C36"/>
  <c r="C38" s="1"/>
  <c r="B36"/>
  <c r="B39" s="1"/>
  <c r="Q2"/>
  <c r="A28" s="1"/>
  <c r="L36" i="4"/>
  <c r="L38" s="1"/>
  <c r="F36"/>
  <c r="L45" i="1"/>
  <c r="L46" s="1"/>
  <c r="G45"/>
  <c r="G46" s="1"/>
  <c r="F38" i="5" l="1"/>
  <c r="F39" s="1"/>
  <c r="P36"/>
  <c r="B18" i="6"/>
  <c r="O7" i="15"/>
  <c r="P46" i="16"/>
  <c r="P46" i="17"/>
  <c r="D47"/>
  <c r="G47" i="1"/>
  <c r="H38" i="5"/>
  <c r="H39" s="1"/>
  <c r="C39"/>
  <c r="D39"/>
  <c r="O38"/>
  <c r="O39" s="1"/>
  <c r="G39"/>
  <c r="N39"/>
  <c r="B38"/>
  <c r="L39"/>
  <c r="M39"/>
  <c r="A32"/>
  <c r="A16"/>
  <c r="A17"/>
  <c r="A33"/>
  <c r="A18"/>
  <c r="A34"/>
  <c r="A13"/>
  <c r="A20"/>
  <c r="A7"/>
  <c r="A24"/>
  <c r="A30"/>
  <c r="A15"/>
  <c r="A35"/>
  <c r="A9"/>
  <c r="A25"/>
  <c r="A19"/>
  <c r="A21"/>
  <c r="A22"/>
  <c r="A10"/>
  <c r="A26"/>
  <c r="A29"/>
  <c r="A14"/>
  <c r="A31"/>
  <c r="A5"/>
  <c r="A6"/>
  <c r="A23"/>
  <c r="A11"/>
  <c r="A27"/>
  <c r="A8"/>
  <c r="A12"/>
  <c r="L39" i="4"/>
  <c r="F38"/>
  <c r="F39" s="1"/>
  <c r="L47" i="1"/>
  <c r="O36" i="4"/>
  <c r="O38" s="1"/>
  <c r="N36"/>
  <c r="N38" s="1"/>
  <c r="N39" s="1"/>
  <c r="M36"/>
  <c r="M38" s="1"/>
  <c r="M39" s="1"/>
  <c r="K36"/>
  <c r="J36"/>
  <c r="J38" s="1"/>
  <c r="I36"/>
  <c r="I38" s="1"/>
  <c r="I39" s="1"/>
  <c r="H36"/>
  <c r="H38" s="1"/>
  <c r="H39" s="1"/>
  <c r="G36"/>
  <c r="D36"/>
  <c r="D38" s="1"/>
  <c r="C36"/>
  <c r="C38" s="1"/>
  <c r="C39" s="1"/>
  <c r="B36"/>
  <c r="B38" s="1"/>
  <c r="B39" s="1"/>
  <c r="Q2"/>
  <c r="A34" s="1"/>
  <c r="P39" i="5" l="1"/>
  <c r="O7" i="14"/>
  <c r="B19" i="6"/>
  <c r="A11" i="4"/>
  <c r="A27"/>
  <c r="A15"/>
  <c r="A31"/>
  <c r="A19"/>
  <c r="A35"/>
  <c r="A7"/>
  <c r="A23"/>
  <c r="G38"/>
  <c r="G39" s="1"/>
  <c r="A5"/>
  <c r="A9"/>
  <c r="A13"/>
  <c r="A17"/>
  <c r="A21"/>
  <c r="A25"/>
  <c r="A29"/>
  <c r="A33"/>
  <c r="D39"/>
  <c r="J39"/>
  <c r="O39"/>
  <c r="P36"/>
  <c r="K38"/>
  <c r="K39" s="1"/>
  <c r="A8"/>
  <c r="A12"/>
  <c r="A16"/>
  <c r="A20"/>
  <c r="A24"/>
  <c r="A28"/>
  <c r="A32"/>
  <c r="A6"/>
  <c r="A10"/>
  <c r="A14"/>
  <c r="A18"/>
  <c r="A22"/>
  <c r="A26"/>
  <c r="A30"/>
  <c r="O7" i="13" l="1"/>
  <c r="B20" i="6"/>
  <c r="P39" i="4"/>
  <c r="O7" i="12" l="1"/>
  <c r="B21" i="6"/>
  <c r="O45" i="1"/>
  <c r="N45"/>
  <c r="N46" s="1"/>
  <c r="M45"/>
  <c r="M46" s="1"/>
  <c r="K45"/>
  <c r="K47" s="1"/>
  <c r="J45"/>
  <c r="J47" s="1"/>
  <c r="I45"/>
  <c r="I47" s="1"/>
  <c r="H45"/>
  <c r="H46" s="1"/>
  <c r="E45"/>
  <c r="E47" s="1"/>
  <c r="D45"/>
  <c r="D46" s="1"/>
  <c r="C43"/>
  <c r="D7"/>
  <c r="A38" s="1"/>
  <c r="B22" i="6" l="1"/>
  <c r="O7" i="11"/>
  <c r="C16" i="6"/>
  <c r="D16" s="1"/>
  <c r="O8" i="1"/>
  <c r="O8" i="17" s="1"/>
  <c r="O8" i="16" s="1"/>
  <c r="O8" i="15" s="1"/>
  <c r="O8" i="14" s="1"/>
  <c r="O8" i="13" s="1"/>
  <c r="O8" i="12" s="1"/>
  <c r="O8" i="11" s="1"/>
  <c r="O8" i="10" s="1"/>
  <c r="A13" i="1"/>
  <c r="A19"/>
  <c r="A29"/>
  <c r="A35"/>
  <c r="A11"/>
  <c r="A16"/>
  <c r="A21"/>
  <c r="A27"/>
  <c r="A32"/>
  <c r="A37"/>
  <c r="A12"/>
  <c r="A17"/>
  <c r="A23"/>
  <c r="A28"/>
  <c r="A33"/>
  <c r="A39"/>
  <c r="D47"/>
  <c r="A15"/>
  <c r="A20"/>
  <c r="A25"/>
  <c r="A31"/>
  <c r="A36"/>
  <c r="A41"/>
  <c r="O46"/>
  <c r="O47" s="1"/>
  <c r="A24"/>
  <c r="A40"/>
  <c r="H47"/>
  <c r="M47"/>
  <c r="N47"/>
  <c r="A14"/>
  <c r="A18"/>
  <c r="A22"/>
  <c r="A26"/>
  <c r="A30"/>
  <c r="A34"/>
  <c r="B23" i="6" l="1"/>
  <c r="O7" i="10"/>
  <c r="E16" i="6"/>
  <c r="F16" s="1"/>
  <c r="C45" i="1" s="1"/>
  <c r="D17" i="6"/>
  <c r="O8" i="9"/>
  <c r="P46" i="1"/>
  <c r="O7" i="9" l="1"/>
  <c r="B24" i="6"/>
  <c r="C44" i="1"/>
  <c r="P45"/>
  <c r="E17" i="6"/>
  <c r="F17" s="1"/>
  <c r="D18"/>
  <c r="O8" i="8"/>
  <c r="C45" i="17" l="1"/>
  <c r="C44" s="1"/>
  <c r="O7" i="8"/>
  <c r="B25" i="6"/>
  <c r="E18"/>
  <c r="F18" s="1"/>
  <c r="D19"/>
  <c r="O8" i="7"/>
  <c r="P45" i="17" l="1"/>
  <c r="C45" i="16"/>
  <c r="C44" s="1"/>
  <c r="B26" i="6"/>
  <c r="O7" i="7"/>
  <c r="B27" i="6" s="1"/>
  <c r="E19"/>
  <c r="D20"/>
  <c r="P45" i="16" l="1"/>
  <c r="F19" i="6"/>
  <c r="C45" i="15" s="1"/>
  <c r="E20" i="6"/>
  <c r="F20" s="1"/>
  <c r="D21"/>
  <c r="C44" i="15" l="1"/>
  <c r="P45"/>
  <c r="C45" i="14"/>
  <c r="C44" s="1"/>
  <c r="E21" i="6"/>
  <c r="D22"/>
  <c r="P45" i="14" l="1"/>
  <c r="F21" i="6"/>
  <c r="C45" i="13" s="1"/>
  <c r="E22" i="6"/>
  <c r="D23"/>
  <c r="C44" i="13" l="1"/>
  <c r="P45"/>
  <c r="F22" i="6"/>
  <c r="C45" i="12" s="1"/>
  <c r="C44" s="1"/>
  <c r="E23" i="6"/>
  <c r="D24"/>
  <c r="P45" i="12" l="1"/>
  <c r="F23" i="6"/>
  <c r="C45" i="11" s="1"/>
  <c r="E24" i="6"/>
  <c r="D25"/>
  <c r="C44" i="11" l="1"/>
  <c r="P45"/>
  <c r="F24" i="6"/>
  <c r="C45" i="10" s="1"/>
  <c r="E25" i="6"/>
  <c r="F25" s="1"/>
  <c r="D26"/>
  <c r="P45" i="10" l="1"/>
  <c r="C44"/>
  <c r="C45" i="9"/>
  <c r="C44" s="1"/>
  <c r="E26" i="6"/>
  <c r="D27"/>
  <c r="P45" i="9" l="1"/>
  <c r="F26" i="6"/>
  <c r="C45" i="8" s="1"/>
  <c r="C44" s="1"/>
  <c r="E27" i="6"/>
  <c r="F27" s="1"/>
  <c r="C45" i="7" s="1"/>
  <c r="P45" i="8" l="1"/>
  <c r="C44" i="7"/>
  <c r="P45"/>
</calcChain>
</file>

<file path=xl/sharedStrings.xml><?xml version="1.0" encoding="utf-8"?>
<sst xmlns="http://schemas.openxmlformats.org/spreadsheetml/2006/main" count="697" uniqueCount="103">
  <si>
    <t xml:space="preserve">     DEPLACEMENTS/MISSIONS</t>
  </si>
  <si>
    <t>AOUT</t>
  </si>
  <si>
    <t>AVRIL</t>
  </si>
  <si>
    <t>SOCIETE :</t>
  </si>
  <si>
    <t>DECEMBRE</t>
  </si>
  <si>
    <t>FEVRIER</t>
  </si>
  <si>
    <t>NOM :</t>
  </si>
  <si>
    <t>PRENOM :</t>
  </si>
  <si>
    <t>JANVIER</t>
  </si>
  <si>
    <t>JUILLET</t>
  </si>
  <si>
    <t xml:space="preserve">MOIS DE : </t>
  </si>
  <si>
    <t>PUISSANCE VEHICULE :</t>
  </si>
  <si>
    <t>JUIN</t>
  </si>
  <si>
    <t>MAI</t>
  </si>
  <si>
    <t>DATE</t>
  </si>
  <si>
    <t>Nature du Déplacement</t>
  </si>
  <si>
    <t>KMS</t>
  </si>
  <si>
    <t>RESTAURANTS</t>
  </si>
  <si>
    <t>Hôtel</t>
  </si>
  <si>
    <t>FRAIS POSTE</t>
  </si>
  <si>
    <t>TRAIN  TAXI  AVION</t>
  </si>
  <si>
    <t>INVITATION RESTAURANT</t>
  </si>
  <si>
    <t>DIVERS</t>
  </si>
  <si>
    <t>MARS</t>
  </si>
  <si>
    <t>TTC EXO</t>
  </si>
  <si>
    <t>TTC 10% ou 5,5%</t>
  </si>
  <si>
    <t>TTC 20%</t>
  </si>
  <si>
    <t>Nature</t>
  </si>
  <si>
    <t>NOVEMBRE</t>
  </si>
  <si>
    <t>OCTOBRE</t>
  </si>
  <si>
    <t>SEPTEMBRE</t>
  </si>
  <si>
    <t>TOTAL KMS</t>
  </si>
  <si>
    <t>Taux Ind. Kil.</t>
  </si>
  <si>
    <t>A PAYER en euro</t>
  </si>
  <si>
    <t>TOTAL  TTC</t>
  </si>
  <si>
    <t>TVA</t>
  </si>
  <si>
    <t>TOTAL HT</t>
  </si>
  <si>
    <t>TAMPON AGENCE-OBLIGATOIRE pour NDF PARTICIPATIONS</t>
  </si>
  <si>
    <t>SIGNATURE DU SUPERIEUR HIERARCHIQUE</t>
  </si>
  <si>
    <r>
      <t xml:space="preserve">Le fichier comporte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onglets :</t>
    </r>
  </si>
  <si>
    <r>
      <t>INDEMNITES KILOM.</t>
    </r>
    <r>
      <rPr>
        <sz val="10"/>
        <rFont val="Arial"/>
        <family val="2"/>
      </rPr>
      <t xml:space="preserve"> :         pour les salariés qui utilisent leur propre véhicule pour des déplacements</t>
    </r>
  </si>
  <si>
    <t xml:space="preserve"> professionnels tels que les Pharmaciens ou certains commerciaux.</t>
  </si>
  <si>
    <r>
      <t xml:space="preserve">VEHICULES TOURISME </t>
    </r>
    <r>
      <rPr>
        <sz val="10"/>
        <rFont val="Arial"/>
        <family val="2"/>
      </rPr>
      <t>:   pour les salariés utilisant des véhicules dits de tourisme ( 4/5 places).</t>
    </r>
  </si>
  <si>
    <r>
      <t>VEHICULES UTILITAIRES</t>
    </r>
    <r>
      <rPr>
        <sz val="10"/>
        <rFont val="Arial"/>
        <family val="2"/>
      </rPr>
      <t xml:space="preserve"> : pour les salariés utilsant des véhicules utilitaires ou de société ( 2 places).</t>
    </r>
  </si>
  <si>
    <r>
      <t xml:space="preserve">ETRANGER :                     </t>
    </r>
    <r>
      <rPr>
        <sz val="10"/>
        <rFont val="Arial"/>
        <family val="2"/>
      </rPr>
      <t>Pour les salariés qui partent en congrès à l'étranger</t>
    </r>
  </si>
  <si>
    <t>Dans chaque onglet vous trouverez un tableau comportant les colonnes détaillées ci-après :</t>
  </si>
  <si>
    <t>A /Pour les onglets VEHICULES TOURISME et VEHICULES UTILITAIRES :</t>
  </si>
  <si>
    <r>
      <t xml:space="preserve">La colonne </t>
    </r>
    <r>
      <rPr>
        <b/>
        <sz val="10"/>
        <rFont val="Arial"/>
        <family val="2"/>
      </rPr>
      <t>CARBURANT</t>
    </r>
    <r>
      <rPr>
        <sz val="10"/>
        <rFont val="Arial"/>
        <family val="2"/>
      </rPr>
      <t>.</t>
    </r>
  </si>
  <si>
    <r>
      <t>La colonne</t>
    </r>
    <r>
      <rPr>
        <b/>
        <sz val="10"/>
        <rFont val="Arial"/>
        <family val="2"/>
      </rPr>
      <t xml:space="preserve"> PEAGES et PARKINGS</t>
    </r>
    <r>
      <rPr>
        <sz val="10"/>
        <rFont val="Arial"/>
        <family val="2"/>
      </rPr>
      <t>.</t>
    </r>
  </si>
  <si>
    <r>
      <t>1 / colonne</t>
    </r>
    <r>
      <rPr>
        <b/>
        <sz val="10"/>
        <rFont val="Arial"/>
        <family val="2"/>
      </rPr>
      <t xml:space="preserve"> TTC EXO</t>
    </r>
    <r>
      <rPr>
        <sz val="10"/>
        <rFont val="Arial"/>
        <family val="2"/>
      </rPr>
      <t xml:space="preserve"> dans laquelle vous rentrerez vos tickets repas sur lesquels il est</t>
    </r>
  </si>
  <si>
    <t>indiqué "exonéré de TVA" ou "Non Soumis" et pour lesquels le taux de TVA n'est pas mentionné.</t>
  </si>
  <si>
    <r>
      <t xml:space="preserve">La colonne </t>
    </r>
    <r>
      <rPr>
        <b/>
        <sz val="10"/>
        <rFont val="Arial"/>
        <family val="2"/>
      </rPr>
      <t>HOTEL</t>
    </r>
    <r>
      <rPr>
        <sz val="10"/>
        <rFont val="Arial"/>
        <family val="2"/>
      </rPr>
      <t>.</t>
    </r>
  </si>
  <si>
    <r>
      <t xml:space="preserve">La colonne </t>
    </r>
    <r>
      <rPr>
        <b/>
        <sz val="10"/>
        <rFont val="Arial"/>
        <family val="2"/>
      </rPr>
      <t>ENTRETIEN VEHICULE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( le lavage des véhicules doit être indiqué ICI </t>
    </r>
    <r>
      <rPr>
        <sz val="10"/>
        <rFont val="Arial"/>
        <family val="2"/>
      </rPr>
      <t>).</t>
    </r>
  </si>
  <si>
    <r>
      <t xml:space="preserve">La colonne </t>
    </r>
    <r>
      <rPr>
        <b/>
        <sz val="10"/>
        <rFont val="Arial"/>
        <family val="2"/>
      </rPr>
      <t>FRAIS POSTE</t>
    </r>
    <r>
      <rPr>
        <sz val="10"/>
        <rFont val="Arial"/>
        <family val="2"/>
      </rPr>
      <t xml:space="preserve">, il s'agit des frais d'affranchissement qui </t>
    </r>
    <r>
      <rPr>
        <b/>
        <sz val="10"/>
        <rFont val="Arial"/>
        <family val="2"/>
      </rPr>
      <t>ne sont pas soumis à TVA,</t>
    </r>
  </si>
  <si>
    <t>seuls les envois par chronopost sont assujettis à la TVA il faut donc les inscrire dans la colonne DIVERS à 20%.</t>
  </si>
  <si>
    <r>
      <t xml:space="preserve">La colonne </t>
    </r>
    <r>
      <rPr>
        <b/>
        <sz val="10"/>
        <rFont val="Arial"/>
        <family val="2"/>
      </rPr>
      <t>AVION TAXI TRAIN</t>
    </r>
  </si>
  <si>
    <r>
      <t xml:space="preserve">La colonne </t>
    </r>
    <r>
      <rPr>
        <b/>
        <sz val="10"/>
        <rFont val="Arial"/>
        <family val="2"/>
      </rPr>
      <t>Invitation RESTAURANT</t>
    </r>
    <r>
      <rPr>
        <sz val="10"/>
        <rFont val="Arial"/>
        <family val="2"/>
      </rPr>
      <t xml:space="preserve"> doit être renseignée quand vous invitez un médecin/intervenant médical à déjeuner.</t>
    </r>
  </si>
  <si>
    <r>
      <t xml:space="preserve">La colonne </t>
    </r>
    <r>
      <rPr>
        <b/>
        <sz val="10"/>
        <rFont val="Arial"/>
        <family val="2"/>
      </rPr>
      <t>DIVERS</t>
    </r>
    <r>
      <rPr>
        <sz val="10"/>
        <rFont val="Arial"/>
        <family val="2"/>
      </rPr>
      <t xml:space="preserve"> est divisée en deux :</t>
    </r>
  </si>
  <si>
    <r>
      <t xml:space="preserve">1 / colonne </t>
    </r>
    <r>
      <rPr>
        <b/>
        <sz val="10"/>
        <rFont val="Arial"/>
        <family val="2"/>
      </rPr>
      <t xml:space="preserve">TTC 5,5% ou 10 % </t>
    </r>
    <r>
      <rPr>
        <sz val="10"/>
        <rFont val="Arial"/>
        <family val="2"/>
      </rPr>
      <t xml:space="preserve"> dans laquelle vous rentrerez en TTC les achats divers facturés à 5,5% ou 10%.</t>
    </r>
  </si>
  <si>
    <r>
      <t xml:space="preserve">2 / colonne </t>
    </r>
    <r>
      <rPr>
        <b/>
        <sz val="10"/>
        <rFont val="Arial"/>
        <family val="2"/>
      </rPr>
      <t>TTC 20%</t>
    </r>
    <r>
      <rPr>
        <sz val="10"/>
        <rFont val="Arial"/>
        <family val="2"/>
      </rPr>
      <t xml:space="preserve"> dans laquelle vous rentrerez en TTC les achats divers facturés à 20%.</t>
    </r>
  </si>
  <si>
    <t xml:space="preserve">NB : Il est évident que lorsque vous faites des achats vous ne pouvez pas savoir quel taux de TVA </t>
  </si>
  <si>
    <r>
      <t xml:space="preserve">est appliqué sur chaque article d'où la </t>
    </r>
    <r>
      <rPr>
        <b/>
        <sz val="10"/>
        <rFont val="Arial"/>
        <family val="2"/>
      </rPr>
      <t>nécessité</t>
    </r>
    <r>
      <rPr>
        <sz val="10"/>
        <rFont val="Arial"/>
        <family val="2"/>
      </rPr>
      <t xml:space="preserve"> de réclamer une </t>
    </r>
    <r>
      <rPr>
        <b/>
        <u/>
        <sz val="10"/>
        <rFont val="Arial"/>
        <family val="2"/>
      </rPr>
      <t>FACTURE au NOM de votre SOCIETE avec TVA</t>
    </r>
    <r>
      <rPr>
        <sz val="10"/>
        <rFont val="Arial"/>
        <family val="2"/>
      </rPr>
      <t xml:space="preserve"> </t>
    </r>
  </si>
  <si>
    <t>même dans les grandes surfaces où la TVA n'est pas toujours indiquée sur le ticket de caisse.</t>
  </si>
  <si>
    <r>
      <t xml:space="preserve">La colonne </t>
    </r>
    <r>
      <rPr>
        <b/>
        <sz val="10"/>
        <rFont val="Arial"/>
        <family val="2"/>
      </rPr>
      <t>DESIGNATION</t>
    </r>
    <r>
      <rPr>
        <sz val="10"/>
        <rFont val="Arial"/>
        <family val="2"/>
      </rPr>
      <t xml:space="preserve"> à utiliser lorsque vous remplissez l'une ou l'autre des colonnes DIVERS, </t>
    </r>
  </si>
  <si>
    <t>ou pour indiquer une dépense particulière.</t>
  </si>
  <si>
    <t>B/ Pour l'onglet INDEMNITES KILOM. :</t>
  </si>
  <si>
    <r>
      <t xml:space="preserve">Seule les colonnes </t>
    </r>
    <r>
      <rPr>
        <b/>
        <sz val="10"/>
        <rFont val="Arial"/>
        <family val="2"/>
      </rPr>
      <t>CARBURANT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ENTRETIEN VEHICULE</t>
    </r>
    <r>
      <rPr>
        <sz val="10"/>
        <rFont val="Arial"/>
        <family val="2"/>
      </rPr>
      <t xml:space="preserve"> disparaissent, il faudra renseigner pour chaque déplacement </t>
    </r>
  </si>
  <si>
    <r>
      <t xml:space="preserve">le nombre de kilomètres effectués et ne pas oublier de renseigner la </t>
    </r>
    <r>
      <rPr>
        <b/>
        <sz val="10"/>
        <rFont val="Arial"/>
        <family val="2"/>
      </rPr>
      <t>cellule du taux kilomètrique</t>
    </r>
    <r>
      <rPr>
        <sz val="10"/>
        <rFont val="Arial"/>
        <family val="2"/>
      </rPr>
      <t xml:space="preserve"> en fonction du barème joint</t>
    </r>
  </si>
  <si>
    <t>en bas de la note de frais.</t>
  </si>
  <si>
    <t>PERIODE :</t>
  </si>
  <si>
    <t>PEAGES et PARKINGS</t>
  </si>
  <si>
    <t>HOTEL</t>
  </si>
  <si>
    <t>AVION   TRAIN   TAXI</t>
  </si>
  <si>
    <t>DESIGNATION</t>
  </si>
  <si>
    <t>TOTAL</t>
  </si>
  <si>
    <t>HT</t>
  </si>
  <si>
    <t xml:space="preserve">CARBURANT </t>
  </si>
  <si>
    <t>ENTRETIEN VEHICULES+LAVAGE</t>
  </si>
  <si>
    <t>Péage / Parking</t>
  </si>
  <si>
    <t>TTC 10%</t>
  </si>
  <si>
    <t>TTC  20%</t>
  </si>
  <si>
    <r>
      <t xml:space="preserve">INVITATION </t>
    </r>
    <r>
      <rPr>
        <b/>
        <sz val="6"/>
        <rFont val="Arial"/>
        <family val="2"/>
      </rPr>
      <t>RESTO</t>
    </r>
    <r>
      <rPr>
        <b/>
        <sz val="7"/>
        <rFont val="Arial"/>
        <family val="2"/>
      </rPr>
      <t xml:space="preserve"> MEDECIN</t>
    </r>
  </si>
  <si>
    <t>Véhicule tourisme = TVA sur gasoil déductible à 80% et TVA sur entretien non déductible</t>
  </si>
  <si>
    <r>
      <t xml:space="preserve">3 / colonne </t>
    </r>
    <r>
      <rPr>
        <b/>
        <sz val="10"/>
        <rFont val="Arial"/>
        <family val="2"/>
      </rPr>
      <t xml:space="preserve">TTC </t>
    </r>
    <r>
      <rPr>
        <sz val="10"/>
        <rFont val="Arial"/>
        <family val="2"/>
      </rPr>
      <t>20% dans laquelle vous rentrerez les tickets en TTC mentionnant</t>
    </r>
  </si>
  <si>
    <t xml:space="preserve">un taux de TVA à 20%. </t>
  </si>
  <si>
    <r>
      <t xml:space="preserve">2 / colonne </t>
    </r>
    <r>
      <rPr>
        <b/>
        <sz val="10"/>
        <rFont val="Arial"/>
        <family val="2"/>
      </rPr>
      <t>TTC 10%</t>
    </r>
    <r>
      <rPr>
        <sz val="10"/>
        <rFont val="Arial"/>
        <family val="2"/>
      </rPr>
      <t xml:space="preserve"> dans laquelle vous rentrerez les tickets en TTC mentionnant</t>
    </r>
  </si>
  <si>
    <t>un taux de TVA à 10%</t>
  </si>
  <si>
    <r>
      <t xml:space="preserve">La colonne </t>
    </r>
    <r>
      <rPr>
        <b/>
        <sz val="10"/>
        <rFont val="Arial"/>
        <family val="2"/>
      </rPr>
      <t>RESTAURANTS</t>
    </r>
    <r>
      <rPr>
        <sz val="10"/>
        <rFont val="Arial"/>
        <family val="2"/>
      </rPr>
      <t xml:space="preserve"> est divisée en trois :</t>
    </r>
  </si>
  <si>
    <r>
      <t xml:space="preserve">1 / colonne </t>
    </r>
    <r>
      <rPr>
        <b/>
        <sz val="10"/>
        <rFont val="Arial"/>
        <family val="2"/>
      </rPr>
      <t>TTC 10%</t>
    </r>
    <r>
      <rPr>
        <sz val="10"/>
        <rFont val="Arial"/>
        <family val="2"/>
      </rPr>
      <t xml:space="preserve"> dans laquelle vous rentrerez les tickets en TTC mentionnant</t>
    </r>
  </si>
  <si>
    <t>ATTENTION, sur les factures, vous devez mentionner le nom du invité(s). La colonne est divisée en deux :</t>
  </si>
  <si>
    <r>
      <t xml:space="preserve">2 / colonne </t>
    </r>
    <r>
      <rPr>
        <b/>
        <sz val="10"/>
        <rFont val="Arial"/>
        <family val="2"/>
      </rPr>
      <t>TTC 20%</t>
    </r>
    <r>
      <rPr>
        <sz val="10"/>
        <rFont val="Arial"/>
        <family val="2"/>
      </rPr>
      <t xml:space="preserve"> dans laquelle vous rentrerez les tickets en TTC mentionnant</t>
    </r>
  </si>
  <si>
    <r>
      <t xml:space="preserve">Penser à demander de façon </t>
    </r>
    <r>
      <rPr>
        <sz val="12"/>
        <rFont val="Arial"/>
        <family val="2"/>
      </rPr>
      <t>systématique</t>
    </r>
    <r>
      <rPr>
        <sz val="10"/>
        <rFont val="Arial"/>
        <family val="2"/>
      </rPr>
      <t xml:space="preserve"> une facture ou un ticket indiquant le taux de TVA appliqué.</t>
    </r>
  </si>
  <si>
    <t>TABLEAU NOTE DE FRAIS</t>
  </si>
  <si>
    <t>BAREME 2020 (de 5.000 à 20.000kms/l'an)</t>
  </si>
  <si>
    <t>BAREME 2020 (moins 5.000 kms/l'an)</t>
  </si>
  <si>
    <t>Nombre de Kilomètres cumulé</t>
  </si>
  <si>
    <t>Cumul Km</t>
  </si>
  <si>
    <t>Km/Mois</t>
  </si>
  <si>
    <t>CV</t>
  </si>
  <si>
    <t>Barême</t>
  </si>
  <si>
    <t>Mtt Km</t>
  </si>
  <si>
    <t>BAREME 2020 (plus de 20.000 kms/l'an)</t>
  </si>
  <si>
    <t>TTC 5,5%</t>
  </si>
</sst>
</file>

<file path=xl/styles.xml><?xml version="1.0" encoding="utf-8"?>
<styleSheet xmlns="http://schemas.openxmlformats.org/spreadsheetml/2006/main">
  <numFmts count="10">
    <numFmt numFmtId="164" formatCode="[$-40C]mmmm\-yy;@"/>
    <numFmt numFmtId="165" formatCode="0&quot; CV&quot;"/>
    <numFmt numFmtId="166" formatCode="ddd\ d"/>
    <numFmt numFmtId="167" formatCode="0.000"/>
    <numFmt numFmtId="168" formatCode="_-* #,##0.00\ [$€-1]_-;\-* #,##0.00\ [$€-1]_-;_-* &quot;-&quot;??\ [$€-1]_-"/>
    <numFmt numFmtId="169" formatCode="0.00_ ;\-0.00\ "/>
    <numFmt numFmtId="170" formatCode="_-* #,##0.00\ _F_-;\-* #,##0.00\ _F_-;_-* &quot;-&quot;??\ _F_-;_-@_-"/>
    <numFmt numFmtId="171" formatCode="#,##0.000;[Red]\-#,##0.000"/>
    <numFmt numFmtId="172" formatCode="_-* #,##0.00\ &quot;F&quot;_-;\-* #,##0.00\ &quot;F&quot;_-;_-* &quot;-&quot;??\ &quot;F&quot;_-;_-@_-"/>
    <numFmt numFmtId="173" formatCode="#,##0.00\ &quot;€&quot;"/>
  </numFmts>
  <fonts count="30">
    <font>
      <sz val="10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  <font>
      <b/>
      <sz val="12"/>
      <name val="Arial"/>
      <family val="2"/>
    </font>
    <font>
      <sz val="10"/>
      <color theme="0"/>
      <name val="Times New Roman"/>
      <family val="1"/>
    </font>
    <font>
      <b/>
      <sz val="7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0"/>
      <name val="Tunga"/>
      <family val="2"/>
    </font>
    <font>
      <i/>
      <sz val="8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8" fillId="0" borderId="0"/>
    <xf numFmtId="172" fontId="1" fillId="0" borderId="0" applyFon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4" xfId="0" applyFont="1" applyBorder="1"/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164" fontId="4" fillId="0" borderId="1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9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Continuous"/>
    </xf>
    <xf numFmtId="0" fontId="6" fillId="0" borderId="0" xfId="0" applyFont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vertical="center"/>
    </xf>
    <xf numFmtId="166" fontId="14" fillId="0" borderId="4" xfId="0" applyNumberFormat="1" applyFont="1" applyBorder="1"/>
    <xf numFmtId="0" fontId="6" fillId="0" borderId="4" xfId="0" applyFont="1" applyBorder="1" applyProtection="1">
      <protection locked="0"/>
    </xf>
    <xf numFmtId="2" fontId="6" fillId="0" borderId="7" xfId="0" applyNumberFormat="1" applyFont="1" applyBorder="1" applyProtection="1">
      <protection locked="0"/>
    </xf>
    <xf numFmtId="2" fontId="6" fillId="0" borderId="4" xfId="0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2" fontId="6" fillId="0" borderId="0" xfId="0" applyNumberFormat="1" applyFont="1"/>
    <xf numFmtId="2" fontId="15" fillId="0" borderId="4" xfId="0" applyNumberFormat="1" applyFont="1" applyBorder="1" applyProtection="1">
      <protection locked="0"/>
    </xf>
    <xf numFmtId="2" fontId="16" fillId="0" borderId="0" xfId="0" applyNumberFormat="1" applyFont="1"/>
    <xf numFmtId="0" fontId="6" fillId="0" borderId="0" xfId="0" applyFont="1" applyProtection="1">
      <protection locked="0"/>
    </xf>
    <xf numFmtId="0" fontId="6" fillId="2" borderId="10" xfId="0" applyFont="1" applyFill="1" applyBorder="1"/>
    <xf numFmtId="0" fontId="6" fillId="5" borderId="11" xfId="0" applyFont="1" applyFill="1" applyBorder="1"/>
    <xf numFmtId="0" fontId="6" fillId="2" borderId="12" xfId="0" applyFont="1" applyFill="1" applyBorder="1"/>
    <xf numFmtId="167" fontId="6" fillId="0" borderId="13" xfId="0" applyNumberFormat="1" applyFont="1" applyBorder="1" applyProtection="1">
      <protection locked="0"/>
    </xf>
    <xf numFmtId="0" fontId="3" fillId="0" borderId="0" xfId="0" applyFont="1" applyAlignment="1">
      <alignment horizontal="center"/>
    </xf>
    <xf numFmtId="0" fontId="6" fillId="2" borderId="16" xfId="0" applyFont="1" applyFill="1" applyBorder="1"/>
    <xf numFmtId="169" fontId="6" fillId="5" borderId="17" xfId="2" applyNumberFormat="1" applyFont="1" applyFill="1" applyBorder="1"/>
    <xf numFmtId="169" fontId="6" fillId="5" borderId="18" xfId="2" applyNumberFormat="1" applyFont="1" applyFill="1" applyBorder="1"/>
    <xf numFmtId="168" fontId="3" fillId="6" borderId="3" xfId="2" applyFont="1" applyFill="1" applyBorder="1"/>
    <xf numFmtId="0" fontId="6" fillId="2" borderId="19" xfId="0" applyFont="1" applyFill="1" applyBorder="1"/>
    <xf numFmtId="168" fontId="6" fillId="2" borderId="20" xfId="2" applyFont="1" applyFill="1" applyBorder="1"/>
    <xf numFmtId="169" fontId="6" fillId="5" borderId="12" xfId="2" applyNumberFormat="1" applyFont="1" applyFill="1" applyBorder="1"/>
    <xf numFmtId="169" fontId="6" fillId="7" borderId="4" xfId="2" applyNumberFormat="1" applyFont="1" applyFill="1" applyBorder="1"/>
    <xf numFmtId="169" fontId="6" fillId="5" borderId="4" xfId="2" applyNumberFormat="1" applyFont="1" applyFill="1" applyBorder="1"/>
    <xf numFmtId="169" fontId="6" fillId="5" borderId="13" xfId="2" applyNumberFormat="1" applyFont="1" applyFill="1" applyBorder="1"/>
    <xf numFmtId="168" fontId="6" fillId="8" borderId="3" xfId="2" applyFont="1" applyFill="1" applyBorder="1"/>
    <xf numFmtId="0" fontId="6" fillId="2" borderId="21" xfId="0" applyFont="1" applyFill="1" applyBorder="1"/>
    <xf numFmtId="168" fontId="6" fillId="2" borderId="22" xfId="2" applyFont="1" applyFill="1" applyBorder="1"/>
    <xf numFmtId="169" fontId="6" fillId="5" borderId="16" xfId="2" applyNumberFormat="1" applyFont="1" applyFill="1" applyBorder="1"/>
    <xf numFmtId="169" fontId="6" fillId="5" borderId="23" xfId="2" applyNumberFormat="1" applyFont="1" applyFill="1" applyBorder="1"/>
    <xf numFmtId="0" fontId="6" fillId="0" borderId="15" xfId="0" applyFont="1" applyBorder="1"/>
    <xf numFmtId="168" fontId="6" fillId="0" borderId="0" xfId="2" applyFont="1"/>
    <xf numFmtId="169" fontId="6" fillId="0" borderId="0" xfId="2" applyNumberFormat="1" applyFont="1"/>
    <xf numFmtId="171" fontId="14" fillId="5" borderId="7" xfId="1" applyNumberFormat="1" applyFont="1" applyFill="1" applyBorder="1" applyAlignment="1">
      <alignment horizontal="center"/>
    </xf>
    <xf numFmtId="0" fontId="6" fillId="0" borderId="26" xfId="0" applyFont="1" applyBorder="1"/>
    <xf numFmtId="0" fontId="0" fillId="0" borderId="27" xfId="0" applyBorder="1"/>
    <xf numFmtId="171" fontId="14" fillId="5" borderId="4" xfId="1" applyNumberFormat="1" applyFont="1" applyFill="1" applyBorder="1" applyAlignment="1">
      <alignment horizontal="center"/>
    </xf>
    <xf numFmtId="0" fontId="6" fillId="0" borderId="27" xfId="0" applyFont="1" applyBorder="1"/>
    <xf numFmtId="0" fontId="0" fillId="0" borderId="26" xfId="0" applyBorder="1"/>
    <xf numFmtId="0" fontId="6" fillId="0" borderId="14" xfId="0" applyFont="1" applyBorder="1"/>
    <xf numFmtId="0" fontId="6" fillId="0" borderId="25" xfId="0" applyFont="1" applyBorder="1"/>
    <xf numFmtId="0" fontId="18" fillId="0" borderId="0" xfId="4"/>
    <xf numFmtId="0" fontId="5" fillId="0" borderId="0" xfId="4" applyFont="1"/>
    <xf numFmtId="0" fontId="8" fillId="0" borderId="0" xfId="4" applyFont="1" applyAlignment="1">
      <alignment horizontal="right" vertical="center"/>
    </xf>
    <xf numFmtId="0" fontId="6" fillId="0" borderId="4" xfId="4" applyFont="1" applyBorder="1"/>
    <xf numFmtId="0" fontId="8" fillId="0" borderId="15" xfId="4" applyFont="1" applyBorder="1" applyAlignment="1">
      <alignment vertical="center"/>
    </xf>
    <xf numFmtId="0" fontId="8" fillId="0" borderId="0" xfId="4" applyFont="1" applyAlignment="1" applyProtection="1">
      <alignment horizontal="left" vertical="center"/>
      <protection locked="0"/>
    </xf>
    <xf numFmtId="0" fontId="9" fillId="0" borderId="0" xfId="4" applyFont="1"/>
    <xf numFmtId="0" fontId="1" fillId="0" borderId="0" xfId="4" applyFont="1"/>
    <xf numFmtId="0" fontId="11" fillId="2" borderId="30" xfId="4" applyFont="1" applyFill="1" applyBorder="1" applyAlignment="1">
      <alignment horizontal="center" vertical="center"/>
    </xf>
    <xf numFmtId="166" fontId="6" fillId="0" borderId="4" xfId="4" applyNumberFormat="1" applyFont="1" applyBorder="1"/>
    <xf numFmtId="4" fontId="1" fillId="0" borderId="31" xfId="4" applyNumberFormat="1" applyFont="1" applyBorder="1" applyProtection="1">
      <protection locked="0"/>
    </xf>
    <xf numFmtId="4" fontId="1" fillId="0" borderId="32" xfId="4" applyNumberFormat="1" applyFont="1" applyBorder="1" applyProtection="1">
      <protection locked="0"/>
    </xf>
    <xf numFmtId="4" fontId="1" fillId="0" borderId="33" xfId="4" applyNumberFormat="1" applyFont="1" applyBorder="1" applyProtection="1">
      <protection locked="0"/>
    </xf>
    <xf numFmtId="4" fontId="1" fillId="0" borderId="34" xfId="4" applyNumberFormat="1" applyFont="1" applyBorder="1" applyProtection="1">
      <protection locked="0"/>
    </xf>
    <xf numFmtId="4" fontId="1" fillId="0" borderId="35" xfId="4" applyNumberFormat="1" applyFont="1" applyBorder="1" applyProtection="1">
      <protection locked="0"/>
    </xf>
    <xf numFmtId="4" fontId="1" fillId="0" borderId="12" xfId="4" applyNumberFormat="1" applyFont="1" applyBorder="1" applyProtection="1">
      <protection locked="0"/>
    </xf>
    <xf numFmtId="4" fontId="1" fillId="0" borderId="36" xfId="4" applyNumberFormat="1" applyFont="1" applyBorder="1" applyProtection="1">
      <protection locked="0"/>
    </xf>
    <xf numFmtId="4" fontId="1" fillId="0" borderId="37" xfId="4" applyNumberFormat="1" applyFont="1" applyBorder="1" applyProtection="1">
      <protection locked="0"/>
    </xf>
    <xf numFmtId="4" fontId="1" fillId="0" borderId="13" xfId="4" applyNumberFormat="1" applyFont="1" applyBorder="1" applyProtection="1">
      <protection locked="0"/>
    </xf>
    <xf numFmtId="0" fontId="6" fillId="0" borderId="0" xfId="4" applyFont="1"/>
    <xf numFmtId="4" fontId="1" fillId="0" borderId="39" xfId="4" applyNumberFormat="1" applyFont="1" applyBorder="1" applyProtection="1">
      <protection locked="0"/>
    </xf>
    <xf numFmtId="4" fontId="1" fillId="0" borderId="9" xfId="4" applyNumberFormat="1" applyFont="1" applyBorder="1" applyProtection="1">
      <protection locked="0"/>
    </xf>
    <xf numFmtId="4" fontId="1" fillId="0" borderId="40" xfId="4" applyNumberFormat="1" applyFont="1" applyBorder="1" applyProtection="1">
      <protection locked="0"/>
    </xf>
    <xf numFmtId="168" fontId="18" fillId="0" borderId="0" xfId="4" applyNumberFormat="1"/>
    <xf numFmtId="0" fontId="5" fillId="7" borderId="41" xfId="4" applyFont="1" applyFill="1" applyBorder="1"/>
    <xf numFmtId="2" fontId="5" fillId="0" borderId="41" xfId="4" applyNumberFormat="1" applyFont="1" applyBorder="1"/>
    <xf numFmtId="2" fontId="5" fillId="0" borderId="0" xfId="4" applyNumberFormat="1" applyFont="1"/>
    <xf numFmtId="4" fontId="18" fillId="0" borderId="0" xfId="4" applyNumberFormat="1"/>
    <xf numFmtId="0" fontId="6" fillId="0" borderId="26" xfId="4" applyFont="1" applyBorder="1"/>
    <xf numFmtId="0" fontId="6" fillId="0" borderId="27" xfId="4" applyFont="1" applyBorder="1"/>
    <xf numFmtId="0" fontId="18" fillId="0" borderId="27" xfId="4" applyBorder="1"/>
    <xf numFmtId="0" fontId="18" fillId="0" borderId="26" xfId="4" applyBorder="1"/>
    <xf numFmtId="0" fontId="6" fillId="0" borderId="14" xfId="4" applyFont="1" applyBorder="1"/>
    <xf numFmtId="0" fontId="6" fillId="0" borderId="15" xfId="4" applyFont="1" applyBorder="1"/>
    <xf numFmtId="0" fontId="6" fillId="0" borderId="25" xfId="4" applyFont="1" applyBorder="1"/>
    <xf numFmtId="0" fontId="8" fillId="0" borderId="0" xfId="4" applyFont="1" applyAlignment="1">
      <alignment vertical="center"/>
    </xf>
    <xf numFmtId="4" fontId="1" fillId="0" borderId="42" xfId="4" applyNumberFormat="1" applyFont="1" applyBorder="1" applyProtection="1">
      <protection locked="0"/>
    </xf>
    <xf numFmtId="4" fontId="1" fillId="0" borderId="43" xfId="4" applyNumberFormat="1" applyFont="1" applyBorder="1" applyProtection="1">
      <protection locked="0"/>
    </xf>
    <xf numFmtId="2" fontId="13" fillId="0" borderId="44" xfId="4" applyNumberFormat="1" applyFont="1" applyBorder="1" applyProtection="1">
      <protection locked="0"/>
    </xf>
    <xf numFmtId="2" fontId="13" fillId="0" borderId="38" xfId="4" applyNumberFormat="1" applyFont="1" applyBorder="1" applyProtection="1">
      <protection locked="0"/>
    </xf>
    <xf numFmtId="0" fontId="13" fillId="0" borderId="38" xfId="4" applyFont="1" applyBorder="1" applyProtection="1">
      <protection locked="0"/>
    </xf>
    <xf numFmtId="2" fontId="18" fillId="0" borderId="0" xfId="4" applyNumberFormat="1"/>
    <xf numFmtId="0" fontId="4" fillId="2" borderId="4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11" borderId="45" xfId="4" applyFont="1" applyFill="1" applyBorder="1" applyAlignment="1">
      <alignment horizontal="center" vertical="center" wrapText="1"/>
    </xf>
    <xf numFmtId="4" fontId="1" fillId="0" borderId="8" xfId="4" applyNumberFormat="1" applyFont="1" applyBorder="1" applyProtection="1">
      <protection locked="0"/>
    </xf>
    <xf numFmtId="4" fontId="1" fillId="0" borderId="48" xfId="4" applyNumberFormat="1" applyFont="1" applyBorder="1" applyProtection="1">
      <protection locked="0"/>
    </xf>
    <xf numFmtId="0" fontId="11" fillId="3" borderId="14" xfId="4" applyFont="1" applyFill="1" applyBorder="1" applyAlignment="1">
      <alignment horizontal="center" vertical="center" wrapText="1"/>
    </xf>
    <xf numFmtId="0" fontId="11" fillId="11" borderId="50" xfId="4" applyFont="1" applyFill="1" applyBorder="1" applyAlignment="1">
      <alignment horizontal="center" vertical="center" wrapText="1"/>
    </xf>
    <xf numFmtId="0" fontId="5" fillId="2" borderId="19" xfId="4" applyFont="1" applyFill="1" applyBorder="1" applyAlignment="1">
      <alignment horizontal="centerContinuous" vertical="center"/>
    </xf>
    <xf numFmtId="0" fontId="5" fillId="2" borderId="24" xfId="4" applyFont="1" applyFill="1" applyBorder="1" applyAlignment="1">
      <alignment horizontal="centerContinuous" vertical="center"/>
    </xf>
    <xf numFmtId="0" fontId="0" fillId="0" borderId="0" xfId="4" applyFont="1"/>
    <xf numFmtId="0" fontId="24" fillId="0" borderId="0" xfId="4" applyFont="1"/>
    <xf numFmtId="0" fontId="25" fillId="0" borderId="0" xfId="4" applyFont="1"/>
    <xf numFmtId="0" fontId="26" fillId="0" borderId="0" xfId="4" applyFont="1"/>
    <xf numFmtId="0" fontId="27" fillId="0" borderId="0" xfId="4" applyFont="1"/>
    <xf numFmtId="0" fontId="28" fillId="0" borderId="0" xfId="4" applyFont="1"/>
    <xf numFmtId="0" fontId="27" fillId="12" borderId="0" xfId="4" applyFont="1" applyFill="1"/>
    <xf numFmtId="0" fontId="24" fillId="12" borderId="0" xfId="4" applyFont="1" applyFill="1"/>
    <xf numFmtId="0" fontId="0" fillId="0" borderId="0" xfId="0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5" fontId="6" fillId="0" borderId="28" xfId="0" applyNumberFormat="1" applyFont="1" applyBorder="1" applyProtection="1">
      <protection locked="0"/>
    </xf>
    <xf numFmtId="0" fontId="6" fillId="0" borderId="0" xfId="0" applyFont="1" applyBorder="1"/>
    <xf numFmtId="0" fontId="6" fillId="0" borderId="24" xfId="0" applyFont="1" applyBorder="1"/>
    <xf numFmtId="168" fontId="6" fillId="0" borderId="24" xfId="2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173" fontId="0" fillId="0" borderId="4" xfId="0" applyNumberFormat="1" applyBorder="1" applyAlignment="1">
      <alignment horizontal="center"/>
    </xf>
    <xf numFmtId="165" fontId="14" fillId="5" borderId="7" xfId="0" applyNumberFormat="1" applyFont="1" applyFill="1" applyBorder="1" applyAlignment="1">
      <alignment horizontal="center"/>
    </xf>
    <xf numFmtId="165" fontId="14" fillId="5" borderId="4" xfId="0" applyNumberFormat="1" applyFont="1" applyFill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7" fontId="5" fillId="0" borderId="4" xfId="0" applyNumberFormat="1" applyFont="1" applyBorder="1"/>
    <xf numFmtId="0" fontId="18" fillId="0" borderId="0" xfId="4"/>
    <xf numFmtId="4" fontId="1" fillId="0" borderId="10" xfId="4" applyNumberFormat="1" applyFont="1" applyBorder="1" applyProtection="1">
      <protection locked="0"/>
    </xf>
    <xf numFmtId="4" fontId="1" fillId="0" borderId="18" xfId="4" applyNumberFormat="1" applyFont="1" applyBorder="1" applyProtection="1">
      <protection locked="0"/>
    </xf>
    <xf numFmtId="4" fontId="1" fillId="0" borderId="11" xfId="4" applyNumberFormat="1" applyFont="1" applyBorder="1" applyProtection="1">
      <protection locked="0"/>
    </xf>
    <xf numFmtId="4" fontId="1" fillId="0" borderId="4" xfId="4" applyNumberFormat="1" applyFont="1" applyBorder="1" applyProtection="1">
      <protection locked="0"/>
    </xf>
    <xf numFmtId="166" fontId="6" fillId="0" borderId="5" xfId="4" applyNumberFormat="1" applyFont="1" applyBorder="1"/>
    <xf numFmtId="4" fontId="1" fillId="0" borderId="51" xfId="4" applyNumberFormat="1" applyFont="1" applyBorder="1" applyProtection="1">
      <protection locked="0"/>
    </xf>
    <xf numFmtId="4" fontId="1" fillId="0" borderId="5" xfId="4" applyNumberFormat="1" applyFont="1" applyBorder="1" applyProtection="1">
      <protection locked="0"/>
    </xf>
    <xf numFmtId="4" fontId="1" fillId="0" borderId="52" xfId="4" applyNumberFormat="1" applyFont="1" applyBorder="1" applyProtection="1">
      <protection locked="0"/>
    </xf>
    <xf numFmtId="2" fontId="13" fillId="0" borderId="53" xfId="4" applyNumberFormat="1" applyFont="1" applyBorder="1" applyProtection="1">
      <protection locked="0"/>
    </xf>
    <xf numFmtId="168" fontId="5" fillId="7" borderId="41" xfId="2" applyFont="1" applyFill="1" applyBorder="1"/>
    <xf numFmtId="2" fontId="5" fillId="2" borderId="41" xfId="4" applyNumberFormat="1" applyFont="1" applyFill="1" applyBorder="1" applyAlignment="1">
      <alignment horizontal="center"/>
    </xf>
    <xf numFmtId="0" fontId="11" fillId="14" borderId="1" xfId="4" applyFont="1" applyFill="1" applyBorder="1" applyAlignment="1">
      <alignment horizontal="center" vertical="center" wrapText="1"/>
    </xf>
    <xf numFmtId="4" fontId="1" fillId="0" borderId="6" xfId="4" applyNumberFormat="1" applyFont="1" applyBorder="1" applyProtection="1">
      <protection locked="0"/>
    </xf>
    <xf numFmtId="0" fontId="11" fillId="2" borderId="48" xfId="0" applyFont="1" applyFill="1" applyBorder="1" applyAlignment="1">
      <alignment horizontal="center" vertical="center"/>
    </xf>
    <xf numFmtId="0" fontId="11" fillId="14" borderId="4" xfId="4" applyFont="1" applyFill="1" applyBorder="1" applyAlignment="1">
      <alignment horizontal="center" vertical="center" wrapText="1"/>
    </xf>
    <xf numFmtId="0" fontId="25" fillId="0" borderId="1" xfId="4" applyFont="1" applyBorder="1" applyAlignment="1">
      <alignment horizontal="center"/>
    </xf>
    <xf numFmtId="0" fontId="24" fillId="0" borderId="2" xfId="4" applyFont="1" applyBorder="1" applyAlignment="1">
      <alignment horizontal="center"/>
    </xf>
    <xf numFmtId="0" fontId="24" fillId="0" borderId="3" xfId="4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3" fillId="2" borderId="41" xfId="4" applyNumberFormat="1" applyFont="1" applyFill="1" applyBorder="1" applyAlignment="1">
      <alignment horizontal="center" vertical="center"/>
    </xf>
    <xf numFmtId="2" fontId="21" fillId="2" borderId="41" xfId="4" applyNumberFormat="1" applyFont="1" applyFill="1" applyBorder="1" applyAlignment="1">
      <alignment horizontal="center" vertical="center"/>
    </xf>
    <xf numFmtId="172" fontId="5" fillId="10" borderId="41" xfId="5" applyFont="1" applyFill="1" applyBorder="1"/>
    <xf numFmtId="0" fontId="8" fillId="0" borderId="1" xfId="4" applyFont="1" applyBorder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20" fillId="0" borderId="1" xfId="4" applyFont="1" applyBorder="1" applyAlignment="1" applyProtection="1">
      <alignment horizontal="center" vertical="center"/>
      <protection locked="0"/>
    </xf>
    <xf numFmtId="0" fontId="20" fillId="0" borderId="2" xfId="4" applyFont="1" applyBorder="1" applyAlignment="1" applyProtection="1">
      <alignment horizontal="center" vertical="center"/>
      <protection locked="0"/>
    </xf>
    <xf numFmtId="0" fontId="20" fillId="0" borderId="3" xfId="4" applyFont="1" applyBorder="1" applyAlignment="1" applyProtection="1">
      <alignment horizontal="center" vertical="center"/>
      <protection locked="0"/>
    </xf>
    <xf numFmtId="0" fontId="0" fillId="0" borderId="1" xfId="4" applyFont="1" applyBorder="1" applyAlignment="1" applyProtection="1">
      <alignment horizontal="center" vertical="center"/>
      <protection locked="0"/>
    </xf>
    <xf numFmtId="0" fontId="18" fillId="0" borderId="2" xfId="4" applyBorder="1" applyAlignment="1" applyProtection="1">
      <alignment horizontal="center" vertical="center"/>
      <protection locked="0"/>
    </xf>
    <xf numFmtId="0" fontId="18" fillId="0" borderId="3" xfId="4" applyBorder="1" applyAlignment="1" applyProtection="1">
      <alignment horizontal="center" vertical="center"/>
      <protection locked="0"/>
    </xf>
    <xf numFmtId="0" fontId="8" fillId="0" borderId="1" xfId="4" applyFont="1" applyBorder="1" applyAlignment="1" applyProtection="1">
      <alignment horizontal="center" vertical="center"/>
      <protection locked="0"/>
    </xf>
    <xf numFmtId="0" fontId="8" fillId="0" borderId="2" xfId="4" applyFont="1" applyBorder="1" applyAlignment="1" applyProtection="1">
      <alignment horizontal="center" vertical="center"/>
      <protection locked="0"/>
    </xf>
    <xf numFmtId="0" fontId="8" fillId="0" borderId="3" xfId="4" applyFont="1" applyBorder="1" applyAlignment="1" applyProtection="1">
      <alignment horizontal="center" vertical="center"/>
      <protection locked="0"/>
    </xf>
    <xf numFmtId="164" fontId="3" fillId="0" borderId="2" xfId="4" applyNumberFormat="1" applyFont="1" applyBorder="1" applyAlignment="1" applyProtection="1">
      <alignment horizontal="right" vertical="center"/>
      <protection locked="0"/>
    </xf>
    <xf numFmtId="0" fontId="5" fillId="2" borderId="28" xfId="4" applyFont="1" applyFill="1" applyBorder="1" applyAlignment="1">
      <alignment horizontal="center" vertical="center" wrapText="1"/>
    </xf>
    <xf numFmtId="0" fontId="18" fillId="0" borderId="29" xfId="4" applyBorder="1" applyAlignment="1">
      <alignment horizontal="center" vertical="center" wrapText="1"/>
    </xf>
    <xf numFmtId="0" fontId="13" fillId="2" borderId="28" xfId="4" applyFont="1" applyFill="1" applyBorder="1" applyAlignment="1">
      <alignment horizontal="center" vertical="center" wrapText="1"/>
    </xf>
    <xf numFmtId="0" fontId="21" fillId="0" borderId="29" xfId="4" applyFont="1" applyBorder="1" applyAlignment="1">
      <alignment horizontal="center" vertical="center" wrapText="1"/>
    </xf>
    <xf numFmtId="0" fontId="18" fillId="0" borderId="14" xfId="4" applyBorder="1" applyAlignment="1">
      <alignment horizontal="center" vertical="center" wrapText="1"/>
    </xf>
    <xf numFmtId="0" fontId="5" fillId="0" borderId="1" xfId="4" applyFont="1" applyBorder="1"/>
    <xf numFmtId="0" fontId="18" fillId="0" borderId="2" xfId="4" applyBorder="1"/>
    <xf numFmtId="0" fontId="18" fillId="0" borderId="3" xfId="4" applyBorder="1"/>
    <xf numFmtId="0" fontId="5" fillId="9" borderId="1" xfId="4" applyFont="1" applyFill="1" applyBorder="1" applyAlignment="1">
      <alignment horizontal="left"/>
    </xf>
    <xf numFmtId="0" fontId="5" fillId="9" borderId="2" xfId="4" applyFont="1" applyFill="1" applyBorder="1" applyAlignment="1">
      <alignment horizontal="left"/>
    </xf>
    <xf numFmtId="0" fontId="5" fillId="9" borderId="3" xfId="4" applyFont="1" applyFill="1" applyBorder="1" applyAlignment="1">
      <alignment horizontal="left"/>
    </xf>
    <xf numFmtId="0" fontId="18" fillId="0" borderId="19" xfId="4" applyBorder="1"/>
    <xf numFmtId="0" fontId="18" fillId="0" borderId="24" xfId="4" applyBorder="1"/>
    <xf numFmtId="0" fontId="18" fillId="0" borderId="20" xfId="4" applyBorder="1"/>
    <xf numFmtId="0" fontId="18" fillId="0" borderId="26" xfId="4" applyBorder="1"/>
    <xf numFmtId="0" fontId="18" fillId="0" borderId="0" xfId="4"/>
    <xf numFmtId="0" fontId="18" fillId="0" borderId="27" xfId="4" applyBorder="1"/>
    <xf numFmtId="0" fontId="18" fillId="0" borderId="14" xfId="4" applyBorder="1"/>
    <xf numFmtId="0" fontId="18" fillId="0" borderId="15" xfId="4" applyBorder="1"/>
    <xf numFmtId="0" fontId="18" fillId="0" borderId="25" xfId="4" applyBorder="1"/>
    <xf numFmtId="0" fontId="22" fillId="2" borderId="19" xfId="4" applyFont="1" applyFill="1" applyBorder="1" applyAlignment="1">
      <alignment horizontal="center" vertical="center" wrapText="1"/>
    </xf>
    <xf numFmtId="0" fontId="23" fillId="0" borderId="29" xfId="4" applyFont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/>
    </xf>
    <xf numFmtId="0" fontId="11" fillId="2" borderId="3" xfId="4" applyFont="1" applyFill="1" applyBorder="1" applyAlignment="1">
      <alignment horizontal="center" vertical="center" wrapText="1"/>
    </xf>
    <xf numFmtId="0" fontId="5" fillId="2" borderId="24" xfId="4" applyFont="1" applyFill="1" applyBorder="1" applyAlignment="1">
      <alignment horizontal="center"/>
    </xf>
    <xf numFmtId="0" fontId="18" fillId="0" borderId="20" xfId="4" applyBorder="1" applyAlignment="1">
      <alignment horizontal="center"/>
    </xf>
    <xf numFmtId="0" fontId="5" fillId="2" borderId="28" xfId="4" applyFont="1" applyFill="1" applyBorder="1" applyAlignment="1">
      <alignment horizontal="center" vertical="center"/>
    </xf>
    <xf numFmtId="0" fontId="5" fillId="2" borderId="29" xfId="4" applyFont="1" applyFill="1" applyBorder="1" applyAlignment="1">
      <alignment horizontal="center" vertical="center"/>
    </xf>
    <xf numFmtId="0" fontId="18" fillId="10" borderId="41" xfId="4" applyFill="1" applyBorder="1"/>
    <xf numFmtId="0" fontId="1" fillId="0" borderId="1" xfId="4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 applyProtection="1">
      <alignment vertical="top"/>
      <protection locked="0"/>
    </xf>
    <xf numFmtId="0" fontId="8" fillId="0" borderId="2" xfId="0" applyFont="1" applyBorder="1" applyAlignment="1" applyProtection="1">
      <alignment vertical="top"/>
      <protection locked="0"/>
    </xf>
    <xf numFmtId="0" fontId="8" fillId="0" borderId="3" xfId="0" applyFont="1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6" fillId="0" borderId="3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righ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5" fillId="9" borderId="19" xfId="0" applyFont="1" applyFill="1" applyBorder="1" applyAlignment="1">
      <alignment horizontal="center" wrapText="1"/>
    </xf>
    <xf numFmtId="0" fontId="5" fillId="9" borderId="24" xfId="0" applyFont="1" applyFill="1" applyBorder="1" applyAlignment="1">
      <alignment horizontal="center" wrapText="1"/>
    </xf>
    <xf numFmtId="0" fontId="5" fillId="9" borderId="20" xfId="0" applyFont="1" applyFill="1" applyBorder="1" applyAlignment="1">
      <alignment horizontal="center" wrapText="1"/>
    </xf>
    <xf numFmtId="0" fontId="5" fillId="9" borderId="14" xfId="0" applyFont="1" applyFill="1" applyBorder="1" applyAlignment="1">
      <alignment horizontal="center" wrapText="1"/>
    </xf>
    <xf numFmtId="0" fontId="5" fillId="9" borderId="15" xfId="0" applyFont="1" applyFill="1" applyBorder="1" applyAlignment="1">
      <alignment horizontal="center" wrapText="1"/>
    </xf>
    <xf numFmtId="0" fontId="5" fillId="9" borderId="25" xfId="0" applyFont="1" applyFill="1" applyBorder="1" applyAlignment="1">
      <alignment horizontal="center" wrapText="1"/>
    </xf>
  </cellXfs>
  <cellStyles count="6">
    <cellStyle name="Euro" xfId="2"/>
    <cellStyle name="Milliers" xfId="1" builtinId="3"/>
    <cellStyle name="Monétaire 2" xfId="5"/>
    <cellStyle name="Normal" xfId="0" builtinId="0"/>
    <cellStyle name="Normal 2" xfId="3"/>
    <cellStyle name="Normal 3" xfId="4"/>
  </cellStyles>
  <dxfs count="1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J75"/>
  <sheetViews>
    <sheetView showGridLines="0" workbookViewId="0">
      <selection activeCell="K22" sqref="K22"/>
    </sheetView>
  </sheetViews>
  <sheetFormatPr baseColWidth="10" defaultRowHeight="12.75"/>
  <cols>
    <col min="1" max="16384" width="11.42578125" style="113"/>
  </cols>
  <sheetData>
    <row r="1" spans="1:8" ht="18.75" thickBot="1">
      <c r="D1" s="154" t="s">
        <v>92</v>
      </c>
      <c r="E1" s="155"/>
      <c r="F1" s="155"/>
      <c r="G1" s="155"/>
      <c r="H1" s="156"/>
    </row>
    <row r="2" spans="1:8" ht="18">
      <c r="D2" s="114"/>
      <c r="E2" s="114"/>
      <c r="F2" s="114"/>
    </row>
    <row r="5" spans="1:8">
      <c r="A5" s="113" t="s">
        <v>39</v>
      </c>
    </row>
    <row r="7" spans="1:8">
      <c r="B7" s="115" t="s">
        <v>40</v>
      </c>
    </row>
    <row r="8" spans="1:8">
      <c r="D8" s="113" t="s">
        <v>41</v>
      </c>
    </row>
    <row r="10" spans="1:8">
      <c r="B10" s="115" t="s">
        <v>42</v>
      </c>
    </row>
    <row r="12" spans="1:8">
      <c r="B12" s="115" t="s">
        <v>43</v>
      </c>
    </row>
    <row r="13" spans="1:8">
      <c r="C13" s="115"/>
    </row>
    <row r="14" spans="1:8">
      <c r="B14" s="115" t="s">
        <v>44</v>
      </c>
      <c r="C14" s="115"/>
    </row>
    <row r="15" spans="1:8">
      <c r="C15" s="115"/>
    </row>
    <row r="16" spans="1:8">
      <c r="A16" s="113" t="s">
        <v>45</v>
      </c>
      <c r="C16" s="115"/>
    </row>
    <row r="18" spans="2:3">
      <c r="B18" s="115" t="s">
        <v>46</v>
      </c>
    </row>
    <row r="20" spans="2:3">
      <c r="B20" s="113" t="s">
        <v>47</v>
      </c>
    </row>
    <row r="22" spans="2:3">
      <c r="B22" s="113" t="s">
        <v>48</v>
      </c>
    </row>
    <row r="24" spans="2:3">
      <c r="B24" s="116" t="s">
        <v>87</v>
      </c>
    </row>
    <row r="26" spans="2:3" ht="15">
      <c r="B26" s="117" t="s">
        <v>91</v>
      </c>
    </row>
    <row r="28" spans="2:3">
      <c r="C28" s="113" t="s">
        <v>49</v>
      </c>
    </row>
    <row r="29" spans="2:3">
      <c r="C29" s="113" t="s">
        <v>50</v>
      </c>
    </row>
    <row r="31" spans="2:3">
      <c r="C31" s="116" t="s">
        <v>85</v>
      </c>
    </row>
    <row r="32" spans="2:3">
      <c r="C32" s="116" t="s">
        <v>86</v>
      </c>
    </row>
    <row r="34" spans="2:10">
      <c r="C34" s="118" t="s">
        <v>83</v>
      </c>
      <c r="D34" s="119"/>
      <c r="E34" s="119"/>
      <c r="F34" s="119"/>
      <c r="G34" s="119"/>
      <c r="H34" s="119"/>
      <c r="I34" s="119"/>
      <c r="J34" s="119"/>
    </row>
    <row r="35" spans="2:10">
      <c r="C35" s="118" t="s">
        <v>84</v>
      </c>
      <c r="D35" s="119"/>
      <c r="E35" s="119"/>
      <c r="F35" s="119"/>
      <c r="G35" s="119"/>
      <c r="H35" s="119"/>
      <c r="I35" s="119"/>
      <c r="J35" s="119"/>
    </row>
    <row r="36" spans="2:10">
      <c r="C36" s="116"/>
    </row>
    <row r="37" spans="2:10">
      <c r="B37" s="113" t="s">
        <v>51</v>
      </c>
    </row>
    <row r="39" spans="2:10">
      <c r="B39" s="113" t="s">
        <v>52</v>
      </c>
    </row>
    <row r="41" spans="2:10">
      <c r="B41" s="113" t="s">
        <v>53</v>
      </c>
    </row>
    <row r="42" spans="2:10">
      <c r="B42" s="116" t="s">
        <v>54</v>
      </c>
    </row>
    <row r="44" spans="2:10">
      <c r="B44" s="113" t="s">
        <v>55</v>
      </c>
    </row>
    <row r="46" spans="2:10">
      <c r="B46" s="116" t="s">
        <v>56</v>
      </c>
    </row>
    <row r="47" spans="2:10">
      <c r="B47" s="116" t="s">
        <v>89</v>
      </c>
    </row>
    <row r="48" spans="2:10">
      <c r="B48" s="116"/>
    </row>
    <row r="49" spans="2:10">
      <c r="C49" s="116" t="s">
        <v>88</v>
      </c>
    </row>
    <row r="50" spans="2:10">
      <c r="C50" s="116" t="s">
        <v>86</v>
      </c>
    </row>
    <row r="52" spans="2:10">
      <c r="C52" s="118" t="s">
        <v>90</v>
      </c>
      <c r="D52" s="119"/>
      <c r="E52" s="119"/>
      <c r="F52" s="119"/>
      <c r="G52" s="119"/>
      <c r="H52" s="119"/>
      <c r="I52" s="119"/>
      <c r="J52" s="119"/>
    </row>
    <row r="53" spans="2:10">
      <c r="C53" s="118" t="s">
        <v>84</v>
      </c>
      <c r="D53" s="119"/>
      <c r="E53" s="119"/>
      <c r="F53" s="119"/>
      <c r="G53" s="119"/>
      <c r="H53" s="119"/>
      <c r="I53" s="119"/>
      <c r="J53" s="119"/>
    </row>
    <row r="55" spans="2:10">
      <c r="B55" s="113" t="s">
        <v>57</v>
      </c>
    </row>
    <row r="57" spans="2:10">
      <c r="C57" s="116" t="s">
        <v>58</v>
      </c>
    </row>
    <row r="59" spans="2:10">
      <c r="C59" s="116" t="s">
        <v>59</v>
      </c>
    </row>
    <row r="61" spans="2:10">
      <c r="C61" s="113" t="s">
        <v>60</v>
      </c>
    </row>
    <row r="62" spans="2:10">
      <c r="C62" s="113" t="s">
        <v>61</v>
      </c>
    </row>
    <row r="63" spans="2:10">
      <c r="C63" s="113" t="s">
        <v>62</v>
      </c>
    </row>
    <row r="65" spans="2:2">
      <c r="B65" s="113" t="s">
        <v>63</v>
      </c>
    </row>
    <row r="66" spans="2:2">
      <c r="B66" s="113" t="s">
        <v>64</v>
      </c>
    </row>
    <row r="69" spans="2:2">
      <c r="B69" s="115" t="s">
        <v>65</v>
      </c>
    </row>
    <row r="71" spans="2:2">
      <c r="B71" s="113" t="s">
        <v>66</v>
      </c>
    </row>
    <row r="72" spans="2:2">
      <c r="B72" s="113" t="s">
        <v>67</v>
      </c>
    </row>
    <row r="73" spans="2:2">
      <c r="B73" s="113" t="s">
        <v>68</v>
      </c>
    </row>
    <row r="75" spans="2:2">
      <c r="B75" s="115"/>
    </row>
  </sheetData>
  <sheetProtection sheet="1" objects="1" scenarios="1"/>
  <mergeCells count="1">
    <mergeCell ref="D1:H1"/>
  </mergeCells>
  <pageMargins left="0" right="0" top="0" bottom="0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28"/>
  <sheetViews>
    <sheetView workbookViewId="0">
      <selection activeCell="H19" sqref="H19"/>
    </sheetView>
  </sheetViews>
  <sheetFormatPr baseColWidth="10" defaultRowHeight="12.75"/>
  <cols>
    <col min="1" max="7" width="14.7109375" customWidth="1"/>
    <col min="8" max="8" width="14.7109375" style="120" customWidth="1"/>
    <col min="11" max="11" width="9.140625" customWidth="1"/>
  </cols>
  <sheetData>
    <row r="1" spans="1:8" ht="13.5" thickBot="1"/>
    <row r="2" spans="1:8" ht="13.5" thickBot="1">
      <c r="A2" s="157" t="s">
        <v>94</v>
      </c>
      <c r="B2" s="158"/>
      <c r="D2" s="157" t="s">
        <v>93</v>
      </c>
      <c r="E2" s="158"/>
      <c r="G2" s="157" t="s">
        <v>101</v>
      </c>
      <c r="H2" s="158"/>
    </row>
    <row r="3" spans="1:8">
      <c r="A3" s="133">
        <v>3</v>
      </c>
      <c r="B3" s="51">
        <v>0.45600000000000002</v>
      </c>
      <c r="D3" s="133">
        <v>3</v>
      </c>
      <c r="E3" s="51">
        <v>0.27300000000000002</v>
      </c>
      <c r="G3" s="133">
        <v>3</v>
      </c>
      <c r="H3" s="51">
        <v>0.318</v>
      </c>
    </row>
    <row r="4" spans="1:8">
      <c r="A4" s="133">
        <v>4</v>
      </c>
      <c r="B4" s="51">
        <v>0.52300000000000002</v>
      </c>
      <c r="D4" s="133">
        <v>4</v>
      </c>
      <c r="E4" s="51">
        <v>0.29399999999999998</v>
      </c>
      <c r="G4" s="133">
        <v>4</v>
      </c>
      <c r="H4" s="51">
        <v>0.35199999999999998</v>
      </c>
    </row>
    <row r="5" spans="1:8">
      <c r="A5" s="134">
        <v>5</v>
      </c>
      <c r="B5" s="54">
        <v>0.54800000000000004</v>
      </c>
      <c r="D5" s="134">
        <v>5</v>
      </c>
      <c r="E5" s="54">
        <v>0.308</v>
      </c>
      <c r="G5" s="134">
        <v>5</v>
      </c>
      <c r="H5" s="54">
        <v>0.36799999999999999</v>
      </c>
    </row>
    <row r="6" spans="1:8">
      <c r="A6" s="134">
        <v>6</v>
      </c>
      <c r="B6" s="54">
        <v>0.57399999999999995</v>
      </c>
      <c r="D6" s="134">
        <v>6</v>
      </c>
      <c r="E6" s="54">
        <v>0.32300000000000001</v>
      </c>
      <c r="G6" s="134">
        <v>6</v>
      </c>
      <c r="H6" s="54">
        <v>0.38600000000000001</v>
      </c>
    </row>
    <row r="7" spans="1:8">
      <c r="A7" s="134">
        <v>7</v>
      </c>
      <c r="B7" s="54">
        <v>0.60099999999999998</v>
      </c>
      <c r="D7" s="134">
        <v>7</v>
      </c>
      <c r="E7" s="54">
        <v>0.34</v>
      </c>
      <c r="G7" s="134">
        <v>7</v>
      </c>
      <c r="H7" s="54">
        <v>0.40500000000000003</v>
      </c>
    </row>
    <row r="8" spans="1:8">
      <c r="A8" s="134">
        <v>8</v>
      </c>
      <c r="B8" s="54">
        <f t="shared" ref="B8:B13" si="0">+B7</f>
        <v>0.60099999999999998</v>
      </c>
      <c r="D8" s="134">
        <v>8</v>
      </c>
      <c r="E8" s="54">
        <v>0.34</v>
      </c>
      <c r="G8" s="134">
        <v>8</v>
      </c>
      <c r="H8" s="54">
        <v>0.40500000000000003</v>
      </c>
    </row>
    <row r="9" spans="1:8">
      <c r="A9" s="134">
        <v>9</v>
      </c>
      <c r="B9" s="54">
        <f t="shared" si="0"/>
        <v>0.60099999999999998</v>
      </c>
      <c r="D9" s="134">
        <v>9</v>
      </c>
      <c r="E9" s="54">
        <v>0.34</v>
      </c>
      <c r="G9" s="134">
        <v>9</v>
      </c>
      <c r="H9" s="54">
        <v>0.40500000000000003</v>
      </c>
    </row>
    <row r="10" spans="1:8">
      <c r="A10" s="134">
        <v>10</v>
      </c>
      <c r="B10" s="54">
        <f t="shared" si="0"/>
        <v>0.60099999999999998</v>
      </c>
      <c r="D10" s="134">
        <v>10</v>
      </c>
      <c r="E10" s="54">
        <v>0.34</v>
      </c>
      <c r="G10" s="134">
        <v>10</v>
      </c>
      <c r="H10" s="54">
        <v>0.40500000000000003</v>
      </c>
    </row>
    <row r="11" spans="1:8">
      <c r="A11" s="134">
        <v>11</v>
      </c>
      <c r="B11" s="54">
        <f t="shared" si="0"/>
        <v>0.60099999999999998</v>
      </c>
      <c r="D11" s="134">
        <v>11</v>
      </c>
      <c r="E11" s="54">
        <v>0.34</v>
      </c>
      <c r="G11" s="134">
        <v>11</v>
      </c>
      <c r="H11" s="54">
        <v>0.40500000000000003</v>
      </c>
    </row>
    <row r="12" spans="1:8">
      <c r="A12" s="134">
        <v>12</v>
      </c>
      <c r="B12" s="54">
        <f t="shared" si="0"/>
        <v>0.60099999999999998</v>
      </c>
      <c r="D12" s="134">
        <v>12</v>
      </c>
      <c r="E12" s="54">
        <v>0.34</v>
      </c>
      <c r="G12" s="134">
        <v>12</v>
      </c>
      <c r="H12" s="54">
        <v>0.40500000000000003</v>
      </c>
    </row>
    <row r="13" spans="1:8">
      <c r="A13" s="134">
        <v>13</v>
      </c>
      <c r="B13" s="54">
        <f t="shared" si="0"/>
        <v>0.60099999999999998</v>
      </c>
      <c r="D13" s="134">
        <v>13</v>
      </c>
      <c r="E13" s="54">
        <v>0.34</v>
      </c>
      <c r="G13" s="134">
        <v>13</v>
      </c>
      <c r="H13" s="54">
        <v>0.40500000000000003</v>
      </c>
    </row>
    <row r="15" spans="1:8">
      <c r="A15" s="135"/>
      <c r="B15" s="136" t="s">
        <v>98</v>
      </c>
      <c r="C15" s="136" t="s">
        <v>97</v>
      </c>
      <c r="D15" s="136" t="s">
        <v>96</v>
      </c>
      <c r="E15" s="136" t="s">
        <v>99</v>
      </c>
      <c r="F15" s="136" t="s">
        <v>100</v>
      </c>
    </row>
    <row r="16" spans="1:8">
      <c r="A16" s="137">
        <v>43831</v>
      </c>
      <c r="B16" s="130">
        <f>'INDEMNITES KILOM. 01-2020'!$O$7</f>
        <v>0</v>
      </c>
      <c r="C16" s="128">
        <f>'INDEMNITES KILOM. 01-2020'!$C$43</f>
        <v>0</v>
      </c>
      <c r="D16" s="128">
        <f>C16</f>
        <v>0</v>
      </c>
      <c r="E16" s="129">
        <f>IF(D16&lt;5000,IFERROR(VLOOKUP(B16,'IK 2020'!$A$3:$B$13,2),0),IF(D16&gt;20000,IFERROR(VLOOKUP(B16,'IK 2020'!$G$3:$H$13,2),0),IFERROR(VLOOKUP(B16,'IK 2020'!$D$3:$E$13,2),0)))</f>
        <v>0</v>
      </c>
      <c r="F16" s="132">
        <f>E16*C16</f>
        <v>0</v>
      </c>
    </row>
    <row r="17" spans="1:6">
      <c r="A17" s="137">
        <v>43862</v>
      </c>
      <c r="B17" s="130">
        <f>'INDEMNITES KILOM. 02-2020'!$O$7</f>
        <v>0</v>
      </c>
      <c r="C17" s="128">
        <f>'INDEMNITES KILOM. 02-2020'!$C$43</f>
        <v>0</v>
      </c>
      <c r="D17" s="128">
        <f>C17+D16</f>
        <v>0</v>
      </c>
      <c r="E17" s="129">
        <f>IF(D17&lt;5000,IFERROR(VLOOKUP(B17,'IK 2020'!$A$3:$B$13,2),0),IF(D17&gt;20000,IFERROR(VLOOKUP(B17,'IK 2020'!$G$3:$H$13,2),0),IFERROR(VLOOKUP(B17,'IK 2020'!$D$3:$E$13,2),0)))</f>
        <v>0</v>
      </c>
      <c r="F17" s="132">
        <f t="shared" ref="F17:F26" si="1">IF(D17&gt;20000,(((20000-D16)*E16)+(D17-20000)*E17),IF(D17&lt;5000,(E17*C17),((5000-D16)*E16)+(D17-5000)*E17))</f>
        <v>0</v>
      </c>
    </row>
    <row r="18" spans="1:6">
      <c r="A18" s="137">
        <v>43891</v>
      </c>
      <c r="B18" s="130">
        <f>'INDEMNITES KILOM. 03-2020'!$O$7</f>
        <v>0</v>
      </c>
      <c r="C18" s="128">
        <f>'INDEMNITES KILOM. 03-2020'!$C$43</f>
        <v>0</v>
      </c>
      <c r="D18" s="128">
        <f t="shared" ref="D18:D27" si="2">C18+D17</f>
        <v>0</v>
      </c>
      <c r="E18" s="129">
        <f>IF(D18&lt;5000,IFERROR(VLOOKUP(B18,'IK 2020'!$A$3:$B$13,2),0),IF(D18&gt;20000,IFERROR(VLOOKUP(B18,'IK 2020'!$G$3:$H$13,2),0),IFERROR(VLOOKUP(B18,'IK 2020'!$D$3:$E$13,2),0)))</f>
        <v>0</v>
      </c>
      <c r="F18" s="132">
        <f t="shared" si="1"/>
        <v>0</v>
      </c>
    </row>
    <row r="19" spans="1:6">
      <c r="A19" s="137">
        <v>43922</v>
      </c>
      <c r="B19" s="130">
        <f>'INDEMNITES KILOM. 04-2020'!$O$7</f>
        <v>0</v>
      </c>
      <c r="C19" s="128">
        <f>'INDEMNITES KILOM. 04-2020'!$C$43</f>
        <v>0</v>
      </c>
      <c r="D19" s="128">
        <f t="shared" si="2"/>
        <v>0</v>
      </c>
      <c r="E19" s="129">
        <f>IF(D19&lt;5000,IFERROR(VLOOKUP(B19,'IK 2020'!$A$3:$B$13,2),0),IF(D19&gt;20000,IFERROR(VLOOKUP(B19,'IK 2020'!$G$3:$H$13,2),0),IFERROR(VLOOKUP(B19,'IK 2020'!$D$3:$E$13,2),0)))</f>
        <v>0</v>
      </c>
      <c r="F19" s="132">
        <f t="shared" si="1"/>
        <v>0</v>
      </c>
    </row>
    <row r="20" spans="1:6">
      <c r="A20" s="137">
        <v>43952</v>
      </c>
      <c r="B20" s="130">
        <f>'INDEMNITES KILOM. 05-2020'!$O$7</f>
        <v>0</v>
      </c>
      <c r="C20" s="128">
        <f>'INDEMNITES KILOM. 05-2020'!$C$43</f>
        <v>0</v>
      </c>
      <c r="D20" s="128">
        <f t="shared" si="2"/>
        <v>0</v>
      </c>
      <c r="E20" s="129">
        <f>IF(D20&lt;5000,IFERROR(VLOOKUP(B20,'IK 2020'!$A$3:$B$13,2),0),IF(D20&gt;20000,IFERROR(VLOOKUP(B20,'IK 2020'!$G$3:$H$13,2),0),IFERROR(VLOOKUP(B20,'IK 2020'!$D$3:$E$13,2),0)))</f>
        <v>0</v>
      </c>
      <c r="F20" s="132">
        <f t="shared" si="1"/>
        <v>0</v>
      </c>
    </row>
    <row r="21" spans="1:6">
      <c r="A21" s="137">
        <v>43983</v>
      </c>
      <c r="B21" s="130">
        <f>'INDEMNITES KILOM. 06-2020'!$O$7</f>
        <v>0</v>
      </c>
      <c r="C21" s="128">
        <f>'INDEMNITES KILOM. 06-2020'!$C$43</f>
        <v>0</v>
      </c>
      <c r="D21" s="128">
        <f t="shared" si="2"/>
        <v>0</v>
      </c>
      <c r="E21" s="129">
        <f>IF(D21&lt;5000,IFERROR(VLOOKUP(B21,'IK 2020'!$A$3:$B$13,2),0),IF(D21&gt;20000,IFERROR(VLOOKUP(B21,'IK 2020'!$G$3:$H$13,2),0),IFERROR(VLOOKUP(B21,'IK 2020'!$D$3:$E$13,2),0)))</f>
        <v>0</v>
      </c>
      <c r="F21" s="132">
        <f t="shared" si="1"/>
        <v>0</v>
      </c>
    </row>
    <row r="22" spans="1:6">
      <c r="A22" s="137">
        <v>44013</v>
      </c>
      <c r="B22" s="130">
        <f>'INDEMNITES KILOM. 07-2020'!$O$7</f>
        <v>0</v>
      </c>
      <c r="C22" s="128">
        <f>'INDEMNITES KILOM. 07-2020'!$C$43</f>
        <v>0</v>
      </c>
      <c r="D22" s="128">
        <f t="shared" si="2"/>
        <v>0</v>
      </c>
      <c r="E22" s="129">
        <f>IF(D22&lt;5000,IFERROR(VLOOKUP(B22,'IK 2020'!$A$3:$B$13,2),0),IF(D22&gt;20000,IFERROR(VLOOKUP(B22,'IK 2020'!$G$3:$H$13,2),0),IFERROR(VLOOKUP(B22,'IK 2020'!$D$3:$E$13,2),0)))</f>
        <v>0</v>
      </c>
      <c r="F22" s="132">
        <f t="shared" si="1"/>
        <v>0</v>
      </c>
    </row>
    <row r="23" spans="1:6">
      <c r="A23" s="137">
        <v>44044</v>
      </c>
      <c r="B23" s="130">
        <f>'INDEMNITES KILOM. 08-2020'!$O$7</f>
        <v>0</v>
      </c>
      <c r="C23" s="128">
        <f>'INDEMNITES KILOM. 08-2020'!$C$43</f>
        <v>0</v>
      </c>
      <c r="D23" s="128">
        <f t="shared" si="2"/>
        <v>0</v>
      </c>
      <c r="E23" s="129">
        <f>IF(D23&lt;5000,IFERROR(VLOOKUP(B23,'IK 2020'!$A$3:$B$13,2),0),IF(D23&gt;20000,IFERROR(VLOOKUP(B23,'IK 2020'!$G$3:$H$13,2),0),IFERROR(VLOOKUP(B23,'IK 2020'!$D$3:$E$13,2),0)))</f>
        <v>0</v>
      </c>
      <c r="F23" s="132">
        <f t="shared" si="1"/>
        <v>0</v>
      </c>
    </row>
    <row r="24" spans="1:6">
      <c r="A24" s="137">
        <v>44075</v>
      </c>
      <c r="B24" s="130">
        <f>'INDEMNITES KILOM. 09-2020'!$O$7</f>
        <v>0</v>
      </c>
      <c r="C24" s="128">
        <f>'INDEMNITES KILOM. 09-2020'!$C$43</f>
        <v>0</v>
      </c>
      <c r="D24" s="128">
        <f t="shared" si="2"/>
        <v>0</v>
      </c>
      <c r="E24" s="129">
        <f>IF(D24&lt;5000,IFERROR(VLOOKUP(B24,'IK 2020'!$A$3:$B$13,2),0),IF(D24&gt;20000,IFERROR(VLOOKUP(B24,'IK 2020'!$G$3:$H$13,2),0),IFERROR(VLOOKUP(B24,'IK 2020'!$D$3:$E$13,2),0)))</f>
        <v>0</v>
      </c>
      <c r="F24" s="132">
        <f t="shared" si="1"/>
        <v>0</v>
      </c>
    </row>
    <row r="25" spans="1:6">
      <c r="A25" s="137">
        <v>44105</v>
      </c>
      <c r="B25" s="130">
        <f>'INDEMNITES KILOM. 10-2020'!$O$7</f>
        <v>0</v>
      </c>
      <c r="C25" s="128">
        <f>'INDEMNITES KILOM. 10-2020'!$C$43</f>
        <v>0</v>
      </c>
      <c r="D25" s="128">
        <f t="shared" si="2"/>
        <v>0</v>
      </c>
      <c r="E25" s="129">
        <f>IF(D25&lt;5000,IFERROR(VLOOKUP(B25,'IK 2020'!$A$3:$B$13,2),0),IF(D25&gt;20000,IFERROR(VLOOKUP(B25,'IK 2020'!$G$3:$H$13,2),0),IFERROR(VLOOKUP(B25,'IK 2020'!$D$3:$E$13,2),0)))</f>
        <v>0</v>
      </c>
      <c r="F25" s="132">
        <f t="shared" si="1"/>
        <v>0</v>
      </c>
    </row>
    <row r="26" spans="1:6">
      <c r="A26" s="137">
        <v>44136</v>
      </c>
      <c r="B26" s="130">
        <f>'INDEMNITES KILOM. 11-2020'!$O$7</f>
        <v>0</v>
      </c>
      <c r="C26" s="128">
        <f>'INDEMNITES KILOM. 11-2020'!$C$43</f>
        <v>0</v>
      </c>
      <c r="D26" s="128">
        <f t="shared" si="2"/>
        <v>0</v>
      </c>
      <c r="E26" s="129">
        <f>IF(D26&lt;5000,IFERROR(VLOOKUP(B26,'IK 2020'!$A$3:$B$13,2),0),IF(D26&gt;20000,IFERROR(VLOOKUP(B26,'IK 2020'!$G$3:$H$13,2),0),IFERROR(VLOOKUP(B26,'IK 2020'!$D$3:$E$13,2),0)))</f>
        <v>0</v>
      </c>
      <c r="F26" s="132">
        <f t="shared" si="1"/>
        <v>0</v>
      </c>
    </row>
    <row r="27" spans="1:6">
      <c r="A27" s="137">
        <v>44166</v>
      </c>
      <c r="B27" s="130">
        <f>'INDEMNITES KILOM. 12-2020'!$O$7</f>
        <v>0</v>
      </c>
      <c r="C27" s="128">
        <f>'INDEMNITES KILOM. 12-2020'!$C$43</f>
        <v>0</v>
      </c>
      <c r="D27" s="128">
        <f t="shared" si="2"/>
        <v>0</v>
      </c>
      <c r="E27" s="129">
        <f>IF(D27&lt;5000,IFERROR(VLOOKUP(B27,'IK 2020'!$A$3:$B$13,2),0),IF(D27&gt;20000,IFERROR(VLOOKUP(B27,'IK 2020'!$G$3:$H$13,2),0),IFERROR(VLOOKUP(B27,'IK 2020'!$D$3:$E$13,2),0)))</f>
        <v>0</v>
      </c>
      <c r="F27" s="132">
        <f>IF(D27&gt;20000,(((20000-D26)*E26)+(D27-20000)*E27),IF(D27&lt;5000,(E27*C27),((5000-D26)*E26)+(D27-5000)*E27))</f>
        <v>0</v>
      </c>
    </row>
    <row r="28" spans="1:6">
      <c r="A28" s="135"/>
      <c r="B28" s="128"/>
      <c r="C28" s="127"/>
      <c r="D28" s="127"/>
      <c r="E28" s="127"/>
      <c r="F28" s="132"/>
    </row>
  </sheetData>
  <sheetProtection password="9111" sheet="1" objects="1" scenarios="1"/>
  <mergeCells count="3">
    <mergeCell ref="D2:E2"/>
    <mergeCell ref="A2:B2"/>
    <mergeCell ref="G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8"/>
  <sheetViews>
    <sheetView showGridLines="0" tabSelected="1" workbookViewId="0">
      <pane xSplit="1" ySplit="4" topLeftCell="B5" activePane="bottomRight" state="frozen"/>
      <selection activeCell="A68" sqref="A68:XFD75"/>
      <selection pane="topRight" activeCell="A68" sqref="A68:XFD75"/>
      <selection pane="bottomLeft" activeCell="A68" sqref="A68:XFD75"/>
      <selection pane="bottomRight" activeCell="O13" sqref="O13"/>
    </sheetView>
  </sheetViews>
  <sheetFormatPr baseColWidth="10" defaultColWidth="8.7109375" defaultRowHeight="12.75"/>
  <cols>
    <col min="1" max="1" width="7.42578125" style="59" customWidth="1"/>
    <col min="2" max="2" width="10.28515625" style="59" customWidth="1"/>
    <col min="3" max="3" width="9.42578125" style="59" customWidth="1"/>
    <col min="4" max="4" width="7.85546875" style="59" customWidth="1"/>
    <col min="5" max="5" width="7.85546875" style="138" customWidth="1"/>
    <col min="6" max="7" width="7.85546875" style="59" customWidth="1"/>
    <col min="8" max="8" width="8.85546875" style="59" customWidth="1"/>
    <col min="9" max="9" width="9.42578125" style="59" customWidth="1"/>
    <col min="10" max="10" width="7.42578125" style="59" customWidth="1"/>
    <col min="11" max="11" width="10.7109375" style="59" customWidth="1"/>
    <col min="12" max="15" width="9.7109375" style="59" customWidth="1"/>
    <col min="16" max="16" width="29.85546875" style="59" customWidth="1"/>
    <col min="17" max="17" width="15" style="59" customWidth="1"/>
    <col min="18" max="23" width="8.7109375" style="59"/>
    <col min="24" max="24" width="8.7109375" style="78"/>
    <col min="25" max="26" width="0" style="78" hidden="1" customWidth="1"/>
    <col min="27" max="16384" width="8.7109375" style="59"/>
  </cols>
  <sheetData>
    <row r="1" spans="1:26" ht="21" thickBot="1">
      <c r="A1" s="162" t="s">
        <v>6</v>
      </c>
      <c r="B1" s="163"/>
      <c r="C1" s="164"/>
      <c r="D1" s="165"/>
      <c r="E1" s="165"/>
      <c r="F1" s="165"/>
      <c r="G1" s="165"/>
      <c r="H1" s="165"/>
      <c r="I1" s="165"/>
      <c r="J1" s="166"/>
      <c r="K1" s="61"/>
      <c r="L1" s="61"/>
      <c r="M1" s="61" t="s">
        <v>7</v>
      </c>
      <c r="N1" s="167"/>
      <c r="O1" s="168"/>
      <c r="P1" s="169"/>
      <c r="X1" s="59"/>
      <c r="Y1" s="62" t="s">
        <v>1</v>
      </c>
      <c r="Z1" s="62">
        <v>8</v>
      </c>
    </row>
    <row r="2" spans="1:26" ht="32.25" customHeight="1" thickBot="1">
      <c r="A2" s="162" t="s">
        <v>3</v>
      </c>
      <c r="B2" s="163"/>
      <c r="C2" s="170"/>
      <c r="D2" s="171"/>
      <c r="E2" s="171"/>
      <c r="F2" s="171"/>
      <c r="G2" s="171"/>
      <c r="H2" s="171"/>
      <c r="I2" s="171"/>
      <c r="J2" s="172"/>
      <c r="K2" s="63"/>
      <c r="L2" s="94"/>
      <c r="M2" s="61" t="s">
        <v>69</v>
      </c>
      <c r="N2" s="173" t="s">
        <v>8</v>
      </c>
      <c r="O2" s="173"/>
      <c r="P2" s="64">
        <v>2025</v>
      </c>
      <c r="Q2" s="65">
        <f>VLOOKUP(N2,$Y$1:$Z$12,2)</f>
        <v>1</v>
      </c>
      <c r="X2" s="59"/>
      <c r="Y2" s="62" t="s">
        <v>2</v>
      </c>
      <c r="Z2" s="62">
        <v>4</v>
      </c>
    </row>
    <row r="3" spans="1:26" ht="20.25" customHeight="1" thickBot="1">
      <c r="A3" s="174" t="s">
        <v>14</v>
      </c>
      <c r="B3" s="176" t="s">
        <v>76</v>
      </c>
      <c r="C3" s="176" t="s">
        <v>70</v>
      </c>
      <c r="D3" s="110" t="s">
        <v>17</v>
      </c>
      <c r="E3" s="111"/>
      <c r="F3" s="111"/>
      <c r="G3" s="111"/>
      <c r="H3" s="174" t="s">
        <v>71</v>
      </c>
      <c r="I3" s="176" t="s">
        <v>77</v>
      </c>
      <c r="J3" s="176" t="s">
        <v>19</v>
      </c>
      <c r="K3" s="194" t="s">
        <v>72</v>
      </c>
      <c r="L3" s="196" t="s">
        <v>81</v>
      </c>
      <c r="M3" s="197"/>
      <c r="N3" s="198" t="s">
        <v>22</v>
      </c>
      <c r="O3" s="199"/>
      <c r="P3" s="200" t="s">
        <v>73</v>
      </c>
      <c r="Q3" s="66"/>
      <c r="X3" s="59"/>
      <c r="Y3" s="62" t="s">
        <v>4</v>
      </c>
      <c r="Z3" s="62">
        <v>12</v>
      </c>
    </row>
    <row r="4" spans="1:26" ht="23.25" customHeight="1" thickBot="1">
      <c r="A4" s="175"/>
      <c r="B4" s="177"/>
      <c r="C4" s="178"/>
      <c r="D4" s="67" t="s">
        <v>24</v>
      </c>
      <c r="E4" s="150" t="s">
        <v>102</v>
      </c>
      <c r="F4" s="104" t="s">
        <v>79</v>
      </c>
      <c r="G4" s="105" t="s">
        <v>26</v>
      </c>
      <c r="H4" s="175"/>
      <c r="I4" s="177"/>
      <c r="J4" s="177"/>
      <c r="K4" s="195"/>
      <c r="L4" s="108" t="s">
        <v>79</v>
      </c>
      <c r="M4" s="109" t="s">
        <v>26</v>
      </c>
      <c r="N4" s="108" t="s">
        <v>25</v>
      </c>
      <c r="O4" s="109" t="s">
        <v>26</v>
      </c>
      <c r="P4" s="201"/>
      <c r="X4" s="59"/>
      <c r="Y4" s="62" t="s">
        <v>5</v>
      </c>
      <c r="Z4" s="62">
        <v>2</v>
      </c>
    </row>
    <row r="5" spans="1:26" ht="24.95" customHeight="1">
      <c r="A5" s="68">
        <f>IF(MONTH(DATE($P$2,$Q$2,1))&lt;&gt;$Q$2,"",DATE($P$2,$Q$2,1))</f>
        <v>45658</v>
      </c>
      <c r="B5" s="95"/>
      <c r="C5" s="95"/>
      <c r="D5" s="139"/>
      <c r="E5" s="140"/>
      <c r="F5" s="140"/>
      <c r="G5" s="141"/>
      <c r="H5" s="95"/>
      <c r="I5" s="95"/>
      <c r="J5" s="96"/>
      <c r="K5" s="95"/>
      <c r="L5" s="69"/>
      <c r="M5" s="69"/>
      <c r="N5" s="71"/>
      <c r="O5" s="72"/>
      <c r="P5" s="97"/>
      <c r="X5" s="59"/>
      <c r="Y5" s="62" t="s">
        <v>8</v>
      </c>
      <c r="Z5" s="62">
        <v>1</v>
      </c>
    </row>
    <row r="6" spans="1:26" ht="24.95" customHeight="1">
      <c r="A6" s="68">
        <f>IF(MONTH(DATE($P$2,$Q$2,2))&lt;&gt;$Q$2,"",DATE($P$2,$Q$2,2))</f>
        <v>45659</v>
      </c>
      <c r="B6" s="73"/>
      <c r="C6" s="73"/>
      <c r="D6" s="74"/>
      <c r="E6" s="142"/>
      <c r="F6" s="142"/>
      <c r="G6" s="77"/>
      <c r="H6" s="73"/>
      <c r="I6" s="73"/>
      <c r="J6" s="76"/>
      <c r="K6" s="73"/>
      <c r="L6" s="73"/>
      <c r="M6" s="73"/>
      <c r="N6" s="75"/>
      <c r="O6" s="77"/>
      <c r="P6" s="98"/>
      <c r="X6" s="59"/>
      <c r="Y6" s="62" t="s">
        <v>9</v>
      </c>
      <c r="Z6" s="62">
        <v>7</v>
      </c>
    </row>
    <row r="7" spans="1:26" ht="24.95" customHeight="1">
      <c r="A7" s="68">
        <f>IF(MONTH(DATE($P$2,$Q$2,3))&lt;&gt;$Q$2,"",DATE($P$2,$Q$2,3))</f>
        <v>45660</v>
      </c>
      <c r="B7" s="73"/>
      <c r="C7" s="73"/>
      <c r="D7" s="74"/>
      <c r="E7" s="142"/>
      <c r="F7" s="142"/>
      <c r="G7" s="77"/>
      <c r="H7" s="73"/>
      <c r="I7" s="73"/>
      <c r="J7" s="76"/>
      <c r="K7" s="73"/>
      <c r="L7" s="73"/>
      <c r="M7" s="73"/>
      <c r="N7" s="75"/>
      <c r="O7" s="77"/>
      <c r="P7" s="98"/>
      <c r="X7" s="59"/>
      <c r="Y7" s="62" t="s">
        <v>12</v>
      </c>
      <c r="Z7" s="62">
        <v>6</v>
      </c>
    </row>
    <row r="8" spans="1:26" ht="24.95" customHeight="1">
      <c r="A8" s="68">
        <f>IF(MONTH(DATE($P$2,$Q$2,4))&lt;&gt;$Q$2,"",DATE($P$2,$Q$2,4))</f>
        <v>45661</v>
      </c>
      <c r="B8" s="73"/>
      <c r="C8" s="73"/>
      <c r="D8" s="74"/>
      <c r="E8" s="142"/>
      <c r="F8" s="142"/>
      <c r="G8" s="77"/>
      <c r="H8" s="73"/>
      <c r="I8" s="73"/>
      <c r="J8" s="76"/>
      <c r="K8" s="73"/>
      <c r="L8" s="73"/>
      <c r="M8" s="73"/>
      <c r="N8" s="75"/>
      <c r="O8" s="77"/>
      <c r="P8" s="98"/>
      <c r="X8" s="59"/>
      <c r="Y8" s="62" t="s">
        <v>13</v>
      </c>
      <c r="Z8" s="62">
        <v>5</v>
      </c>
    </row>
    <row r="9" spans="1:26" ht="24.95" customHeight="1">
      <c r="A9" s="68">
        <f>IF(MONTH(DATE($P$2,$Q$2,5))&lt;&gt;$Q$2,"",DATE($P$2,$Q$2,5))</f>
        <v>45662</v>
      </c>
      <c r="B9" s="73"/>
      <c r="C9" s="73"/>
      <c r="D9" s="74"/>
      <c r="E9" s="142"/>
      <c r="F9" s="142"/>
      <c r="G9" s="77"/>
      <c r="H9" s="73"/>
      <c r="I9" s="73"/>
      <c r="J9" s="76"/>
      <c r="K9" s="73"/>
      <c r="L9" s="73"/>
      <c r="M9" s="73"/>
      <c r="N9" s="75"/>
      <c r="O9" s="77"/>
      <c r="P9" s="98"/>
      <c r="X9" s="59"/>
      <c r="Y9" s="62" t="s">
        <v>23</v>
      </c>
      <c r="Z9" s="62">
        <v>3</v>
      </c>
    </row>
    <row r="10" spans="1:26" ht="24.95" customHeight="1">
      <c r="A10" s="68">
        <f>IF(MONTH(DATE($P$2,$Q$2,6))&lt;&gt;$Q$2,"",DATE($P$2,$Q$2,6))</f>
        <v>45663</v>
      </c>
      <c r="B10" s="73"/>
      <c r="C10" s="73"/>
      <c r="D10" s="74"/>
      <c r="E10" s="142"/>
      <c r="F10" s="142"/>
      <c r="G10" s="77"/>
      <c r="H10" s="73"/>
      <c r="I10" s="73"/>
      <c r="J10" s="76"/>
      <c r="K10" s="73"/>
      <c r="L10" s="73"/>
      <c r="M10" s="73"/>
      <c r="N10" s="75"/>
      <c r="O10" s="77"/>
      <c r="P10" s="98"/>
      <c r="X10" s="59"/>
      <c r="Y10" s="62" t="s">
        <v>28</v>
      </c>
      <c r="Z10" s="62">
        <v>11</v>
      </c>
    </row>
    <row r="11" spans="1:26" ht="24.95" customHeight="1">
      <c r="A11" s="68">
        <f>IF(MONTH(DATE($P$2,$Q$2,7))&lt;&gt;$Q$2,"",DATE($P$2,$Q$2,7))</f>
        <v>45664</v>
      </c>
      <c r="B11" s="73"/>
      <c r="C11" s="73"/>
      <c r="D11" s="74"/>
      <c r="E11" s="142"/>
      <c r="F11" s="142"/>
      <c r="G11" s="77"/>
      <c r="H11" s="73"/>
      <c r="I11" s="73"/>
      <c r="J11" s="76"/>
      <c r="K11" s="73"/>
      <c r="L11" s="73"/>
      <c r="M11" s="73"/>
      <c r="N11" s="75"/>
      <c r="O11" s="77"/>
      <c r="P11" s="99"/>
      <c r="X11" s="59"/>
      <c r="Y11" s="62" t="s">
        <v>29</v>
      </c>
      <c r="Z11" s="62">
        <v>10</v>
      </c>
    </row>
    <row r="12" spans="1:26" ht="24.95" customHeight="1">
      <c r="A12" s="68">
        <f>IF(MONTH(DATE($P$2,$Q$2,8))&lt;&gt;$Q$2,"",DATE($P$2,$Q$2,8))</f>
        <v>45665</v>
      </c>
      <c r="B12" s="73"/>
      <c r="C12" s="73"/>
      <c r="D12" s="74"/>
      <c r="E12" s="142"/>
      <c r="F12" s="142"/>
      <c r="G12" s="77"/>
      <c r="H12" s="73"/>
      <c r="I12" s="73"/>
      <c r="J12" s="76"/>
      <c r="K12" s="73"/>
      <c r="L12" s="73"/>
      <c r="M12" s="73"/>
      <c r="N12" s="75"/>
      <c r="O12" s="77"/>
      <c r="P12" s="98"/>
      <c r="X12" s="59"/>
      <c r="Y12" s="62" t="s">
        <v>30</v>
      </c>
      <c r="Z12" s="62">
        <v>9</v>
      </c>
    </row>
    <row r="13" spans="1:26" ht="24.95" customHeight="1">
      <c r="A13" s="68">
        <f>IF(MONTH(DATE($P$2,$Q$2,9))&lt;&gt;$Q$2,"",DATE($P$2,$Q$2,9))</f>
        <v>45666</v>
      </c>
      <c r="B13" s="73"/>
      <c r="C13" s="73"/>
      <c r="D13" s="74"/>
      <c r="E13" s="142"/>
      <c r="F13" s="142"/>
      <c r="G13" s="77"/>
      <c r="H13" s="73"/>
      <c r="I13" s="73"/>
      <c r="J13" s="76"/>
      <c r="K13" s="73"/>
      <c r="L13" s="73"/>
      <c r="M13" s="73"/>
      <c r="N13" s="75"/>
      <c r="O13" s="77"/>
      <c r="P13" s="99"/>
      <c r="X13" s="59"/>
    </row>
    <row r="14" spans="1:26" ht="24.95" customHeight="1">
      <c r="A14" s="68">
        <f>IF(MONTH(DATE($P$2,$Q$2,10))&lt;&gt;$Q$2,"",DATE($P$2,$Q$2,10))</f>
        <v>45667</v>
      </c>
      <c r="B14" s="73"/>
      <c r="C14" s="73"/>
      <c r="D14" s="74"/>
      <c r="E14" s="142"/>
      <c r="F14" s="142"/>
      <c r="G14" s="77"/>
      <c r="H14" s="73"/>
      <c r="I14" s="73"/>
      <c r="J14" s="76"/>
      <c r="K14" s="73"/>
      <c r="L14" s="73"/>
      <c r="M14" s="73"/>
      <c r="N14" s="75"/>
      <c r="O14" s="77"/>
      <c r="P14" s="99"/>
      <c r="X14" s="59"/>
    </row>
    <row r="15" spans="1:26" ht="24.95" customHeight="1">
      <c r="A15" s="68">
        <f>IF(MONTH(DATE($P$2,$Q$2,11))&lt;&gt;$Q$2,"",DATE($P$2,$Q$2,11))</f>
        <v>45668</v>
      </c>
      <c r="B15" s="73"/>
      <c r="C15" s="73"/>
      <c r="D15" s="74"/>
      <c r="E15" s="142"/>
      <c r="F15" s="142"/>
      <c r="G15" s="77"/>
      <c r="H15" s="73"/>
      <c r="I15" s="73"/>
      <c r="J15" s="76"/>
      <c r="K15" s="73"/>
      <c r="L15" s="73"/>
      <c r="M15" s="73"/>
      <c r="N15" s="75"/>
      <c r="O15" s="77"/>
      <c r="P15" s="98"/>
    </row>
    <row r="16" spans="1:26" ht="24.95" customHeight="1">
      <c r="A16" s="68">
        <f>IF(MONTH(DATE($P$2,$Q$2,12))&lt;&gt;$Q$2,"",DATE($P$2,$Q$2,12))</f>
        <v>45669</v>
      </c>
      <c r="B16" s="73"/>
      <c r="C16" s="73"/>
      <c r="D16" s="74"/>
      <c r="E16" s="142"/>
      <c r="F16" s="142"/>
      <c r="G16" s="77"/>
      <c r="H16" s="73"/>
      <c r="I16" s="73"/>
      <c r="J16" s="76"/>
      <c r="K16" s="73"/>
      <c r="L16" s="73"/>
      <c r="M16" s="73"/>
      <c r="N16" s="75"/>
      <c r="O16" s="77"/>
      <c r="P16" s="98"/>
    </row>
    <row r="17" spans="1:16" ht="24.95" customHeight="1">
      <c r="A17" s="68">
        <f>IF(MONTH(DATE($P$2,$Q$2,13))&lt;&gt;$Q$2,"",DATE($P$2,$Q$2,13))</f>
        <v>45670</v>
      </c>
      <c r="B17" s="73"/>
      <c r="C17" s="73"/>
      <c r="D17" s="74"/>
      <c r="E17" s="142"/>
      <c r="F17" s="142"/>
      <c r="G17" s="77"/>
      <c r="H17" s="73"/>
      <c r="I17" s="73"/>
      <c r="J17" s="76"/>
      <c r="K17" s="73"/>
      <c r="L17" s="73"/>
      <c r="M17" s="73"/>
      <c r="N17" s="75"/>
      <c r="O17" s="77"/>
      <c r="P17" s="98"/>
    </row>
    <row r="18" spans="1:16" ht="24.95" customHeight="1">
      <c r="A18" s="68">
        <f>IF(MONTH(DATE($P$2,$Q$2,14))&lt;&gt;$Q$2,"",DATE($P$2,$Q$2,14))</f>
        <v>45671</v>
      </c>
      <c r="B18" s="73"/>
      <c r="C18" s="73"/>
      <c r="D18" s="74"/>
      <c r="E18" s="142"/>
      <c r="F18" s="142"/>
      <c r="G18" s="77"/>
      <c r="H18" s="73"/>
      <c r="I18" s="73"/>
      <c r="J18" s="76"/>
      <c r="K18" s="73"/>
      <c r="L18" s="73"/>
      <c r="M18" s="73"/>
      <c r="N18" s="75"/>
      <c r="O18" s="77"/>
      <c r="P18" s="98"/>
    </row>
    <row r="19" spans="1:16" ht="24.95" customHeight="1">
      <c r="A19" s="68">
        <f>IF(MONTH(DATE($P$2,$Q$2,15))&lt;&gt;$Q$2,"",DATE($P$2,$Q$2,15))</f>
        <v>45672</v>
      </c>
      <c r="B19" s="73"/>
      <c r="C19" s="73"/>
      <c r="D19" s="74"/>
      <c r="E19" s="142"/>
      <c r="F19" s="142"/>
      <c r="G19" s="77"/>
      <c r="H19" s="73"/>
      <c r="I19" s="73"/>
      <c r="J19" s="76"/>
      <c r="K19" s="73"/>
      <c r="L19" s="73"/>
      <c r="M19" s="73"/>
      <c r="N19" s="75"/>
      <c r="O19" s="77"/>
      <c r="P19" s="98"/>
    </row>
    <row r="20" spans="1:16" ht="24.95" customHeight="1">
      <c r="A20" s="68">
        <f>IF(MONTH(DATE($P$2,$Q$2,16))&lt;&gt;$Q$2,"",DATE($P$2,$Q$2,16))</f>
        <v>45673</v>
      </c>
      <c r="B20" s="73"/>
      <c r="C20" s="73"/>
      <c r="D20" s="74"/>
      <c r="E20" s="142"/>
      <c r="F20" s="142"/>
      <c r="G20" s="77"/>
      <c r="H20" s="73"/>
      <c r="I20" s="73"/>
      <c r="J20" s="76"/>
      <c r="K20" s="73"/>
      <c r="L20" s="73"/>
      <c r="M20" s="73"/>
      <c r="N20" s="75"/>
      <c r="O20" s="77"/>
      <c r="P20" s="99"/>
    </row>
    <row r="21" spans="1:16" ht="24.95" customHeight="1">
      <c r="A21" s="68">
        <f>IF(MONTH(DATE($P$2,$Q$2,17))&lt;&gt;$Q$2,"",DATE($P$2,$Q$2,17))</f>
        <v>45674</v>
      </c>
      <c r="B21" s="73"/>
      <c r="C21" s="73"/>
      <c r="D21" s="74"/>
      <c r="E21" s="142"/>
      <c r="F21" s="142"/>
      <c r="G21" s="77"/>
      <c r="H21" s="73"/>
      <c r="I21" s="73"/>
      <c r="J21" s="76"/>
      <c r="K21" s="73"/>
      <c r="L21" s="73"/>
      <c r="M21" s="73"/>
      <c r="N21" s="75"/>
      <c r="O21" s="77"/>
      <c r="P21" s="99"/>
    </row>
    <row r="22" spans="1:16" ht="24.95" customHeight="1">
      <c r="A22" s="68">
        <f>IF(MONTH(DATE($P$2,$Q$2,18))&lt;&gt;$Q$2,"",DATE($P$2,$Q$2,18))</f>
        <v>45675</v>
      </c>
      <c r="B22" s="73"/>
      <c r="C22" s="73"/>
      <c r="D22" s="74"/>
      <c r="E22" s="142"/>
      <c r="F22" s="142"/>
      <c r="G22" s="77"/>
      <c r="H22" s="73"/>
      <c r="I22" s="73"/>
      <c r="J22" s="76"/>
      <c r="K22" s="73"/>
      <c r="L22" s="73"/>
      <c r="M22" s="73"/>
      <c r="N22" s="75"/>
      <c r="O22" s="77"/>
      <c r="P22" s="99"/>
    </row>
    <row r="23" spans="1:16" ht="24.95" customHeight="1">
      <c r="A23" s="68">
        <f>IF(MONTH(DATE($P$2,$Q$2,19))&lt;&gt;$Q$2,"",DATE($P$2,$Q$2,19))</f>
        <v>45676</v>
      </c>
      <c r="B23" s="73"/>
      <c r="C23" s="73"/>
      <c r="D23" s="74"/>
      <c r="E23" s="142"/>
      <c r="F23" s="142"/>
      <c r="G23" s="77"/>
      <c r="H23" s="73"/>
      <c r="I23" s="73"/>
      <c r="J23" s="76"/>
      <c r="K23" s="73"/>
      <c r="L23" s="73"/>
      <c r="M23" s="73"/>
      <c r="N23" s="75"/>
      <c r="O23" s="77"/>
      <c r="P23" s="99"/>
    </row>
    <row r="24" spans="1:16" ht="24.95" customHeight="1">
      <c r="A24" s="68">
        <f>IF(MONTH(DATE($P$2,$Q$2,20))&lt;&gt;$Q$2,"",DATE($P$2,$Q$2,20))</f>
        <v>45677</v>
      </c>
      <c r="B24" s="73"/>
      <c r="C24" s="73"/>
      <c r="D24" s="74"/>
      <c r="E24" s="142"/>
      <c r="F24" s="142"/>
      <c r="G24" s="77"/>
      <c r="H24" s="73"/>
      <c r="I24" s="73"/>
      <c r="J24" s="76"/>
      <c r="K24" s="73"/>
      <c r="L24" s="73"/>
      <c r="M24" s="73"/>
      <c r="N24" s="75"/>
      <c r="O24" s="77"/>
      <c r="P24" s="99"/>
    </row>
    <row r="25" spans="1:16" ht="24.95" customHeight="1">
      <c r="A25" s="68">
        <f>IF(MONTH(DATE($P$2,$Q$2,21))&lt;&gt;$Q$2,"",DATE($P$2,$Q$2,21))</f>
        <v>45678</v>
      </c>
      <c r="B25" s="73"/>
      <c r="C25" s="73"/>
      <c r="D25" s="74"/>
      <c r="E25" s="142"/>
      <c r="F25" s="142"/>
      <c r="G25" s="77"/>
      <c r="H25" s="73"/>
      <c r="I25" s="73"/>
      <c r="J25" s="76"/>
      <c r="K25" s="73"/>
      <c r="L25" s="73"/>
      <c r="M25" s="73"/>
      <c r="N25" s="75"/>
      <c r="O25" s="77"/>
      <c r="P25" s="99"/>
    </row>
    <row r="26" spans="1:16" ht="24.95" customHeight="1">
      <c r="A26" s="68">
        <f>IF(MONTH(DATE($P$2,$Q$2,22))&lt;&gt;$Q$2,"",DATE($P$2,$Q$2,22))</f>
        <v>45679</v>
      </c>
      <c r="B26" s="73"/>
      <c r="C26" s="73"/>
      <c r="D26" s="74"/>
      <c r="E26" s="142"/>
      <c r="F26" s="142"/>
      <c r="G26" s="77"/>
      <c r="H26" s="73"/>
      <c r="I26" s="73"/>
      <c r="J26" s="76"/>
      <c r="K26" s="73"/>
      <c r="L26" s="73"/>
      <c r="M26" s="73"/>
      <c r="N26" s="75"/>
      <c r="O26" s="77"/>
      <c r="P26" s="99"/>
    </row>
    <row r="27" spans="1:16" ht="24.95" customHeight="1">
      <c r="A27" s="68">
        <f>IF(MONTH(DATE($P$2,$Q$2,23))&lt;&gt;$Q$2,"",DATE($P$2,$Q$2,23))</f>
        <v>45680</v>
      </c>
      <c r="B27" s="73"/>
      <c r="C27" s="73"/>
      <c r="D27" s="74"/>
      <c r="E27" s="142"/>
      <c r="F27" s="142"/>
      <c r="G27" s="77"/>
      <c r="H27" s="73"/>
      <c r="I27" s="73"/>
      <c r="J27" s="76"/>
      <c r="K27" s="73"/>
      <c r="L27" s="73"/>
      <c r="M27" s="73"/>
      <c r="N27" s="75"/>
      <c r="O27" s="77"/>
      <c r="P27" s="99"/>
    </row>
    <row r="28" spans="1:16" ht="24.95" customHeight="1">
      <c r="A28" s="68">
        <f>IF(MONTH(DATE($P$2,$Q$2,24))&lt;&gt;$Q$2,"",DATE($P$2,$Q$2,24))</f>
        <v>45681</v>
      </c>
      <c r="B28" s="73"/>
      <c r="C28" s="73"/>
      <c r="D28" s="74"/>
      <c r="E28" s="142"/>
      <c r="F28" s="142"/>
      <c r="G28" s="77"/>
      <c r="H28" s="73"/>
      <c r="I28" s="73"/>
      <c r="J28" s="76"/>
      <c r="K28" s="73"/>
      <c r="L28" s="73"/>
      <c r="M28" s="73"/>
      <c r="N28" s="75"/>
      <c r="O28" s="77"/>
      <c r="P28" s="99"/>
    </row>
    <row r="29" spans="1:16" ht="24.95" customHeight="1">
      <c r="A29" s="68">
        <f>IF(MONTH(DATE($P$2,$Q$2,25))&lt;&gt;$Q$2,"",DATE($P$2,$Q$2,25))</f>
        <v>45682</v>
      </c>
      <c r="B29" s="73"/>
      <c r="C29" s="73"/>
      <c r="D29" s="74"/>
      <c r="E29" s="142"/>
      <c r="F29" s="142"/>
      <c r="G29" s="77"/>
      <c r="H29" s="73"/>
      <c r="I29" s="73"/>
      <c r="J29" s="76"/>
      <c r="K29" s="73"/>
      <c r="L29" s="73"/>
      <c r="M29" s="73"/>
      <c r="N29" s="75"/>
      <c r="O29" s="77"/>
      <c r="P29" s="99"/>
    </row>
    <row r="30" spans="1:16" ht="24.95" customHeight="1">
      <c r="A30" s="68">
        <f>IF(MONTH(DATE($P$2,$Q$2,26))&lt;&gt;$Q$2,"",DATE($P$2,$Q$2,26))</f>
        <v>45683</v>
      </c>
      <c r="B30" s="73"/>
      <c r="C30" s="73"/>
      <c r="D30" s="74"/>
      <c r="E30" s="142"/>
      <c r="F30" s="142"/>
      <c r="G30" s="77"/>
      <c r="H30" s="73"/>
      <c r="I30" s="73"/>
      <c r="J30" s="76"/>
      <c r="K30" s="73"/>
      <c r="L30" s="73"/>
      <c r="M30" s="73"/>
      <c r="N30" s="75"/>
      <c r="O30" s="77"/>
      <c r="P30" s="99"/>
    </row>
    <row r="31" spans="1:16" ht="24.95" customHeight="1">
      <c r="A31" s="68">
        <f>IF(MONTH(DATE($P$2,$Q$2,27))&lt;&gt;$Q$2,"",DATE($P$2,$Q$2,27))</f>
        <v>45684</v>
      </c>
      <c r="B31" s="73"/>
      <c r="C31" s="73"/>
      <c r="D31" s="74"/>
      <c r="E31" s="142"/>
      <c r="F31" s="142"/>
      <c r="G31" s="77"/>
      <c r="H31" s="73"/>
      <c r="I31" s="73"/>
      <c r="J31" s="76"/>
      <c r="K31" s="73"/>
      <c r="L31" s="73"/>
      <c r="M31" s="73"/>
      <c r="N31" s="75"/>
      <c r="O31" s="77"/>
      <c r="P31" s="98"/>
    </row>
    <row r="32" spans="1:16" ht="24.95" customHeight="1">
      <c r="A32" s="68">
        <f>IF(MONTH(DATE($P$2,$Q$2,28))&lt;&gt;$Q$2,"",DATE($P$2,$Q$2,28))</f>
        <v>45685</v>
      </c>
      <c r="B32" s="73"/>
      <c r="C32" s="73"/>
      <c r="D32" s="74"/>
      <c r="E32" s="142"/>
      <c r="F32" s="142"/>
      <c r="G32" s="77"/>
      <c r="H32" s="73"/>
      <c r="I32" s="73"/>
      <c r="J32" s="76"/>
      <c r="K32" s="73"/>
      <c r="L32" s="73"/>
      <c r="M32" s="73"/>
      <c r="N32" s="75"/>
      <c r="O32" s="77"/>
      <c r="P32" s="98"/>
    </row>
    <row r="33" spans="1:20" ht="24.95" customHeight="1">
      <c r="A33" s="68">
        <f>IF(MONTH(DATE($P$2,$Q$2,29))&lt;&gt;$Q$2,"",DATE($P$2,$Q$2,29))</f>
        <v>45686</v>
      </c>
      <c r="B33" s="73"/>
      <c r="C33" s="73"/>
      <c r="D33" s="74"/>
      <c r="E33" s="142"/>
      <c r="F33" s="142"/>
      <c r="G33" s="77"/>
      <c r="H33" s="73"/>
      <c r="I33" s="73"/>
      <c r="J33" s="76"/>
      <c r="K33" s="73"/>
      <c r="L33" s="73"/>
      <c r="M33" s="73"/>
      <c r="N33" s="75"/>
      <c r="O33" s="77"/>
      <c r="P33" s="98"/>
    </row>
    <row r="34" spans="1:20" ht="24.95" customHeight="1">
      <c r="A34" s="68">
        <f>IF(MONTH(DATE($P$2,$Q$2,30))&lt;&gt;$Q$2,"",DATE($P$2,$Q$2,30))</f>
        <v>45687</v>
      </c>
      <c r="B34" s="73"/>
      <c r="C34" s="73"/>
      <c r="D34" s="74"/>
      <c r="E34" s="142"/>
      <c r="F34" s="142"/>
      <c r="G34" s="77"/>
      <c r="H34" s="73"/>
      <c r="I34" s="73"/>
      <c r="J34" s="76"/>
      <c r="K34" s="73"/>
      <c r="L34" s="73"/>
      <c r="M34" s="73"/>
      <c r="N34" s="75"/>
      <c r="O34" s="77"/>
      <c r="P34" s="98"/>
    </row>
    <row r="35" spans="1:20" ht="24.95" customHeight="1" thickBot="1">
      <c r="A35" s="143">
        <f>IF(MONTH(DATE($P$2,$Q$2,31))&lt;&gt;$Q$2,"",DATE($P$2,$Q$2,31))</f>
        <v>45688</v>
      </c>
      <c r="B35" s="79"/>
      <c r="C35" s="79"/>
      <c r="D35" s="144"/>
      <c r="E35" s="145"/>
      <c r="F35" s="145"/>
      <c r="G35" s="81"/>
      <c r="H35" s="79"/>
      <c r="I35" s="79"/>
      <c r="J35" s="146"/>
      <c r="K35" s="79"/>
      <c r="L35" s="79"/>
      <c r="M35" s="79"/>
      <c r="N35" s="80"/>
      <c r="O35" s="81"/>
      <c r="P35" s="147"/>
    </row>
    <row r="36" spans="1:20" ht="19.5" customHeight="1" thickTop="1" thickBot="1">
      <c r="A36" s="159" t="s">
        <v>74</v>
      </c>
      <c r="B36" s="84">
        <f>SUM(B5:B35)</f>
        <v>0</v>
      </c>
      <c r="C36" s="84">
        <f>SUM(C5:C35)</f>
        <v>0</v>
      </c>
      <c r="D36" s="84">
        <f t="shared" ref="D36:O36" si="0">SUM(D5:D35)</f>
        <v>0</v>
      </c>
      <c r="E36" s="84">
        <f t="shared" ref="E36" si="1">SUM(E5:E35)</f>
        <v>0</v>
      </c>
      <c r="F36" s="84">
        <f t="shared" si="0"/>
        <v>0</v>
      </c>
      <c r="G36" s="84">
        <f t="shared" si="0"/>
        <v>0</v>
      </c>
      <c r="H36" s="84">
        <f t="shared" si="0"/>
        <v>0</v>
      </c>
      <c r="I36" s="84">
        <f t="shared" si="0"/>
        <v>0</v>
      </c>
      <c r="J36" s="84">
        <f t="shared" si="0"/>
        <v>0</v>
      </c>
      <c r="K36" s="84">
        <f>SUM(K5:K35)</f>
        <v>0</v>
      </c>
      <c r="L36" s="84">
        <f>SUM(L5:L35)</f>
        <v>0</v>
      </c>
      <c r="M36" s="84">
        <f>SUM(M5:M35)</f>
        <v>0</v>
      </c>
      <c r="N36" s="84">
        <f t="shared" si="0"/>
        <v>0</v>
      </c>
      <c r="O36" s="84">
        <f t="shared" si="0"/>
        <v>0</v>
      </c>
      <c r="P36" s="148">
        <f>SUM(B36:O36)</f>
        <v>0</v>
      </c>
      <c r="Q36" s="82"/>
    </row>
    <row r="37" spans="1:20" ht="18" customHeight="1" thickTop="1" thickBot="1">
      <c r="A37" s="160"/>
      <c r="B37" s="83">
        <v>1.2</v>
      </c>
      <c r="C37" s="83">
        <v>1.2</v>
      </c>
      <c r="D37" s="83">
        <v>1</v>
      </c>
      <c r="E37" s="83">
        <v>1.0549999999999999</v>
      </c>
      <c r="F37" s="83">
        <v>1.1000000000000001</v>
      </c>
      <c r="G37" s="83">
        <v>1.2</v>
      </c>
      <c r="H37" s="83">
        <v>1</v>
      </c>
      <c r="I37" s="83">
        <v>1</v>
      </c>
      <c r="J37" s="83">
        <v>1</v>
      </c>
      <c r="K37" s="83">
        <v>1</v>
      </c>
      <c r="L37" s="83">
        <v>1.1000000000000001</v>
      </c>
      <c r="M37" s="83">
        <v>1.2</v>
      </c>
      <c r="N37" s="83">
        <v>1.0549999999999999</v>
      </c>
      <c r="O37" s="83">
        <v>1.2</v>
      </c>
      <c r="P37" s="161"/>
    </row>
    <row r="38" spans="1:20" ht="17.25" customHeight="1" thickTop="1" thickBot="1">
      <c r="A38" s="149" t="s">
        <v>75</v>
      </c>
      <c r="B38" s="84">
        <f>B36-B39</f>
        <v>0</v>
      </c>
      <c r="C38" s="84">
        <f t="shared" ref="C38:O38" si="2">+C36/C37</f>
        <v>0</v>
      </c>
      <c r="D38" s="84">
        <f t="shared" si="2"/>
        <v>0</v>
      </c>
      <c r="E38" s="84">
        <f t="shared" ref="E38" si="3">+E36/E37</f>
        <v>0</v>
      </c>
      <c r="F38" s="84">
        <f t="shared" si="2"/>
        <v>0</v>
      </c>
      <c r="G38" s="84">
        <f t="shared" si="2"/>
        <v>0</v>
      </c>
      <c r="H38" s="84">
        <f t="shared" si="2"/>
        <v>0</v>
      </c>
      <c r="I38" s="84">
        <f t="shared" si="2"/>
        <v>0</v>
      </c>
      <c r="J38" s="84">
        <f t="shared" si="2"/>
        <v>0</v>
      </c>
      <c r="K38" s="84">
        <f t="shared" si="2"/>
        <v>0</v>
      </c>
      <c r="L38" s="84">
        <f>+L36/L37</f>
        <v>0</v>
      </c>
      <c r="M38" s="84">
        <f>+M36/M37</f>
        <v>0</v>
      </c>
      <c r="N38" s="84">
        <f t="shared" si="2"/>
        <v>0</v>
      </c>
      <c r="O38" s="84">
        <f t="shared" si="2"/>
        <v>0</v>
      </c>
      <c r="P38" s="161"/>
    </row>
    <row r="39" spans="1:20" ht="14.25" thickTop="1" thickBot="1">
      <c r="A39" s="149" t="s">
        <v>35</v>
      </c>
      <c r="B39" s="84">
        <f>(B36-(B36*100/120))*80%</f>
        <v>0</v>
      </c>
      <c r="C39" s="84">
        <f t="shared" ref="C39:O39" si="4">C36-C38</f>
        <v>0</v>
      </c>
      <c r="D39" s="84">
        <f t="shared" si="4"/>
        <v>0</v>
      </c>
      <c r="E39" s="84">
        <f t="shared" ref="E39" si="5">E36-E38</f>
        <v>0</v>
      </c>
      <c r="F39" s="84">
        <f t="shared" si="4"/>
        <v>0</v>
      </c>
      <c r="G39" s="84">
        <f t="shared" si="4"/>
        <v>0</v>
      </c>
      <c r="H39" s="84">
        <f t="shared" si="4"/>
        <v>0</v>
      </c>
      <c r="I39" s="84">
        <f t="shared" si="4"/>
        <v>0</v>
      </c>
      <c r="J39" s="84">
        <f t="shared" si="4"/>
        <v>0</v>
      </c>
      <c r="K39" s="84">
        <f t="shared" si="4"/>
        <v>0</v>
      </c>
      <c r="L39" s="84">
        <f t="shared" si="4"/>
        <v>0</v>
      </c>
      <c r="M39" s="84">
        <f t="shared" si="4"/>
        <v>0</v>
      </c>
      <c r="N39" s="84">
        <f t="shared" si="4"/>
        <v>0</v>
      </c>
      <c r="O39" s="84">
        <f t="shared" si="4"/>
        <v>0</v>
      </c>
      <c r="P39" s="148">
        <f>SUM(B39:O39)</f>
        <v>0</v>
      </c>
    </row>
    <row r="40" spans="1:20" ht="14.25" thickTop="1" thickBot="1">
      <c r="A40" s="100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T40" s="86"/>
    </row>
    <row r="41" spans="1:20" ht="13.5" thickBot="1">
      <c r="B41" s="179" t="s">
        <v>38</v>
      </c>
      <c r="C41" s="180"/>
      <c r="D41" s="180"/>
      <c r="E41" s="180"/>
      <c r="F41" s="180"/>
      <c r="G41" s="180"/>
      <c r="H41" s="181"/>
      <c r="I41" s="60"/>
      <c r="J41" s="60"/>
      <c r="K41" s="60"/>
      <c r="L41" s="60"/>
      <c r="M41" s="182" t="s">
        <v>37</v>
      </c>
      <c r="N41" s="183"/>
      <c r="O41" s="183"/>
      <c r="P41" s="184"/>
    </row>
    <row r="42" spans="1:20">
      <c r="B42" s="185"/>
      <c r="C42" s="186"/>
      <c r="D42" s="186"/>
      <c r="E42" s="186"/>
      <c r="F42" s="186"/>
      <c r="G42" s="186"/>
      <c r="H42" s="187"/>
      <c r="M42" s="87"/>
      <c r="N42" s="78"/>
      <c r="O42" s="78"/>
      <c r="P42" s="88"/>
    </row>
    <row r="43" spans="1:20">
      <c r="B43" s="188"/>
      <c r="C43" s="189"/>
      <c r="D43" s="189"/>
      <c r="E43" s="189"/>
      <c r="F43" s="189"/>
      <c r="G43" s="189"/>
      <c r="H43" s="190"/>
      <c r="M43" s="87"/>
      <c r="N43" s="78"/>
      <c r="P43" s="89"/>
    </row>
    <row r="44" spans="1:20" ht="39.75" customHeight="1" thickBot="1">
      <c r="B44" s="191"/>
      <c r="C44" s="192"/>
      <c r="D44" s="192"/>
      <c r="E44" s="192"/>
      <c r="F44" s="192"/>
      <c r="G44" s="192"/>
      <c r="H44" s="193"/>
      <c r="M44" s="87"/>
      <c r="N44" s="78"/>
      <c r="O44" s="78"/>
      <c r="P44" s="88"/>
    </row>
    <row r="45" spans="1:20">
      <c r="M45" s="90"/>
      <c r="P45" s="89"/>
    </row>
    <row r="46" spans="1:20">
      <c r="M46" s="87"/>
      <c r="N46" s="78"/>
      <c r="O46" s="78"/>
      <c r="P46" s="88"/>
    </row>
    <row r="47" spans="1:20">
      <c r="A47" s="112" t="s">
        <v>82</v>
      </c>
      <c r="M47" s="87"/>
      <c r="N47" s="78"/>
      <c r="O47" s="78"/>
      <c r="P47" s="88"/>
    </row>
    <row r="48" spans="1:20" ht="8.25" customHeight="1" thickBot="1">
      <c r="M48" s="91"/>
      <c r="N48" s="92"/>
      <c r="O48" s="92"/>
      <c r="P48" s="93"/>
    </row>
  </sheetData>
  <sheetProtection sheet="1" objects="1" scenarios="1"/>
  <mergeCells count="21">
    <mergeCell ref="B41:H41"/>
    <mergeCell ref="M41:P41"/>
    <mergeCell ref="B42:H44"/>
    <mergeCell ref="J3:J4"/>
    <mergeCell ref="K3:K4"/>
    <mergeCell ref="L3:M3"/>
    <mergeCell ref="N3:O3"/>
    <mergeCell ref="P3:P4"/>
    <mergeCell ref="A36:A37"/>
    <mergeCell ref="P37:P38"/>
    <mergeCell ref="A1:B1"/>
    <mergeCell ref="C1:J1"/>
    <mergeCell ref="N1:P1"/>
    <mergeCell ref="C2:J2"/>
    <mergeCell ref="N2:O2"/>
    <mergeCell ref="A3:A4"/>
    <mergeCell ref="B3:B4"/>
    <mergeCell ref="C3:C4"/>
    <mergeCell ref="H3:H4"/>
    <mergeCell ref="I3:I4"/>
    <mergeCell ref="A2:B2"/>
  </mergeCells>
  <conditionalFormatting sqref="A5:A35">
    <cfRule type="containsText" dxfId="13" priority="1" operator="containsText" text="dim">
      <formula>NOT(ISERROR(SEARCH("dim",A5)))</formula>
    </cfRule>
  </conditionalFormatting>
  <dataValidations count="2">
    <dataValidation type="list" allowBlank="1" showInputMessage="1" showErrorMessage="1" sqref="N2">
      <formula1>"JANVIER, FEVRIER, MARS, AVRIL, MAI, JUIN, JUILLET,AOUT,SEPTEMBRE,OCTOBRE,NOVEMBRE,DECEMBRE"</formula1>
    </dataValidation>
    <dataValidation type="list" showInputMessage="1" sqref="C2">
      <formula1>"SOS OXYGENE PARTICIPATIONS"</formula1>
    </dataValidation>
  </dataValidations>
  <printOptions horizontalCentered="1" verticalCentered="1"/>
  <pageMargins left="0" right="0" top="0" bottom="0" header="0" footer="0"/>
  <pageSetup paperSize="9" scale="6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48"/>
  <sheetViews>
    <sheetView showGridLines="0" workbookViewId="0">
      <pane xSplit="1" ySplit="4" topLeftCell="B5" activePane="bottomRight" state="frozen"/>
      <selection activeCell="A68" sqref="A68:XFD75"/>
      <selection pane="topRight" activeCell="A68" sqref="A68:XFD75"/>
      <selection pane="bottomLeft" activeCell="A68" sqref="A68:XFD75"/>
      <selection pane="bottomRight" activeCell="Q2" sqref="Q2"/>
    </sheetView>
  </sheetViews>
  <sheetFormatPr baseColWidth="10" defaultColWidth="8.7109375" defaultRowHeight="12.75"/>
  <cols>
    <col min="1" max="1" width="7.42578125" style="59" customWidth="1"/>
    <col min="2" max="2" width="10.28515625" style="59" customWidth="1"/>
    <col min="3" max="3" width="9.42578125" style="59" customWidth="1"/>
    <col min="4" max="4" width="7.85546875" style="59" customWidth="1"/>
    <col min="5" max="5" width="7.85546875" style="138" customWidth="1"/>
    <col min="6" max="7" width="7.85546875" style="59" customWidth="1"/>
    <col min="8" max="8" width="8.85546875" style="59" customWidth="1"/>
    <col min="9" max="9" width="9.42578125" style="59" customWidth="1"/>
    <col min="10" max="10" width="7.42578125" style="59" customWidth="1"/>
    <col min="11" max="11" width="10.7109375" style="59" customWidth="1"/>
    <col min="12" max="15" width="9.7109375" style="59" customWidth="1"/>
    <col min="16" max="16" width="29.85546875" style="59" customWidth="1"/>
    <col min="17" max="17" width="15" style="59" customWidth="1"/>
    <col min="18" max="23" width="8.7109375" style="59"/>
    <col min="24" max="24" width="8.7109375" style="78"/>
    <col min="25" max="26" width="0" style="78" hidden="1" customWidth="1"/>
    <col min="27" max="16384" width="8.7109375" style="59"/>
  </cols>
  <sheetData>
    <row r="1" spans="1:26" ht="21" thickBot="1">
      <c r="A1" s="162" t="s">
        <v>6</v>
      </c>
      <c r="B1" s="163"/>
      <c r="C1" s="164"/>
      <c r="D1" s="165"/>
      <c r="E1" s="165"/>
      <c r="F1" s="165"/>
      <c r="G1" s="165"/>
      <c r="H1" s="165"/>
      <c r="I1" s="165"/>
      <c r="J1" s="166"/>
      <c r="K1" s="61"/>
      <c r="L1" s="61"/>
      <c r="M1" s="61" t="s">
        <v>7</v>
      </c>
      <c r="N1" s="203"/>
      <c r="O1" s="168"/>
      <c r="P1" s="169"/>
      <c r="X1" s="59"/>
      <c r="Y1" s="62" t="s">
        <v>1</v>
      </c>
      <c r="Z1" s="62">
        <v>8</v>
      </c>
    </row>
    <row r="2" spans="1:26" ht="32.25" customHeight="1" thickBot="1">
      <c r="A2" s="162" t="s">
        <v>3</v>
      </c>
      <c r="B2" s="163"/>
      <c r="C2" s="170"/>
      <c r="D2" s="171"/>
      <c r="E2" s="171"/>
      <c r="F2" s="171"/>
      <c r="G2" s="171"/>
      <c r="H2" s="171"/>
      <c r="I2" s="171"/>
      <c r="J2" s="172"/>
      <c r="K2" s="63"/>
      <c r="L2" s="94"/>
      <c r="M2" s="61" t="s">
        <v>69</v>
      </c>
      <c r="N2" s="173" t="s">
        <v>8</v>
      </c>
      <c r="O2" s="173"/>
      <c r="P2" s="64">
        <v>2020</v>
      </c>
      <c r="Q2" s="65">
        <f>VLOOKUP(N2,$Y$1:$Z$12,2)</f>
        <v>1</v>
      </c>
      <c r="X2" s="59"/>
      <c r="Y2" s="62" t="s">
        <v>2</v>
      </c>
      <c r="Z2" s="62">
        <v>4</v>
      </c>
    </row>
    <row r="3" spans="1:26" ht="20.25" customHeight="1" thickBot="1">
      <c r="A3" s="174" t="s">
        <v>14</v>
      </c>
      <c r="B3" s="176" t="s">
        <v>76</v>
      </c>
      <c r="C3" s="176" t="s">
        <v>70</v>
      </c>
      <c r="D3" s="110" t="s">
        <v>17</v>
      </c>
      <c r="E3" s="111"/>
      <c r="F3" s="111"/>
      <c r="G3" s="111"/>
      <c r="H3" s="174" t="s">
        <v>71</v>
      </c>
      <c r="I3" s="176" t="s">
        <v>77</v>
      </c>
      <c r="J3" s="176" t="s">
        <v>19</v>
      </c>
      <c r="K3" s="194" t="s">
        <v>72</v>
      </c>
      <c r="L3" s="196" t="s">
        <v>81</v>
      </c>
      <c r="M3" s="197"/>
      <c r="N3" s="198" t="s">
        <v>22</v>
      </c>
      <c r="O3" s="199"/>
      <c r="P3" s="200" t="s">
        <v>73</v>
      </c>
      <c r="Q3" s="66"/>
      <c r="X3" s="59"/>
      <c r="Y3" s="62" t="s">
        <v>4</v>
      </c>
      <c r="Z3" s="62">
        <v>12</v>
      </c>
    </row>
    <row r="4" spans="1:26" ht="23.25" customHeight="1" thickBot="1">
      <c r="A4" s="175"/>
      <c r="B4" s="177"/>
      <c r="C4" s="178"/>
      <c r="D4" s="67" t="s">
        <v>24</v>
      </c>
      <c r="E4" s="150" t="s">
        <v>102</v>
      </c>
      <c r="F4" s="104" t="s">
        <v>79</v>
      </c>
      <c r="G4" s="105" t="s">
        <v>26</v>
      </c>
      <c r="H4" s="175"/>
      <c r="I4" s="177"/>
      <c r="J4" s="177"/>
      <c r="K4" s="195"/>
      <c r="L4" s="108" t="s">
        <v>79</v>
      </c>
      <c r="M4" s="109" t="s">
        <v>26</v>
      </c>
      <c r="N4" s="108" t="s">
        <v>25</v>
      </c>
      <c r="O4" s="109" t="s">
        <v>26</v>
      </c>
      <c r="P4" s="201"/>
      <c r="X4" s="59"/>
      <c r="Y4" s="62" t="s">
        <v>5</v>
      </c>
      <c r="Z4" s="62">
        <v>2</v>
      </c>
    </row>
    <row r="5" spans="1:26" ht="24.95" customHeight="1">
      <c r="A5" s="68">
        <f>IF(MONTH(DATE($P$2,$Q$2,1))&lt;&gt;$Q$2,"",DATE($P$2,$Q$2,1))</f>
        <v>43831</v>
      </c>
      <c r="B5" s="95"/>
      <c r="C5" s="95"/>
      <c r="D5" s="70"/>
      <c r="E5" s="140"/>
      <c r="F5" s="71"/>
      <c r="G5" s="106"/>
      <c r="H5" s="95"/>
      <c r="I5" s="95"/>
      <c r="J5" s="96"/>
      <c r="K5" s="95"/>
      <c r="L5" s="69"/>
      <c r="M5" s="69"/>
      <c r="N5" s="71"/>
      <c r="O5" s="72"/>
      <c r="P5" s="97"/>
      <c r="X5" s="59"/>
      <c r="Y5" s="62" t="s">
        <v>8</v>
      </c>
      <c r="Z5" s="62">
        <v>1</v>
      </c>
    </row>
    <row r="6" spans="1:26" ht="24.95" customHeight="1">
      <c r="A6" s="68">
        <f>IF(MONTH(DATE($P$2,$Q$2,2))&lt;&gt;$Q$2,"",DATE($P$2,$Q$2,2))</f>
        <v>43832</v>
      </c>
      <c r="B6" s="73"/>
      <c r="C6" s="73"/>
      <c r="D6" s="74"/>
      <c r="E6" s="142"/>
      <c r="F6" s="75"/>
      <c r="G6" s="107"/>
      <c r="H6" s="73"/>
      <c r="I6" s="73"/>
      <c r="J6" s="76"/>
      <c r="K6" s="73"/>
      <c r="L6" s="73"/>
      <c r="M6" s="73"/>
      <c r="N6" s="75"/>
      <c r="O6" s="77"/>
      <c r="P6" s="98"/>
      <c r="X6" s="59"/>
      <c r="Y6" s="62" t="s">
        <v>9</v>
      </c>
      <c r="Z6" s="62">
        <v>7</v>
      </c>
    </row>
    <row r="7" spans="1:26" ht="24.95" customHeight="1">
      <c r="A7" s="68">
        <f>IF(MONTH(DATE($P$2,$Q$2,3))&lt;&gt;$Q$2,"",DATE($P$2,$Q$2,3))</f>
        <v>43833</v>
      </c>
      <c r="B7" s="73"/>
      <c r="C7" s="73"/>
      <c r="D7" s="74"/>
      <c r="E7" s="142"/>
      <c r="F7" s="75"/>
      <c r="G7" s="107"/>
      <c r="H7" s="73"/>
      <c r="I7" s="73"/>
      <c r="J7" s="76"/>
      <c r="K7" s="73"/>
      <c r="L7" s="73"/>
      <c r="M7" s="73"/>
      <c r="N7" s="75"/>
      <c r="O7" s="77"/>
      <c r="P7" s="98"/>
      <c r="X7" s="59"/>
      <c r="Y7" s="62" t="s">
        <v>12</v>
      </c>
      <c r="Z7" s="62">
        <v>6</v>
      </c>
    </row>
    <row r="8" spans="1:26" ht="24.95" customHeight="1">
      <c r="A8" s="68">
        <f>IF(MONTH(DATE($P$2,$Q$2,4))&lt;&gt;$Q$2,"",DATE($P$2,$Q$2,4))</f>
        <v>43834</v>
      </c>
      <c r="B8" s="73"/>
      <c r="C8" s="73"/>
      <c r="D8" s="74"/>
      <c r="E8" s="142"/>
      <c r="F8" s="75"/>
      <c r="G8" s="107"/>
      <c r="H8" s="73"/>
      <c r="I8" s="73"/>
      <c r="J8" s="76"/>
      <c r="K8" s="73"/>
      <c r="L8" s="73"/>
      <c r="M8" s="73"/>
      <c r="N8" s="75"/>
      <c r="O8" s="77"/>
      <c r="P8" s="98"/>
      <c r="X8" s="59"/>
      <c r="Y8" s="62" t="s">
        <v>13</v>
      </c>
      <c r="Z8" s="62">
        <v>5</v>
      </c>
    </row>
    <row r="9" spans="1:26" ht="24.95" customHeight="1">
      <c r="A9" s="68">
        <f>IF(MONTH(DATE($P$2,$Q$2,5))&lt;&gt;$Q$2,"",DATE($P$2,$Q$2,5))</f>
        <v>43835</v>
      </c>
      <c r="B9" s="73"/>
      <c r="C9" s="73"/>
      <c r="D9" s="74"/>
      <c r="E9" s="142"/>
      <c r="F9" s="75"/>
      <c r="G9" s="107"/>
      <c r="H9" s="73"/>
      <c r="I9" s="73"/>
      <c r="J9" s="76"/>
      <c r="K9" s="73"/>
      <c r="L9" s="73"/>
      <c r="M9" s="73"/>
      <c r="N9" s="75"/>
      <c r="O9" s="77"/>
      <c r="P9" s="98"/>
      <c r="X9" s="59"/>
      <c r="Y9" s="62" t="s">
        <v>23</v>
      </c>
      <c r="Z9" s="62">
        <v>3</v>
      </c>
    </row>
    <row r="10" spans="1:26" ht="24.95" customHeight="1">
      <c r="A10" s="68">
        <f>IF(MONTH(DATE($P$2,$Q$2,6))&lt;&gt;$Q$2,"",DATE($P$2,$Q$2,6))</f>
        <v>43836</v>
      </c>
      <c r="B10" s="73"/>
      <c r="C10" s="73"/>
      <c r="D10" s="74"/>
      <c r="E10" s="142"/>
      <c r="F10" s="75"/>
      <c r="G10" s="107"/>
      <c r="H10" s="73"/>
      <c r="I10" s="73"/>
      <c r="J10" s="76"/>
      <c r="K10" s="73"/>
      <c r="L10" s="73"/>
      <c r="M10" s="73"/>
      <c r="N10" s="75"/>
      <c r="O10" s="77"/>
      <c r="P10" s="98"/>
      <c r="X10" s="59"/>
      <c r="Y10" s="62" t="s">
        <v>28</v>
      </c>
      <c r="Z10" s="62">
        <v>11</v>
      </c>
    </row>
    <row r="11" spans="1:26" ht="24.95" customHeight="1">
      <c r="A11" s="68">
        <f>IF(MONTH(DATE($P$2,$Q$2,7))&lt;&gt;$Q$2,"",DATE($P$2,$Q$2,7))</f>
        <v>43837</v>
      </c>
      <c r="B11" s="73"/>
      <c r="C11" s="73"/>
      <c r="D11" s="74"/>
      <c r="E11" s="142"/>
      <c r="F11" s="75"/>
      <c r="G11" s="107"/>
      <c r="H11" s="73"/>
      <c r="I11" s="73"/>
      <c r="J11" s="76"/>
      <c r="K11" s="73"/>
      <c r="L11" s="73"/>
      <c r="M11" s="73"/>
      <c r="N11" s="75"/>
      <c r="O11" s="77"/>
      <c r="P11" s="99"/>
      <c r="X11" s="59"/>
      <c r="Y11" s="62" t="s">
        <v>29</v>
      </c>
      <c r="Z11" s="62">
        <v>10</v>
      </c>
    </row>
    <row r="12" spans="1:26" ht="24.95" customHeight="1">
      <c r="A12" s="68">
        <f>IF(MONTH(DATE($P$2,$Q$2,8))&lt;&gt;$Q$2,"",DATE($P$2,$Q$2,8))</f>
        <v>43838</v>
      </c>
      <c r="B12" s="73"/>
      <c r="C12" s="73"/>
      <c r="D12" s="74"/>
      <c r="E12" s="142"/>
      <c r="F12" s="75"/>
      <c r="G12" s="107"/>
      <c r="H12" s="73"/>
      <c r="I12" s="73"/>
      <c r="J12" s="76"/>
      <c r="K12" s="73"/>
      <c r="L12" s="73"/>
      <c r="M12" s="73"/>
      <c r="N12" s="75"/>
      <c r="O12" s="77"/>
      <c r="P12" s="98"/>
      <c r="X12" s="59"/>
      <c r="Y12" s="62" t="s">
        <v>30</v>
      </c>
      <c r="Z12" s="62">
        <v>9</v>
      </c>
    </row>
    <row r="13" spans="1:26" ht="24.95" customHeight="1">
      <c r="A13" s="68">
        <f>IF(MONTH(DATE($P$2,$Q$2,9))&lt;&gt;$Q$2,"",DATE($P$2,$Q$2,9))</f>
        <v>43839</v>
      </c>
      <c r="B13" s="73"/>
      <c r="C13" s="73"/>
      <c r="D13" s="74"/>
      <c r="E13" s="142"/>
      <c r="F13" s="75"/>
      <c r="G13" s="107"/>
      <c r="H13" s="73"/>
      <c r="I13" s="73"/>
      <c r="J13" s="76"/>
      <c r="K13" s="73"/>
      <c r="L13" s="73"/>
      <c r="M13" s="73"/>
      <c r="N13" s="75"/>
      <c r="O13" s="77"/>
      <c r="P13" s="99"/>
      <c r="X13" s="59"/>
    </row>
    <row r="14" spans="1:26" ht="24.95" customHeight="1">
      <c r="A14" s="68">
        <f>IF(MONTH(DATE($P$2,$Q$2,10))&lt;&gt;$Q$2,"",DATE($P$2,$Q$2,10))</f>
        <v>43840</v>
      </c>
      <c r="B14" s="73"/>
      <c r="C14" s="73"/>
      <c r="D14" s="74"/>
      <c r="E14" s="142"/>
      <c r="F14" s="75"/>
      <c r="G14" s="107"/>
      <c r="H14" s="73"/>
      <c r="I14" s="73"/>
      <c r="J14" s="76"/>
      <c r="K14" s="73"/>
      <c r="L14" s="73"/>
      <c r="M14" s="73"/>
      <c r="N14" s="75"/>
      <c r="O14" s="77"/>
      <c r="P14" s="99"/>
      <c r="X14" s="59"/>
    </row>
    <row r="15" spans="1:26" ht="24.95" customHeight="1">
      <c r="A15" s="68">
        <f>IF(MONTH(DATE($P$2,$Q$2,11))&lt;&gt;$Q$2,"",DATE($P$2,$Q$2,11))</f>
        <v>43841</v>
      </c>
      <c r="B15" s="73"/>
      <c r="C15" s="73"/>
      <c r="D15" s="74"/>
      <c r="E15" s="142"/>
      <c r="F15" s="75"/>
      <c r="G15" s="107"/>
      <c r="H15" s="73"/>
      <c r="I15" s="73"/>
      <c r="J15" s="76"/>
      <c r="K15" s="73"/>
      <c r="L15" s="73"/>
      <c r="M15" s="73"/>
      <c r="N15" s="75"/>
      <c r="O15" s="77"/>
      <c r="P15" s="98"/>
    </row>
    <row r="16" spans="1:26" ht="24.95" customHeight="1">
      <c r="A16" s="68">
        <f>IF(MONTH(DATE($P$2,$Q$2,12))&lt;&gt;$Q$2,"",DATE($P$2,$Q$2,12))</f>
        <v>43842</v>
      </c>
      <c r="B16" s="73"/>
      <c r="C16" s="73"/>
      <c r="D16" s="74"/>
      <c r="E16" s="142"/>
      <c r="F16" s="75"/>
      <c r="G16" s="107"/>
      <c r="H16" s="73"/>
      <c r="I16" s="73"/>
      <c r="J16" s="76"/>
      <c r="K16" s="73"/>
      <c r="L16" s="73"/>
      <c r="M16" s="73"/>
      <c r="N16" s="75"/>
      <c r="O16" s="77"/>
      <c r="P16" s="98"/>
    </row>
    <row r="17" spans="1:16" ht="24.95" customHeight="1">
      <c r="A17" s="68">
        <f>IF(MONTH(DATE($P$2,$Q$2,13))&lt;&gt;$Q$2,"",DATE($P$2,$Q$2,13))</f>
        <v>43843</v>
      </c>
      <c r="B17" s="73"/>
      <c r="C17" s="73"/>
      <c r="D17" s="74"/>
      <c r="E17" s="142"/>
      <c r="F17" s="75"/>
      <c r="G17" s="107"/>
      <c r="H17" s="73"/>
      <c r="I17" s="73"/>
      <c r="J17" s="76"/>
      <c r="K17" s="73"/>
      <c r="L17" s="73"/>
      <c r="M17" s="73"/>
      <c r="N17" s="75"/>
      <c r="O17" s="77"/>
      <c r="P17" s="98"/>
    </row>
    <row r="18" spans="1:16" ht="24.95" customHeight="1">
      <c r="A18" s="68">
        <f>IF(MONTH(DATE($P$2,$Q$2,14))&lt;&gt;$Q$2,"",DATE($P$2,$Q$2,14))</f>
        <v>43844</v>
      </c>
      <c r="B18" s="73"/>
      <c r="C18" s="73"/>
      <c r="D18" s="74"/>
      <c r="E18" s="142"/>
      <c r="F18" s="75"/>
      <c r="G18" s="107"/>
      <c r="H18" s="73"/>
      <c r="I18" s="73"/>
      <c r="J18" s="76"/>
      <c r="K18" s="73"/>
      <c r="L18" s="73"/>
      <c r="M18" s="73"/>
      <c r="N18" s="75"/>
      <c r="O18" s="77"/>
      <c r="P18" s="98"/>
    </row>
    <row r="19" spans="1:16" ht="24.95" customHeight="1">
      <c r="A19" s="68">
        <f>IF(MONTH(DATE($P$2,$Q$2,15))&lt;&gt;$Q$2,"",DATE($P$2,$Q$2,15))</f>
        <v>43845</v>
      </c>
      <c r="B19" s="73"/>
      <c r="C19" s="73"/>
      <c r="D19" s="74"/>
      <c r="E19" s="142"/>
      <c r="F19" s="75"/>
      <c r="G19" s="107"/>
      <c r="H19" s="73"/>
      <c r="I19" s="73"/>
      <c r="J19" s="76"/>
      <c r="K19" s="73"/>
      <c r="L19" s="73"/>
      <c r="M19" s="73"/>
      <c r="N19" s="75"/>
      <c r="O19" s="77"/>
      <c r="P19" s="98"/>
    </row>
    <row r="20" spans="1:16" ht="24.95" customHeight="1">
      <c r="A20" s="68">
        <f>IF(MONTH(DATE($P$2,$Q$2,16))&lt;&gt;$Q$2,"",DATE($P$2,$Q$2,16))</f>
        <v>43846</v>
      </c>
      <c r="B20" s="73"/>
      <c r="C20" s="73"/>
      <c r="D20" s="74"/>
      <c r="E20" s="142"/>
      <c r="F20" s="75"/>
      <c r="G20" s="107"/>
      <c r="H20" s="73"/>
      <c r="I20" s="73"/>
      <c r="J20" s="76"/>
      <c r="K20" s="73"/>
      <c r="L20" s="73"/>
      <c r="M20" s="73"/>
      <c r="N20" s="75"/>
      <c r="O20" s="77"/>
      <c r="P20" s="99"/>
    </row>
    <row r="21" spans="1:16" ht="24.95" customHeight="1">
      <c r="A21" s="68">
        <f>IF(MONTH(DATE($P$2,$Q$2,17))&lt;&gt;$Q$2,"",DATE($P$2,$Q$2,17))</f>
        <v>43847</v>
      </c>
      <c r="B21" s="73"/>
      <c r="C21" s="73"/>
      <c r="D21" s="74"/>
      <c r="E21" s="142"/>
      <c r="F21" s="75"/>
      <c r="G21" s="107"/>
      <c r="H21" s="73"/>
      <c r="I21" s="73"/>
      <c r="J21" s="76"/>
      <c r="K21" s="73"/>
      <c r="L21" s="73"/>
      <c r="M21" s="73"/>
      <c r="N21" s="75"/>
      <c r="O21" s="77"/>
      <c r="P21" s="99"/>
    </row>
    <row r="22" spans="1:16" ht="24.95" customHeight="1">
      <c r="A22" s="68">
        <f>IF(MONTH(DATE($P$2,$Q$2,18))&lt;&gt;$Q$2,"",DATE($P$2,$Q$2,18))</f>
        <v>43848</v>
      </c>
      <c r="B22" s="73"/>
      <c r="C22" s="73"/>
      <c r="D22" s="74"/>
      <c r="E22" s="142"/>
      <c r="F22" s="75"/>
      <c r="G22" s="107"/>
      <c r="H22" s="73"/>
      <c r="I22" s="73"/>
      <c r="J22" s="76"/>
      <c r="K22" s="73"/>
      <c r="L22" s="73"/>
      <c r="M22" s="73"/>
      <c r="N22" s="75"/>
      <c r="O22" s="77"/>
      <c r="P22" s="99"/>
    </row>
    <row r="23" spans="1:16" ht="24.95" customHeight="1">
      <c r="A23" s="68">
        <f>IF(MONTH(DATE($P$2,$Q$2,19))&lt;&gt;$Q$2,"",DATE($P$2,$Q$2,19))</f>
        <v>43849</v>
      </c>
      <c r="B23" s="73"/>
      <c r="C23" s="73"/>
      <c r="D23" s="74"/>
      <c r="E23" s="142"/>
      <c r="F23" s="75"/>
      <c r="G23" s="107"/>
      <c r="H23" s="73"/>
      <c r="I23" s="73"/>
      <c r="J23" s="76"/>
      <c r="K23" s="73"/>
      <c r="L23" s="73"/>
      <c r="M23" s="73"/>
      <c r="N23" s="75"/>
      <c r="O23" s="77"/>
      <c r="P23" s="99"/>
    </row>
    <row r="24" spans="1:16" ht="24.95" customHeight="1">
      <c r="A24" s="68">
        <f>IF(MONTH(DATE($P$2,$Q$2,20))&lt;&gt;$Q$2,"",DATE($P$2,$Q$2,20))</f>
        <v>43850</v>
      </c>
      <c r="B24" s="73"/>
      <c r="C24" s="73"/>
      <c r="D24" s="74"/>
      <c r="E24" s="142"/>
      <c r="F24" s="75"/>
      <c r="G24" s="107"/>
      <c r="H24" s="73"/>
      <c r="I24" s="73"/>
      <c r="J24" s="76"/>
      <c r="K24" s="73"/>
      <c r="L24" s="73"/>
      <c r="M24" s="73"/>
      <c r="N24" s="75"/>
      <c r="O24" s="77"/>
      <c r="P24" s="99"/>
    </row>
    <row r="25" spans="1:16" ht="24.95" customHeight="1">
      <c r="A25" s="68">
        <f>IF(MONTH(DATE($P$2,$Q$2,21))&lt;&gt;$Q$2,"",DATE($P$2,$Q$2,21))</f>
        <v>43851</v>
      </c>
      <c r="B25" s="73"/>
      <c r="C25" s="73"/>
      <c r="D25" s="74"/>
      <c r="E25" s="142"/>
      <c r="F25" s="75"/>
      <c r="G25" s="107"/>
      <c r="H25" s="73"/>
      <c r="I25" s="73"/>
      <c r="J25" s="76"/>
      <c r="K25" s="73"/>
      <c r="L25" s="73"/>
      <c r="M25" s="73"/>
      <c r="N25" s="75"/>
      <c r="O25" s="77"/>
      <c r="P25" s="99"/>
    </row>
    <row r="26" spans="1:16" ht="24.95" customHeight="1">
      <c r="A26" s="68">
        <f>IF(MONTH(DATE($P$2,$Q$2,22))&lt;&gt;$Q$2,"",DATE($P$2,$Q$2,22))</f>
        <v>43852</v>
      </c>
      <c r="B26" s="73"/>
      <c r="C26" s="73"/>
      <c r="D26" s="74"/>
      <c r="E26" s="142"/>
      <c r="F26" s="75"/>
      <c r="G26" s="107"/>
      <c r="H26" s="73"/>
      <c r="I26" s="73"/>
      <c r="J26" s="76"/>
      <c r="K26" s="73"/>
      <c r="L26" s="73"/>
      <c r="M26" s="73"/>
      <c r="N26" s="75"/>
      <c r="O26" s="77"/>
      <c r="P26" s="99"/>
    </row>
    <row r="27" spans="1:16" ht="24.95" customHeight="1">
      <c r="A27" s="68">
        <f>IF(MONTH(DATE($P$2,$Q$2,23))&lt;&gt;$Q$2,"",DATE($P$2,$Q$2,23))</f>
        <v>43853</v>
      </c>
      <c r="B27" s="73"/>
      <c r="C27" s="73"/>
      <c r="D27" s="74"/>
      <c r="E27" s="142"/>
      <c r="F27" s="75"/>
      <c r="G27" s="107"/>
      <c r="H27" s="73"/>
      <c r="I27" s="73"/>
      <c r="J27" s="76"/>
      <c r="K27" s="73"/>
      <c r="L27" s="73"/>
      <c r="M27" s="73"/>
      <c r="N27" s="75"/>
      <c r="O27" s="77"/>
      <c r="P27" s="99"/>
    </row>
    <row r="28" spans="1:16" ht="24.95" customHeight="1">
      <c r="A28" s="68">
        <f>IF(MONTH(DATE($P$2,$Q$2,24))&lt;&gt;$Q$2,"",DATE($P$2,$Q$2,24))</f>
        <v>43854</v>
      </c>
      <c r="B28" s="73"/>
      <c r="C28" s="73"/>
      <c r="D28" s="74"/>
      <c r="E28" s="142"/>
      <c r="F28" s="75"/>
      <c r="G28" s="107"/>
      <c r="H28" s="73"/>
      <c r="I28" s="73"/>
      <c r="J28" s="76"/>
      <c r="K28" s="73"/>
      <c r="L28" s="73"/>
      <c r="M28" s="73"/>
      <c r="N28" s="75"/>
      <c r="O28" s="77"/>
      <c r="P28" s="99"/>
    </row>
    <row r="29" spans="1:16" ht="24.95" customHeight="1">
      <c r="A29" s="68">
        <f>IF(MONTH(DATE($P$2,$Q$2,25))&lt;&gt;$Q$2,"",DATE($P$2,$Q$2,25))</f>
        <v>43855</v>
      </c>
      <c r="B29" s="73"/>
      <c r="C29" s="73"/>
      <c r="D29" s="74"/>
      <c r="E29" s="142"/>
      <c r="F29" s="75"/>
      <c r="G29" s="107"/>
      <c r="H29" s="73"/>
      <c r="I29" s="73"/>
      <c r="J29" s="76"/>
      <c r="K29" s="73"/>
      <c r="L29" s="73"/>
      <c r="M29" s="73"/>
      <c r="N29" s="75"/>
      <c r="O29" s="77"/>
      <c r="P29" s="99"/>
    </row>
    <row r="30" spans="1:16" ht="24.95" customHeight="1">
      <c r="A30" s="68">
        <f>IF(MONTH(DATE($P$2,$Q$2,26))&lt;&gt;$Q$2,"",DATE($P$2,$Q$2,26))</f>
        <v>43856</v>
      </c>
      <c r="B30" s="73"/>
      <c r="C30" s="73"/>
      <c r="D30" s="74"/>
      <c r="E30" s="142"/>
      <c r="F30" s="75"/>
      <c r="G30" s="107"/>
      <c r="H30" s="73"/>
      <c r="I30" s="73"/>
      <c r="J30" s="76"/>
      <c r="K30" s="73"/>
      <c r="L30" s="73"/>
      <c r="M30" s="73"/>
      <c r="N30" s="75"/>
      <c r="O30" s="77"/>
      <c r="P30" s="99"/>
    </row>
    <row r="31" spans="1:16" ht="24.95" customHeight="1">
      <c r="A31" s="68">
        <f>IF(MONTH(DATE($P$2,$Q$2,27))&lt;&gt;$Q$2,"",DATE($P$2,$Q$2,27))</f>
        <v>43857</v>
      </c>
      <c r="B31" s="73"/>
      <c r="C31" s="73"/>
      <c r="D31" s="74"/>
      <c r="E31" s="142"/>
      <c r="F31" s="75"/>
      <c r="G31" s="107"/>
      <c r="H31" s="73"/>
      <c r="I31" s="73"/>
      <c r="J31" s="76"/>
      <c r="K31" s="73"/>
      <c r="L31" s="73"/>
      <c r="M31" s="73"/>
      <c r="N31" s="75"/>
      <c r="O31" s="77"/>
      <c r="P31" s="98"/>
    </row>
    <row r="32" spans="1:16" ht="24.95" customHeight="1">
      <c r="A32" s="68">
        <f>IF(MONTH(DATE($P$2,$Q$2,28))&lt;&gt;$Q$2,"",DATE($P$2,$Q$2,28))</f>
        <v>43858</v>
      </c>
      <c r="B32" s="73"/>
      <c r="C32" s="73"/>
      <c r="D32" s="74"/>
      <c r="E32" s="142"/>
      <c r="F32" s="75"/>
      <c r="G32" s="107"/>
      <c r="H32" s="73"/>
      <c r="I32" s="73"/>
      <c r="J32" s="76"/>
      <c r="K32" s="73"/>
      <c r="L32" s="73"/>
      <c r="M32" s="73"/>
      <c r="N32" s="75"/>
      <c r="O32" s="77"/>
      <c r="P32" s="98"/>
    </row>
    <row r="33" spans="1:20" ht="24.95" customHeight="1">
      <c r="A33" s="68">
        <f>IF(MONTH(DATE($P$2,$Q$2,29))&lt;&gt;$Q$2,"",DATE($P$2,$Q$2,29))</f>
        <v>43859</v>
      </c>
      <c r="B33" s="73"/>
      <c r="C33" s="73"/>
      <c r="D33" s="74"/>
      <c r="E33" s="142"/>
      <c r="F33" s="75"/>
      <c r="G33" s="107"/>
      <c r="H33" s="73"/>
      <c r="I33" s="73"/>
      <c r="J33" s="76"/>
      <c r="K33" s="73"/>
      <c r="L33" s="73"/>
      <c r="M33" s="73"/>
      <c r="N33" s="75"/>
      <c r="O33" s="77"/>
      <c r="P33" s="98"/>
    </row>
    <row r="34" spans="1:20" ht="24.95" customHeight="1">
      <c r="A34" s="68">
        <f>IF(MONTH(DATE($P$2,$Q$2,30))&lt;&gt;$Q$2,"",DATE($P$2,$Q$2,30))</f>
        <v>43860</v>
      </c>
      <c r="B34" s="73"/>
      <c r="C34" s="73"/>
      <c r="D34" s="74"/>
      <c r="E34" s="142"/>
      <c r="F34" s="75"/>
      <c r="G34" s="107"/>
      <c r="H34" s="73"/>
      <c r="I34" s="73"/>
      <c r="J34" s="76"/>
      <c r="K34" s="73"/>
      <c r="L34" s="73"/>
      <c r="M34" s="73"/>
      <c r="N34" s="75"/>
      <c r="O34" s="77"/>
      <c r="P34" s="98"/>
    </row>
    <row r="35" spans="1:20" ht="24.95" customHeight="1" thickBot="1">
      <c r="A35" s="143">
        <f>IF(MONTH(DATE($P$2,$Q$2,31))&lt;&gt;$Q$2,"",DATE($P$2,$Q$2,31))</f>
        <v>43861</v>
      </c>
      <c r="B35" s="79"/>
      <c r="C35" s="79"/>
      <c r="D35" s="144"/>
      <c r="E35" s="145"/>
      <c r="F35" s="80"/>
      <c r="G35" s="151"/>
      <c r="H35" s="79"/>
      <c r="I35" s="79"/>
      <c r="J35" s="146"/>
      <c r="K35" s="79"/>
      <c r="L35" s="79"/>
      <c r="M35" s="79"/>
      <c r="N35" s="80"/>
      <c r="O35" s="81"/>
      <c r="P35" s="147"/>
    </row>
    <row r="36" spans="1:20" ht="19.5" customHeight="1" thickTop="1" thickBot="1">
      <c r="A36" s="159" t="s">
        <v>74</v>
      </c>
      <c r="B36" s="84">
        <f>SUM(B5:B35)</f>
        <v>0</v>
      </c>
      <c r="C36" s="84">
        <f>SUM(C5:C35)</f>
        <v>0</v>
      </c>
      <c r="D36" s="84">
        <f t="shared" ref="D36:O36" si="0">SUM(D5:D35)</f>
        <v>0</v>
      </c>
      <c r="E36" s="84">
        <f t="shared" si="0"/>
        <v>0</v>
      </c>
      <c r="F36" s="84">
        <f t="shared" si="0"/>
        <v>0</v>
      </c>
      <c r="G36" s="84">
        <f t="shared" si="0"/>
        <v>0</v>
      </c>
      <c r="H36" s="84">
        <f t="shared" si="0"/>
        <v>0</v>
      </c>
      <c r="I36" s="84">
        <f t="shared" si="0"/>
        <v>0</v>
      </c>
      <c r="J36" s="84">
        <f t="shared" si="0"/>
        <v>0</v>
      </c>
      <c r="K36" s="84">
        <f t="shared" si="0"/>
        <v>0</v>
      </c>
      <c r="L36" s="84">
        <f t="shared" ref="L36" si="1">SUM(L5:L35)</f>
        <v>0</v>
      </c>
      <c r="M36" s="84">
        <f t="shared" si="0"/>
        <v>0</v>
      </c>
      <c r="N36" s="84">
        <f t="shared" si="0"/>
        <v>0</v>
      </c>
      <c r="O36" s="84">
        <f t="shared" si="0"/>
        <v>0</v>
      </c>
      <c r="P36" s="148">
        <f>SUM(B36:O36)</f>
        <v>0</v>
      </c>
      <c r="Q36" s="82"/>
    </row>
    <row r="37" spans="1:20" ht="18" customHeight="1" thickTop="1" thickBot="1">
      <c r="A37" s="160"/>
      <c r="B37" s="83">
        <v>1.2</v>
      </c>
      <c r="C37" s="83">
        <v>1.2</v>
      </c>
      <c r="D37" s="83">
        <v>1</v>
      </c>
      <c r="E37" s="83">
        <v>1.0549999999999999</v>
      </c>
      <c r="F37" s="83">
        <v>1.1000000000000001</v>
      </c>
      <c r="G37" s="83">
        <v>1.2</v>
      </c>
      <c r="H37" s="83">
        <v>1</v>
      </c>
      <c r="I37" s="83">
        <v>1.2</v>
      </c>
      <c r="J37" s="83">
        <v>1</v>
      </c>
      <c r="K37" s="83">
        <v>1</v>
      </c>
      <c r="L37" s="83">
        <v>1.1000000000000001</v>
      </c>
      <c r="M37" s="83">
        <v>1.2</v>
      </c>
      <c r="N37" s="83">
        <v>1.0549999999999999</v>
      </c>
      <c r="O37" s="83">
        <v>1.2</v>
      </c>
      <c r="P37" s="161"/>
    </row>
    <row r="38" spans="1:20" ht="17.25" customHeight="1" thickTop="1" thickBot="1">
      <c r="A38" s="149" t="s">
        <v>75</v>
      </c>
      <c r="B38" s="84">
        <f t="shared" ref="B38:O38" si="2">+B36/B37</f>
        <v>0</v>
      </c>
      <c r="C38" s="84">
        <f t="shared" si="2"/>
        <v>0</v>
      </c>
      <c r="D38" s="84">
        <f t="shared" si="2"/>
        <v>0</v>
      </c>
      <c r="E38" s="84">
        <f t="shared" si="2"/>
        <v>0</v>
      </c>
      <c r="F38" s="84">
        <f t="shared" si="2"/>
        <v>0</v>
      </c>
      <c r="G38" s="84">
        <f t="shared" si="2"/>
        <v>0</v>
      </c>
      <c r="H38" s="84">
        <f t="shared" si="2"/>
        <v>0</v>
      </c>
      <c r="I38" s="84">
        <f t="shared" si="2"/>
        <v>0</v>
      </c>
      <c r="J38" s="84">
        <f t="shared" si="2"/>
        <v>0</v>
      </c>
      <c r="K38" s="84">
        <f t="shared" si="2"/>
        <v>0</v>
      </c>
      <c r="L38" s="84">
        <f t="shared" ref="L38" si="3">+L36/L37</f>
        <v>0</v>
      </c>
      <c r="M38" s="84">
        <f t="shared" si="2"/>
        <v>0</v>
      </c>
      <c r="N38" s="84">
        <f t="shared" si="2"/>
        <v>0</v>
      </c>
      <c r="O38" s="84">
        <f t="shared" si="2"/>
        <v>0</v>
      </c>
      <c r="P38" s="202"/>
    </row>
    <row r="39" spans="1:20" ht="14.25" thickTop="1" thickBot="1">
      <c r="A39" s="149" t="s">
        <v>35</v>
      </c>
      <c r="B39" s="84">
        <f t="shared" ref="B39:O39" si="4">B36-B38</f>
        <v>0</v>
      </c>
      <c r="C39" s="84">
        <f t="shared" si="4"/>
        <v>0</v>
      </c>
      <c r="D39" s="84">
        <f t="shared" si="4"/>
        <v>0</v>
      </c>
      <c r="E39" s="84">
        <f t="shared" si="4"/>
        <v>0</v>
      </c>
      <c r="F39" s="84">
        <f t="shared" si="4"/>
        <v>0</v>
      </c>
      <c r="G39" s="84">
        <f t="shared" si="4"/>
        <v>0</v>
      </c>
      <c r="H39" s="84">
        <f t="shared" si="4"/>
        <v>0</v>
      </c>
      <c r="I39" s="84">
        <f t="shared" si="4"/>
        <v>0</v>
      </c>
      <c r="J39" s="84">
        <f t="shared" si="4"/>
        <v>0</v>
      </c>
      <c r="K39" s="84">
        <f t="shared" si="4"/>
        <v>0</v>
      </c>
      <c r="L39" s="84">
        <f t="shared" ref="L39" si="5">L36-L38</f>
        <v>0</v>
      </c>
      <c r="M39" s="84">
        <f t="shared" si="4"/>
        <v>0</v>
      </c>
      <c r="N39" s="84">
        <f t="shared" si="4"/>
        <v>0</v>
      </c>
      <c r="O39" s="84">
        <f t="shared" si="4"/>
        <v>0</v>
      </c>
      <c r="P39" s="148">
        <f>SUM(B39:O39)</f>
        <v>0</v>
      </c>
    </row>
    <row r="40" spans="1:20" ht="14.25" thickTop="1" thickBot="1">
      <c r="A40" s="100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T40" s="86"/>
    </row>
    <row r="41" spans="1:20" ht="13.5" thickBot="1">
      <c r="B41" s="179" t="s">
        <v>38</v>
      </c>
      <c r="C41" s="180"/>
      <c r="D41" s="180"/>
      <c r="E41" s="180"/>
      <c r="F41" s="180"/>
      <c r="G41" s="180"/>
      <c r="H41" s="181"/>
      <c r="I41" s="60"/>
      <c r="J41" s="60"/>
      <c r="K41" s="60"/>
      <c r="L41" s="60"/>
      <c r="M41" s="182" t="s">
        <v>37</v>
      </c>
      <c r="N41" s="183"/>
      <c r="O41" s="183"/>
      <c r="P41" s="184"/>
    </row>
    <row r="42" spans="1:20">
      <c r="B42" s="185"/>
      <c r="C42" s="186"/>
      <c r="D42" s="186"/>
      <c r="E42" s="186"/>
      <c r="F42" s="186"/>
      <c r="G42" s="186"/>
      <c r="H42" s="187"/>
      <c r="M42" s="87"/>
      <c r="N42" s="78"/>
      <c r="O42" s="78"/>
      <c r="P42" s="88"/>
    </row>
    <row r="43" spans="1:20">
      <c r="B43" s="188"/>
      <c r="C43" s="189"/>
      <c r="D43" s="189"/>
      <c r="E43" s="189"/>
      <c r="F43" s="189"/>
      <c r="G43" s="189"/>
      <c r="H43" s="190"/>
      <c r="M43" s="87"/>
      <c r="N43" s="78"/>
      <c r="P43" s="89"/>
    </row>
    <row r="44" spans="1:20" ht="39.75" customHeight="1" thickBot="1">
      <c r="B44" s="191"/>
      <c r="C44" s="192"/>
      <c r="D44" s="192"/>
      <c r="E44" s="192"/>
      <c r="F44" s="192"/>
      <c r="G44" s="192"/>
      <c r="H44" s="193"/>
      <c r="M44" s="87"/>
      <c r="N44" s="78"/>
      <c r="O44" s="78"/>
      <c r="P44" s="88"/>
    </row>
    <row r="45" spans="1:20">
      <c r="M45" s="90"/>
      <c r="P45" s="89"/>
    </row>
    <row r="46" spans="1:20">
      <c r="M46" s="87"/>
      <c r="N46" s="78"/>
      <c r="O46" s="78"/>
      <c r="P46" s="88"/>
    </row>
    <row r="47" spans="1:20">
      <c r="M47" s="87"/>
      <c r="N47" s="78"/>
      <c r="O47" s="78"/>
      <c r="P47" s="88"/>
    </row>
    <row r="48" spans="1:20" ht="8.25" customHeight="1" thickBot="1">
      <c r="M48" s="91"/>
      <c r="N48" s="92"/>
      <c r="O48" s="92"/>
      <c r="P48" s="93"/>
    </row>
  </sheetData>
  <sheetProtection sheet="1" objects="1" scenarios="1"/>
  <mergeCells count="21">
    <mergeCell ref="A36:A37"/>
    <mergeCell ref="P37:P38"/>
    <mergeCell ref="A1:B1"/>
    <mergeCell ref="C1:J1"/>
    <mergeCell ref="N1:P1"/>
    <mergeCell ref="C2:J2"/>
    <mergeCell ref="N2:O2"/>
    <mergeCell ref="A3:A4"/>
    <mergeCell ref="B3:B4"/>
    <mergeCell ref="C3:C4"/>
    <mergeCell ref="H3:H4"/>
    <mergeCell ref="I3:I4"/>
    <mergeCell ref="L3:M3"/>
    <mergeCell ref="A2:B2"/>
    <mergeCell ref="B41:H41"/>
    <mergeCell ref="M41:P41"/>
    <mergeCell ref="B42:H44"/>
    <mergeCell ref="J3:J4"/>
    <mergeCell ref="K3:K4"/>
    <mergeCell ref="N3:O3"/>
    <mergeCell ref="P3:P4"/>
  </mergeCells>
  <conditionalFormatting sqref="A5:A35">
    <cfRule type="containsText" dxfId="12" priority="1" operator="containsText" text="dim">
      <formula>NOT(ISERROR(SEARCH("dim",A5)))</formula>
    </cfRule>
  </conditionalFormatting>
  <dataValidations count="2">
    <dataValidation type="list" showInputMessage="1" sqref="C2">
      <formula1>"SOS OXYGENE PARTICIPATIONS"</formula1>
    </dataValidation>
    <dataValidation type="list" allowBlank="1" showInputMessage="1" showErrorMessage="1" sqref="N2">
      <formula1>"JANVIER, FEVRIER, MARS, AVRIL, MAI, JUIN, JUILLET,AOUT,SEPTEMBRE,OCTOBRE,NOVEMBRE,DECEMBRE"</formula1>
    </dataValidation>
  </dataValidations>
  <printOptions horizontalCentered="1" verticalCentered="1"/>
  <pageMargins left="0" right="0" top="0" bottom="0" header="0" footer="0"/>
  <pageSetup paperSize="9" scale="6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showGridLines="0" workbookViewId="0">
      <pane xSplit="1" ySplit="10" topLeftCell="B11" activePane="bottomRight" state="frozen"/>
      <selection activeCell="O18" sqref="O18"/>
      <selection pane="topRight" activeCell="O18" sqref="O18"/>
      <selection pane="bottomLeft" activeCell="O18" sqref="O18"/>
      <selection pane="bottomRight"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8</v>
      </c>
      <c r="C7" s="11">
        <v>2020</v>
      </c>
      <c r="D7" s="12">
        <f>VLOOKUP(B7,$Y$1:$Z$12,2)</f>
        <v>1</v>
      </c>
      <c r="J7" s="2" t="s">
        <v>11</v>
      </c>
      <c r="O7" s="123"/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21"/>
      <c r="P9" s="12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52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43831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43832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43833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43834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43835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43836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43837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43838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43839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43840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43841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43842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43843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43844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43845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43846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43847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43848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43849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43850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43851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43852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43853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43854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43855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43856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43857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43858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43859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43860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43861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2020'!F16</f>
        <v>0</v>
      </c>
      <c r="D45" s="35">
        <f>SUM(D11:D41)</f>
        <v>0</v>
      </c>
      <c r="E45" s="35">
        <f t="shared" ref="E45:O45" si="0">SUM(E11:E41)</f>
        <v>0</v>
      </c>
      <c r="F45" s="35">
        <f t="shared" ref="F45" si="1">SUM(F11:F41)</f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ref="L45" si="2">SUM(L11:L41)</f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3">E45-E46</f>
        <v>0</v>
      </c>
      <c r="F47" s="47">
        <f t="shared" ref="F47:G47" si="4">F45-F46</f>
        <v>0</v>
      </c>
      <c r="G47" s="47">
        <f t="shared" si="4"/>
        <v>0</v>
      </c>
      <c r="H47" s="47">
        <f t="shared" si="3"/>
        <v>0</v>
      </c>
      <c r="I47" s="47">
        <f t="shared" si="3"/>
        <v>0</v>
      </c>
      <c r="J47" s="47">
        <f t="shared" si="3"/>
        <v>0</v>
      </c>
      <c r="K47" s="47">
        <f t="shared" si="3"/>
        <v>0</v>
      </c>
      <c r="L47" s="47">
        <f>L45-L46</f>
        <v>0</v>
      </c>
      <c r="M47" s="47">
        <f>M45-M46</f>
        <v>0</v>
      </c>
      <c r="N47" s="47">
        <f t="shared" si="3"/>
        <v>0</v>
      </c>
      <c r="O47" s="34">
        <f t="shared" si="3"/>
        <v>0</v>
      </c>
      <c r="Q47" s="24"/>
    </row>
    <row r="48" spans="1:17" ht="20.100000000000001" customHeight="1" thickBot="1">
      <c r="A48" s="124"/>
      <c r="B48" s="124"/>
      <c r="C48" s="49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1:17">
      <c r="A49" s="124"/>
      <c r="B49" s="124"/>
      <c r="M49" s="243" t="s">
        <v>37</v>
      </c>
      <c r="N49" s="244"/>
      <c r="O49" s="244"/>
      <c r="P49" s="245"/>
    </row>
    <row r="50" spans="1:17" ht="13.5" thickBot="1">
      <c r="A50" s="124"/>
      <c r="B50" s="124"/>
      <c r="M50" s="246"/>
      <c r="N50" s="247"/>
      <c r="O50" s="247"/>
      <c r="P50" s="248"/>
    </row>
    <row r="51" spans="1:17">
      <c r="M51" s="52"/>
      <c r="O51"/>
      <c r="P51" s="53"/>
    </row>
    <row r="52" spans="1:17" ht="13.5" thickBot="1">
      <c r="M52" s="52"/>
      <c r="P52" s="55"/>
    </row>
    <row r="53" spans="1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1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1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1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1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A42:C42"/>
    <mergeCell ref="D44:O44"/>
    <mergeCell ref="M49:P50"/>
    <mergeCell ref="C1:M1"/>
    <mergeCell ref="B3:H3"/>
    <mergeCell ref="B5:D5"/>
    <mergeCell ref="N5:P5"/>
    <mergeCell ref="A9:A10"/>
    <mergeCell ref="B9:B10"/>
    <mergeCell ref="C9:C10"/>
    <mergeCell ref="D9:D10"/>
    <mergeCell ref="E9:H9"/>
    <mergeCell ref="I9:I10"/>
    <mergeCell ref="L9:M9"/>
    <mergeCell ref="J8:N8"/>
    <mergeCell ref="O8:P8"/>
  </mergeCells>
  <conditionalFormatting sqref="A11:A41">
    <cfRule type="containsText" dxfId="11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3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5</v>
      </c>
      <c r="C7" s="11">
        <v>2020</v>
      </c>
      <c r="D7" s="12">
        <f>VLOOKUP(B7,$Y$1:$Z$12,2)</f>
        <v>2</v>
      </c>
      <c r="J7" s="2" t="s">
        <v>11</v>
      </c>
      <c r="O7" s="123">
        <f>'INDEMNITES KILOM. 01-2020'!O7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01-2020'!O8:P8+'INDEMNITES KILOM. 02-2020'!C43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21"/>
      <c r="P9" s="12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52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43862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43863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43864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43865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43866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43867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43868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43869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43870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43871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43872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43873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43874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43875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43876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43877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43878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43879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43880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43881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43882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43883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43884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43885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43886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43887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43888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43889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43890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 t="str">
        <f>IF(MONTH(DATE($C$7,$D$7,30))&lt;&gt;$D$7,"",DATE($C$7,$D$7,30))</f>
        <v/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 t="str">
        <f>IF(MONTH(DATE($C$7,$D$7,31))&lt;&gt;$D$7,"",DATE($C$7,$D$7,31))</f>
        <v/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2020'!F17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10" priority="1" operator="containsText" text="dim">
      <formula>NOT(ISERROR(SEARCH("dim",A11)))</formula>
    </cfRule>
  </conditionalFormatting>
  <dataValidations count="2">
    <dataValidation type="list" allowBlank="1" showInputMessage="1" showErrorMessage="1" sqref="B7">
      <formula1>"JANVIER, FEVRIER, MARS, AVRIL, MAI, JUIN, JUILLET,AOUT,SEPTEMBRE,OCTOBRE,NOVEMBRE,DECEMBRE"</formula1>
    </dataValidation>
    <dataValidation type="list" showInputMessage="1" sqref="B3:H3">
      <formula1>"SOS OXYGENE PARTICIPATIONS"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23</v>
      </c>
      <c r="C7" s="11">
        <v>2020</v>
      </c>
      <c r="D7" s="12">
        <f>VLOOKUP(B7,$Y$1:$Z$12,2)</f>
        <v>3</v>
      </c>
      <c r="J7" s="2" t="s">
        <v>11</v>
      </c>
      <c r="O7" s="123">
        <f>'INDEMNITES KILOM. 02-2020'!O7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02-2020'!O8:P8+'INDEMNITES KILOM. 03-2020'!C43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21"/>
      <c r="P9" s="12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43891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43892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43893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43894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43895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43896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43897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43898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43899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43900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43901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43902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43903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43904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43905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43906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43907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43908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43909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43910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43911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43912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43913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43914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43915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43916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43917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43918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43919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43920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43921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2020'!F18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9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2</v>
      </c>
      <c r="C7" s="11">
        <v>2020</v>
      </c>
      <c r="D7" s="12">
        <f>VLOOKUP(B7,$Y$1:$Z$12,2)</f>
        <v>4</v>
      </c>
      <c r="J7" s="2" t="s">
        <v>11</v>
      </c>
      <c r="O7" s="123">
        <f>'INDEMNITES KILOM. 03-2020'!O7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03-2020'!O8:P8+'INDEMNITES KILOM. 04-2020'!C43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22"/>
      <c r="P9" s="122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43922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43923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43924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43925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43926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43927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43928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43929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43930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43931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43932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43933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43934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43935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43936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43937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43938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43939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43940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43941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43942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43943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43944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43945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43946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43947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43948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43949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43950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43951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 t="str">
        <f>IF(MONTH(DATE($C$7,$D$7,31))&lt;&gt;$D$7,"",DATE($C$7,$D$7,31))</f>
        <v/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2020'!F19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C1:M1"/>
    <mergeCell ref="B3:H3"/>
    <mergeCell ref="B5:D5"/>
    <mergeCell ref="N5:P5"/>
    <mergeCell ref="J8:N8"/>
    <mergeCell ref="O8:P8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D53:K53"/>
    <mergeCell ref="D54:K56"/>
    <mergeCell ref="J9:J10"/>
    <mergeCell ref="K9:K10"/>
    <mergeCell ref="L9:M9"/>
  </mergeCells>
  <conditionalFormatting sqref="A11:A41">
    <cfRule type="containsText" dxfId="8" priority="1" operator="containsText" text="dim">
      <formula>NOT(ISERROR(SEARCH("dim",A11)))</formula>
    </cfRule>
  </conditionalFormatting>
  <dataValidations count="2">
    <dataValidation type="list" allowBlank="1" showInputMessage="1" showErrorMessage="1" sqref="B7">
      <formula1>"JANVIER, FEVRIER, MARS, AVRIL, MAI, JUIN, JUILLET,AOUT,SEPTEMBRE,OCTOBRE,NOVEMBRE,DECEMBRE"</formula1>
    </dataValidation>
    <dataValidation type="list" showInputMessage="1" sqref="B3:H3">
      <formula1>"SOS OXYGENE PARTICIPATIONS"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13</v>
      </c>
      <c r="C7" s="11">
        <v>2020</v>
      </c>
      <c r="D7" s="12">
        <f>VLOOKUP(B7,$Y$1:$Z$12,2)</f>
        <v>5</v>
      </c>
      <c r="J7" s="2" t="s">
        <v>11</v>
      </c>
      <c r="O7" s="123">
        <f>'INDEMNITES KILOM. 04-2020'!O7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04-2020'!O8:P8+'INDEMNITES KILOM. 05-2020'!C43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43952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43953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43954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43955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43956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43957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43958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43959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43960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43961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43962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43963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43964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43965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43966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43967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43968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43969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43970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43971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43972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43973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43974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43975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43976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43977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43978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43979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43980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43981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43982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2020'!F20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7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12</v>
      </c>
      <c r="C7" s="11">
        <v>2020</v>
      </c>
      <c r="D7" s="12">
        <f>VLOOKUP(B7,$Y$1:$Z$12,2)</f>
        <v>6</v>
      </c>
      <c r="J7" s="2" t="s">
        <v>11</v>
      </c>
      <c r="O7" s="123">
        <f>'INDEMNITES KILOM. 05-2020'!O7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05-2020'!O8:P8+'INDEMNITES KILOM. 06-2020'!C43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43983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43984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43985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43986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43987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43988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43989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43990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43991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43992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43993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43994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43995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43996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43997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43998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43999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44000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44001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44002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44003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44004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44005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44006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44007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44008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44009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44010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44011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44012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 t="str">
        <f>IF(MONTH(DATE($C$7,$D$7,31))&lt;&gt;$D$7,"",DATE($C$7,$D$7,31))</f>
        <v/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2020'!F21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6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7" sqref="F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9</v>
      </c>
      <c r="C7" s="11">
        <v>2020</v>
      </c>
      <c r="D7" s="12">
        <f>VLOOKUP(B7,$Y$1:$Z$12,2)</f>
        <v>7</v>
      </c>
      <c r="J7" s="2" t="s">
        <v>11</v>
      </c>
      <c r="O7" s="123">
        <f>'INDEMNITES KILOM. 06-2020'!O7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06-2020'!O8:P8+'INDEMNITES KILOM. 07-2020'!C43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44013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44014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44015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44016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44017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44018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44019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44020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44021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44022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44023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44024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44025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44026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44027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44028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44029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44030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44031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44032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44033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44034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44035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44036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44037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44038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44039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44040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44041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44042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44043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2020'!F22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5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17" sqref="F1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1</v>
      </c>
      <c r="C7" s="11">
        <v>2020</v>
      </c>
      <c r="D7" s="12">
        <f>VLOOKUP(B7,$Y$1:$Z$12,2)</f>
        <v>8</v>
      </c>
      <c r="J7" s="2" t="s">
        <v>11</v>
      </c>
      <c r="O7" s="123">
        <f>'INDEMNITES KILOM. 07-2020'!O7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07-2020'!O8:P8+'INDEMNITES KILOM. 08-2020'!C43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44044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44045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44046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44047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44048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44049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44050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44051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44052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44053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44054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44055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44056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44057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44058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44059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44060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44061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44062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44063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44064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44065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44066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44067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44068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44069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44070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44071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44072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44073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44074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2020'!F23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4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17" sqref="F1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30</v>
      </c>
      <c r="C7" s="11">
        <v>2020</v>
      </c>
      <c r="D7" s="12">
        <f>VLOOKUP(B7,$Y$1:$Z$12,2)</f>
        <v>9</v>
      </c>
      <c r="J7" s="2" t="s">
        <v>11</v>
      </c>
      <c r="O7" s="123">
        <f>'INDEMNITES KILOM. 08-2020'!O7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08-2020'!O8:P8+'INDEMNITES KILOM. 09-2020'!C43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44075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44076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44077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44078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44079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44080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44081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44082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44083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44084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44085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44086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44087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44088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44089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44090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44091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44092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44093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44094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44095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44096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44097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44098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44099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44100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44101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44102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44103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44104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 t="str">
        <f>IF(MONTH(DATE($C$7,$D$7,31))&lt;&gt;$D$7,"",DATE($C$7,$D$7,31))</f>
        <v/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2020'!F24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3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17" sqref="F1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29</v>
      </c>
      <c r="C7" s="11">
        <v>2020</v>
      </c>
      <c r="D7" s="12">
        <f>VLOOKUP(B7,$Y$1:$Z$12,2)</f>
        <v>10</v>
      </c>
      <c r="J7" s="2" t="s">
        <v>11</v>
      </c>
      <c r="O7" s="123">
        <f>'INDEMNITES KILOM. 09-2020'!O7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09-2020'!O8:P8+'INDEMNITES KILOM. 10-2020'!C43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44105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44106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44107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44108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44109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44110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44111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44112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44113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44114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44115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44116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44117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44118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44119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44120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44121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44122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44123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44124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44125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44126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44127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44128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44129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44130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44131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44132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44133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44134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44135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2020'!F25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2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17" sqref="F1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28</v>
      </c>
      <c r="C7" s="11">
        <v>2020</v>
      </c>
      <c r="D7" s="12">
        <f>VLOOKUP(B7,$Y$1:$Z$12,2)</f>
        <v>11</v>
      </c>
      <c r="J7" s="2" t="s">
        <v>11</v>
      </c>
      <c r="O7" s="123">
        <f>'INDEMNITES KILOM. 10-2020'!O7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10-2020'!O8:P8+'INDEMNITES KILOM. 11-2020'!C43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44136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44137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44138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44139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44140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44141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44142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44143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44144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44145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44146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44147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44148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44149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44150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44151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44152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44153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44154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44155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44156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44157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44158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44159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44160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44161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44162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44163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44164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44165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 t="str">
        <f>IF(MONTH(DATE($C$7,$D$7,31))&lt;&gt;$D$7,"",DATE($C$7,$D$7,31))</f>
        <v/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2020'!F26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1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Z57"/>
  <sheetViews>
    <sheetView workbookViewId="0">
      <selection activeCell="F17" sqref="F17"/>
    </sheetView>
  </sheetViews>
  <sheetFormatPr baseColWidth="10" defaultRowHeight="12.75"/>
  <cols>
    <col min="1" max="1" width="6.140625" style="4" customWidth="1"/>
    <col min="2" max="2" width="19" style="4" bestFit="1" customWidth="1"/>
    <col min="3" max="3" width="8" style="4" customWidth="1"/>
    <col min="4" max="4" width="8.42578125" style="4" customWidth="1"/>
    <col min="5" max="7" width="7.28515625" style="4" customWidth="1"/>
    <col min="8" max="8" width="6.85546875" style="4" customWidth="1"/>
    <col min="9" max="9" width="7" style="4" customWidth="1"/>
    <col min="10" max="11" width="6.85546875" style="4" customWidth="1"/>
    <col min="12" max="13" width="8" style="4" customWidth="1"/>
    <col min="14" max="14" width="6.7109375" style="4" customWidth="1"/>
    <col min="15" max="15" width="7" style="4" customWidth="1"/>
    <col min="16" max="16" width="18" style="4" customWidth="1"/>
    <col min="17" max="17" width="7" style="4" customWidth="1"/>
    <col min="18" max="24" width="11.42578125" style="4"/>
    <col min="25" max="26" width="0" style="4" hidden="1" customWidth="1"/>
    <col min="27" max="16384" width="11.42578125" style="4"/>
  </cols>
  <sheetData>
    <row r="1" spans="1:26" ht="16.5" thickBot="1">
      <c r="A1" s="1"/>
      <c r="B1" s="1"/>
      <c r="C1" s="204" t="s">
        <v>0</v>
      </c>
      <c r="D1" s="205"/>
      <c r="E1" s="205"/>
      <c r="F1" s="205"/>
      <c r="G1" s="205"/>
      <c r="H1" s="205"/>
      <c r="I1" s="205"/>
      <c r="J1" s="205"/>
      <c r="K1" s="205"/>
      <c r="L1" s="205"/>
      <c r="M1" s="206"/>
      <c r="N1" s="2"/>
      <c r="O1" s="2"/>
      <c r="P1" s="3"/>
      <c r="Q1" s="3"/>
      <c r="Y1" s="5" t="s">
        <v>1</v>
      </c>
      <c r="Z1" s="5">
        <v>8</v>
      </c>
    </row>
    <row r="2" spans="1:26" ht="13.5" thickBot="1">
      <c r="Y2" s="5" t="s">
        <v>2</v>
      </c>
      <c r="Z2" s="5">
        <v>4</v>
      </c>
    </row>
    <row r="3" spans="1:26" s="8" customFormat="1" ht="16.5" thickBot="1">
      <c r="A3" s="6" t="s">
        <v>3</v>
      </c>
      <c r="B3" s="207"/>
      <c r="C3" s="208"/>
      <c r="D3" s="208"/>
      <c r="E3" s="208"/>
      <c r="F3" s="208"/>
      <c r="G3" s="208"/>
      <c r="H3" s="209"/>
      <c r="I3" s="7"/>
      <c r="Y3" s="5" t="s">
        <v>4</v>
      </c>
      <c r="Z3" s="5">
        <v>12</v>
      </c>
    </row>
    <row r="4" spans="1:26" ht="13.5" thickBot="1">
      <c r="Y4" s="5" t="s">
        <v>5</v>
      </c>
      <c r="Z4" s="5">
        <v>2</v>
      </c>
    </row>
    <row r="5" spans="1:26" ht="15" thickBot="1">
      <c r="A5" s="1" t="s">
        <v>6</v>
      </c>
      <c r="B5" s="210"/>
      <c r="C5" s="211"/>
      <c r="D5" s="212"/>
      <c r="E5" s="1"/>
      <c r="F5" s="1"/>
      <c r="G5" s="1"/>
      <c r="H5" s="1"/>
      <c r="J5" s="2" t="s">
        <v>7</v>
      </c>
      <c r="N5" s="210"/>
      <c r="O5" s="213"/>
      <c r="P5" s="212"/>
      <c r="Q5" s="1"/>
      <c r="Y5" s="5" t="s">
        <v>8</v>
      </c>
      <c r="Z5" s="5">
        <v>1</v>
      </c>
    </row>
    <row r="6" spans="1:26" ht="13.5" thickBot="1">
      <c r="J6" s="2"/>
      <c r="Y6" s="5" t="s">
        <v>9</v>
      </c>
      <c r="Z6" s="5">
        <v>7</v>
      </c>
    </row>
    <row r="7" spans="1:26" ht="13.5" thickBot="1">
      <c r="A7" s="9" t="s">
        <v>10</v>
      </c>
      <c r="B7" s="10" t="s">
        <v>4</v>
      </c>
      <c r="C7" s="11">
        <v>2020</v>
      </c>
      <c r="D7" s="12">
        <f>VLOOKUP(B7,$Y$1:$Z$12,2)</f>
        <v>12</v>
      </c>
      <c r="J7" s="2" t="s">
        <v>11</v>
      </c>
      <c r="O7" s="123">
        <f>'INDEMNITES KILOM. 11-2020'!O7</f>
        <v>0</v>
      </c>
      <c r="P7" s="13"/>
      <c r="Q7" s="14"/>
      <c r="Y7" s="5" t="s">
        <v>12</v>
      </c>
      <c r="Z7" s="5">
        <v>6</v>
      </c>
    </row>
    <row r="8" spans="1:26" ht="13.5" thickBot="1">
      <c r="J8" s="224" t="s">
        <v>95</v>
      </c>
      <c r="K8" s="224"/>
      <c r="L8" s="224"/>
      <c r="M8" s="224"/>
      <c r="N8" s="224"/>
      <c r="O8" s="225">
        <f>'INDEMNITES KILOM. 11-2020'!O8:P8+'INDEMNITES KILOM. 12-2020'!C43</f>
        <v>0</v>
      </c>
      <c r="P8" s="226"/>
      <c r="Y8" s="5" t="s">
        <v>13</v>
      </c>
      <c r="Z8" s="5">
        <v>5</v>
      </c>
    </row>
    <row r="9" spans="1:26" s="15" customFormat="1" ht="22.5" customHeight="1">
      <c r="A9" s="214" t="s">
        <v>14</v>
      </c>
      <c r="B9" s="214" t="s">
        <v>15</v>
      </c>
      <c r="C9" s="214" t="s">
        <v>16</v>
      </c>
      <c r="D9" s="216" t="s">
        <v>78</v>
      </c>
      <c r="E9" s="218" t="s">
        <v>17</v>
      </c>
      <c r="F9" s="219"/>
      <c r="G9" s="219"/>
      <c r="H9" s="220"/>
      <c r="I9" s="220" t="s">
        <v>18</v>
      </c>
      <c r="J9" s="236" t="s">
        <v>19</v>
      </c>
      <c r="K9" s="238" t="s">
        <v>20</v>
      </c>
      <c r="L9" s="222" t="s">
        <v>21</v>
      </c>
      <c r="M9" s="223"/>
      <c r="N9" s="101" t="s">
        <v>22</v>
      </c>
      <c r="O9" s="131"/>
      <c r="P9" s="131"/>
      <c r="Y9" s="5" t="s">
        <v>23</v>
      </c>
      <c r="Z9" s="5">
        <v>3</v>
      </c>
    </row>
    <row r="10" spans="1:26" customFormat="1" ht="17.25" customHeight="1">
      <c r="A10" s="215"/>
      <c r="B10" s="215"/>
      <c r="C10" s="215"/>
      <c r="D10" s="217"/>
      <c r="E10" s="16" t="s">
        <v>24</v>
      </c>
      <c r="F10" s="153" t="s">
        <v>102</v>
      </c>
      <c r="G10" s="103" t="s">
        <v>79</v>
      </c>
      <c r="H10" s="102" t="s">
        <v>80</v>
      </c>
      <c r="I10" s="221"/>
      <c r="J10" s="237"/>
      <c r="K10" s="239"/>
      <c r="L10" s="103" t="s">
        <v>79</v>
      </c>
      <c r="M10" s="102" t="s">
        <v>80</v>
      </c>
      <c r="N10" s="17" t="s">
        <v>25</v>
      </c>
      <c r="O10" s="18" t="s">
        <v>26</v>
      </c>
      <c r="P10" s="101" t="s">
        <v>27</v>
      </c>
      <c r="Y10" s="5" t="s">
        <v>28</v>
      </c>
      <c r="Z10" s="5">
        <v>11</v>
      </c>
    </row>
    <row r="11" spans="1:26" ht="20.100000000000001" customHeight="1">
      <c r="A11" s="19">
        <f>IF(MONTH(DATE($C$7,$D$7,1))&lt;&gt;$D$7,"",DATE($C$7,$D$7,1))</f>
        <v>44166</v>
      </c>
      <c r="B11" s="20"/>
      <c r="C11" s="20"/>
      <c r="D11" s="21"/>
      <c r="E11" s="21"/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3"/>
      <c r="Q11" s="24"/>
      <c r="Y11" s="5" t="s">
        <v>29</v>
      </c>
      <c r="Z11" s="5">
        <v>10</v>
      </c>
    </row>
    <row r="12" spans="1:26" ht="20.100000000000001" customHeight="1">
      <c r="A12" s="19">
        <f>IF(MONTH(DATE($C$7,$D$7,2))&lt;&gt;$D$7,"",DATE($C$7,$D$7,2))</f>
        <v>44167</v>
      </c>
      <c r="B12" s="20"/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0"/>
      <c r="Q12" s="24"/>
      <c r="Y12" s="5" t="s">
        <v>30</v>
      </c>
      <c r="Z12" s="5">
        <v>9</v>
      </c>
    </row>
    <row r="13" spans="1:26" ht="20.100000000000001" customHeight="1">
      <c r="A13" s="19">
        <f>IF(MONTH(DATE($C$7,$D$7,3))&lt;&gt;$D$7,"",DATE($C$7,$D$7,3))</f>
        <v>44168</v>
      </c>
      <c r="B13" s="20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0"/>
      <c r="Q13" s="24"/>
    </row>
    <row r="14" spans="1:26" ht="20.100000000000001" customHeight="1">
      <c r="A14" s="19">
        <f>IF(MONTH(DATE($C$7,$D$7,4))&lt;&gt;$D$7,"",DATE($C$7,$D$7,4))</f>
        <v>44169</v>
      </c>
      <c r="B14" s="20"/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0"/>
      <c r="Q14" s="24"/>
    </row>
    <row r="15" spans="1:26" ht="20.100000000000001" customHeight="1">
      <c r="A15" s="19">
        <f>IF(MONTH(DATE($C$7,$D$7,5))&lt;&gt;$D$7,"",DATE($C$7,$D$7,5))</f>
        <v>44170</v>
      </c>
      <c r="B15" s="20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0"/>
      <c r="Q15" s="24"/>
    </row>
    <row r="16" spans="1:26" ht="20.100000000000001" customHeight="1">
      <c r="A16" s="19">
        <f>IF(MONTH(DATE($C$7,$D$7,6))&lt;&gt;$D$7,"",DATE($C$7,$D$7,6))</f>
        <v>44171</v>
      </c>
      <c r="B16" s="2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0"/>
      <c r="Q16" s="24"/>
    </row>
    <row r="17" spans="1:17" ht="20.100000000000001" customHeight="1">
      <c r="A17" s="19">
        <f>IF(MONTH(DATE($C$7,$D$7,7))&lt;&gt;$D$7,"",DATE($C$7,$D$7,7))</f>
        <v>44172</v>
      </c>
      <c r="B17" s="20"/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0"/>
      <c r="Q17" s="24"/>
    </row>
    <row r="18" spans="1:17" ht="20.100000000000001" customHeight="1">
      <c r="A18" s="19">
        <f>IF(MONTH(DATE($C$7,$D$7,8))&lt;&gt;$D$7,"",DATE($C$7,$D$7,8))</f>
        <v>44173</v>
      </c>
      <c r="B18" s="20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0"/>
      <c r="Q18" s="24"/>
    </row>
    <row r="19" spans="1:17" ht="20.100000000000001" customHeight="1">
      <c r="A19" s="19">
        <f>IF(MONTH(DATE($C$7,$D$7,9))&lt;&gt;$D$7,"",DATE($C$7,$D$7,9))</f>
        <v>44174</v>
      </c>
      <c r="B19" s="20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0"/>
      <c r="Q19" s="24"/>
    </row>
    <row r="20" spans="1:17" ht="20.100000000000001" customHeight="1">
      <c r="A20" s="19">
        <f>IF(MONTH(DATE($C$7,$D$7,10))&lt;&gt;$D$7,"",DATE($C$7,$D$7,10))</f>
        <v>44175</v>
      </c>
      <c r="B20" s="20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0"/>
      <c r="Q20" s="24"/>
    </row>
    <row r="21" spans="1:17" ht="20.100000000000001" customHeight="1">
      <c r="A21" s="19">
        <f>IF(MONTH(DATE($C$7,$D$7,11))&lt;&gt;$D$7,"",DATE($C$7,$D$7,11))</f>
        <v>44176</v>
      </c>
      <c r="B21" s="20"/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0"/>
      <c r="Q21" s="24"/>
    </row>
    <row r="22" spans="1:17" ht="20.100000000000001" customHeight="1">
      <c r="A22" s="19">
        <f>IF(MONTH(DATE($C$7,$D$7,12))&lt;&gt;$D$7,"",DATE($C$7,$D$7,12))</f>
        <v>44177</v>
      </c>
      <c r="B22" s="20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0"/>
      <c r="Q22" s="24"/>
    </row>
    <row r="23" spans="1:17" ht="20.100000000000001" customHeight="1">
      <c r="A23" s="19">
        <f>IF(MONTH(DATE($C$7,$D$7,13))&lt;&gt;$D$7,"",DATE($C$7,$D$7,13))</f>
        <v>44178</v>
      </c>
      <c r="B23" s="20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0"/>
      <c r="Q23" s="24"/>
    </row>
    <row r="24" spans="1:17" ht="20.100000000000001" customHeight="1">
      <c r="A24" s="19">
        <f>IF(MONTH(DATE($C$7,$D$7,14))&lt;&gt;$D$7,"",DATE($C$7,$D$7,14))</f>
        <v>44179</v>
      </c>
      <c r="B24" s="20"/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0"/>
      <c r="Q24" s="24"/>
    </row>
    <row r="25" spans="1:17" ht="20.100000000000001" customHeight="1">
      <c r="A25" s="19">
        <f>IF(MONTH(DATE($C$7,$D$7,15))&lt;&gt;$D$7,"",DATE($C$7,$D$7,15))</f>
        <v>44180</v>
      </c>
      <c r="B25" s="20"/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0"/>
      <c r="Q25" s="24"/>
    </row>
    <row r="26" spans="1:17" ht="20.100000000000001" customHeight="1">
      <c r="A26" s="19">
        <f>IF(MONTH(DATE($C$7,$D$7,16))&lt;&gt;$D$7,"",DATE($C$7,$D$7,16))</f>
        <v>44181</v>
      </c>
      <c r="B26" s="20"/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0"/>
      <c r="Q26" s="24"/>
    </row>
    <row r="27" spans="1:17" ht="20.100000000000001" customHeight="1">
      <c r="A27" s="19">
        <f>IF(MONTH(DATE($C$7,$D$7,17))&lt;&gt;$D$7,"",DATE($C$7,$D$7,17))</f>
        <v>44182</v>
      </c>
      <c r="B27" s="20"/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0"/>
      <c r="Q27" s="24"/>
    </row>
    <row r="28" spans="1:17" ht="20.100000000000001" customHeight="1">
      <c r="A28" s="19">
        <f>IF(MONTH(DATE($C$7,$D$7,18))&lt;&gt;$D$7,"",DATE($C$7,$D$7,18))</f>
        <v>44183</v>
      </c>
      <c r="B28" s="20"/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0"/>
      <c r="Q28" s="24"/>
    </row>
    <row r="29" spans="1:17" ht="20.100000000000001" customHeight="1">
      <c r="A29" s="19">
        <f>IF(MONTH(DATE($C$7,$D$7,19))&lt;&gt;$D$7,"",DATE($C$7,$D$7,19))</f>
        <v>44184</v>
      </c>
      <c r="B29" s="20"/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0"/>
      <c r="Q29" s="24"/>
    </row>
    <row r="30" spans="1:17" ht="20.100000000000001" customHeight="1">
      <c r="A30" s="19">
        <f>IF(MONTH(DATE($C$7,$D$7,20))&lt;&gt;$D$7,"",DATE($C$7,$D$7,20))</f>
        <v>44185</v>
      </c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0"/>
      <c r="Q30" s="24"/>
    </row>
    <row r="31" spans="1:17" ht="20.100000000000001" customHeight="1">
      <c r="A31" s="19">
        <f>IF(MONTH(DATE($C$7,$D$7,21))&lt;&gt;$D$7,"",DATE($C$7,$D$7,21))</f>
        <v>44186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0"/>
      <c r="Q31" s="24"/>
    </row>
    <row r="32" spans="1:17" ht="20.100000000000001" customHeight="1">
      <c r="A32" s="19">
        <f>IF(MONTH(DATE($C$7,$D$7,22))&lt;&gt;$D$7,"",DATE($C$7,$D$7,22))</f>
        <v>44187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0"/>
      <c r="Q32" s="24"/>
    </row>
    <row r="33" spans="1:17" ht="20.100000000000001" customHeight="1">
      <c r="A33" s="19">
        <f>IF(MONTH(DATE($C$7,$D$7,23))&lt;&gt;$D$7,"",DATE($C$7,$D$7,23))</f>
        <v>44188</v>
      </c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0"/>
      <c r="Q33" s="24"/>
    </row>
    <row r="34" spans="1:17" ht="20.100000000000001" customHeight="1">
      <c r="A34" s="19">
        <f>IF(MONTH(DATE($C$7,$D$7,24))&lt;&gt;$D$7,"",DATE($C$7,$D$7,24))</f>
        <v>44189</v>
      </c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0"/>
      <c r="Q34" s="24"/>
    </row>
    <row r="35" spans="1:17" ht="20.100000000000001" customHeight="1">
      <c r="A35" s="19">
        <f>IF(MONTH(DATE($C$7,$D$7,25))&lt;&gt;$D$7,"",DATE($C$7,$D$7,25))</f>
        <v>44190</v>
      </c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0"/>
      <c r="Q35" s="24"/>
    </row>
    <row r="36" spans="1:17" ht="20.100000000000001" customHeight="1">
      <c r="A36" s="19">
        <f>IF(MONTH(DATE($C$7,$D$7,26))&lt;&gt;$D$7,"",DATE($C$7,$D$7,26))</f>
        <v>44191</v>
      </c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0"/>
      <c r="Q36" s="24"/>
    </row>
    <row r="37" spans="1:17" ht="20.100000000000001" customHeight="1">
      <c r="A37" s="19">
        <f>IF(MONTH(DATE($C$7,$D$7,27))&lt;&gt;$D$7,"",DATE($C$7,$D$7,27))</f>
        <v>44192</v>
      </c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0"/>
      <c r="Q37" s="24"/>
    </row>
    <row r="38" spans="1:17" ht="20.100000000000001" customHeight="1">
      <c r="A38" s="19">
        <f>IF(MONTH(DATE($C$7,$D$7,28))&lt;&gt;$D$7,"",DATE($C$7,$D$7,28))</f>
        <v>44193</v>
      </c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0"/>
      <c r="Q38" s="24"/>
    </row>
    <row r="39" spans="1:17" ht="20.100000000000001" customHeight="1">
      <c r="A39" s="19">
        <f>IF(MONTH(DATE($C$7,$D$7,29))&lt;&gt;$D$7,"",DATE($C$7,$D$7,29))</f>
        <v>44194</v>
      </c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0"/>
      <c r="Q39" s="24"/>
    </row>
    <row r="40" spans="1:17" ht="20.100000000000001" customHeight="1">
      <c r="A40" s="19">
        <f>IF(MONTH(DATE($C$7,$D$7,30))&lt;&gt;$D$7,"",DATE($C$7,$D$7,30))</f>
        <v>44195</v>
      </c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0"/>
      <c r="Q40" s="24"/>
    </row>
    <row r="41" spans="1:17" ht="20.100000000000001" customHeight="1">
      <c r="A41" s="19">
        <f>IF(MONTH(DATE($C$7,$D$7,31))&lt;&gt;$D$7,"",DATE($C$7,$D$7,31))</f>
        <v>44196</v>
      </c>
      <c r="B41" s="20"/>
      <c r="C41" s="20"/>
      <c r="D41" s="22"/>
      <c r="E41" s="22"/>
      <c r="F41" s="22"/>
      <c r="G41" s="22"/>
      <c r="H41" s="25"/>
      <c r="I41" s="22"/>
      <c r="J41" s="22"/>
      <c r="K41" s="22"/>
      <c r="L41" s="22"/>
      <c r="M41" s="22"/>
      <c r="N41" s="22"/>
      <c r="O41" s="22"/>
      <c r="P41" s="20"/>
      <c r="Q41" s="24"/>
    </row>
    <row r="42" spans="1:17" ht="12" customHeight="1" thickBot="1">
      <c r="A42" s="240"/>
      <c r="B42" s="240"/>
      <c r="C42" s="240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7" ht="20.100000000000001" customHeight="1" thickBot="1">
      <c r="B43" s="28" t="s">
        <v>31</v>
      </c>
      <c r="C43" s="29">
        <f>SUM(C11:C41)</f>
        <v>0</v>
      </c>
    </row>
    <row r="44" spans="1:17" ht="20.100000000000001" hidden="1" customHeight="1" thickBot="1">
      <c r="B44" s="30" t="s">
        <v>32</v>
      </c>
      <c r="C44" s="31" t="e">
        <f>C45/C43</f>
        <v>#DIV/0!</v>
      </c>
      <c r="D44" s="241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32" t="s">
        <v>33</v>
      </c>
    </row>
    <row r="45" spans="1:17" ht="20.100000000000001" customHeight="1" thickBot="1">
      <c r="B45" s="33" t="s">
        <v>34</v>
      </c>
      <c r="C45" s="34">
        <f>'IK 2020'!F27</f>
        <v>0</v>
      </c>
      <c r="D45" s="35">
        <f>SUM(D11:D41)</f>
        <v>0</v>
      </c>
      <c r="E45" s="35">
        <f t="shared" ref="E45:O45" si="0">SUM(E11:E41)</f>
        <v>0</v>
      </c>
      <c r="F45" s="35">
        <f t="shared" si="0"/>
        <v>0</v>
      </c>
      <c r="G45" s="35">
        <f t="shared" si="0"/>
        <v>0</v>
      </c>
      <c r="H45" s="35">
        <f t="shared" si="0"/>
        <v>0</v>
      </c>
      <c r="I45" s="35">
        <f t="shared" si="0"/>
        <v>0</v>
      </c>
      <c r="J45" s="35">
        <f t="shared" si="0"/>
        <v>0</v>
      </c>
      <c r="K45" s="35">
        <f t="shared" si="0"/>
        <v>0</v>
      </c>
      <c r="L45" s="35">
        <f t="shared" si="0"/>
        <v>0</v>
      </c>
      <c r="M45" s="35">
        <f t="shared" si="0"/>
        <v>0</v>
      </c>
      <c r="N45" s="35">
        <f t="shared" si="0"/>
        <v>0</v>
      </c>
      <c r="O45" s="35">
        <f t="shared" si="0"/>
        <v>0</v>
      </c>
      <c r="P45" s="36">
        <f>SUM(C45:O45)</f>
        <v>0</v>
      </c>
      <c r="Q45" s="24"/>
    </row>
    <row r="46" spans="1:17" ht="20.100000000000001" customHeight="1" thickBot="1">
      <c r="B46" s="37" t="s">
        <v>35</v>
      </c>
      <c r="C46" s="38"/>
      <c r="D46" s="39">
        <f>D45-(D45*100/120)</f>
        <v>0</v>
      </c>
      <c r="E46" s="40"/>
      <c r="F46" s="41">
        <f>F45-(F45*100/105.5)</f>
        <v>0</v>
      </c>
      <c r="G46" s="41">
        <f>G45-(G45*100/110)</f>
        <v>0</v>
      </c>
      <c r="H46" s="41">
        <f>H45-(H45*100/120)</f>
        <v>0</v>
      </c>
      <c r="I46" s="40"/>
      <c r="J46" s="40"/>
      <c r="K46" s="40"/>
      <c r="L46" s="41">
        <f>L45-(L45*100/110)</f>
        <v>0</v>
      </c>
      <c r="M46" s="41">
        <f>M45-(M45*100/120)</f>
        <v>0</v>
      </c>
      <c r="N46" s="41">
        <f>N45-(N45*100/105.5)</f>
        <v>0</v>
      </c>
      <c r="O46" s="42">
        <f>O45-(O45*100/120)</f>
        <v>0</v>
      </c>
      <c r="P46" s="43">
        <f>SUM(D46:O46)</f>
        <v>0</v>
      </c>
      <c r="Q46" s="24"/>
    </row>
    <row r="47" spans="1:17" ht="20.100000000000001" customHeight="1" thickBot="1">
      <c r="B47" s="44" t="s">
        <v>36</v>
      </c>
      <c r="C47" s="45"/>
      <c r="D47" s="46">
        <f>D45-D46</f>
        <v>0</v>
      </c>
      <c r="E47" s="47">
        <f t="shared" ref="E47:O47" si="1">E45-E46</f>
        <v>0</v>
      </c>
      <c r="F47" s="47">
        <f t="shared" si="1"/>
        <v>0</v>
      </c>
      <c r="G47" s="47">
        <f t="shared" si="1"/>
        <v>0</v>
      </c>
      <c r="H47" s="47">
        <f t="shared" si="1"/>
        <v>0</v>
      </c>
      <c r="I47" s="47">
        <f t="shared" si="1"/>
        <v>0</v>
      </c>
      <c r="J47" s="47">
        <f t="shared" si="1"/>
        <v>0</v>
      </c>
      <c r="K47" s="47">
        <f t="shared" si="1"/>
        <v>0</v>
      </c>
      <c r="L47" s="47">
        <f>L45-L46</f>
        <v>0</v>
      </c>
      <c r="M47" s="47">
        <f>M45-M46</f>
        <v>0</v>
      </c>
      <c r="N47" s="47">
        <f t="shared" si="1"/>
        <v>0</v>
      </c>
      <c r="O47" s="34">
        <f t="shared" si="1"/>
        <v>0</v>
      </c>
      <c r="Q47" s="24"/>
    </row>
    <row r="48" spans="1:17" ht="20.100000000000001" customHeight="1" thickBot="1">
      <c r="B48" s="125"/>
      <c r="C48" s="126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Q48" s="24"/>
    </row>
    <row r="49" spans="2:17">
      <c r="B49" s="124"/>
      <c r="C49" s="124"/>
      <c r="M49" s="243" t="s">
        <v>37</v>
      </c>
      <c r="N49" s="244"/>
      <c r="O49" s="244"/>
      <c r="P49" s="245"/>
    </row>
    <row r="50" spans="2:17" ht="13.5" thickBot="1">
      <c r="M50" s="246"/>
      <c r="N50" s="247"/>
      <c r="O50" s="247"/>
      <c r="P50" s="248"/>
    </row>
    <row r="51" spans="2:17">
      <c r="M51" s="52"/>
      <c r="O51"/>
      <c r="P51" s="53"/>
    </row>
    <row r="52" spans="2:17" ht="13.5" thickBot="1">
      <c r="M52" s="52"/>
      <c r="P52" s="55"/>
    </row>
    <row r="53" spans="2:17" ht="13.5" thickBot="1">
      <c r="D53" s="227" t="s">
        <v>38</v>
      </c>
      <c r="E53" s="228"/>
      <c r="F53" s="228"/>
      <c r="G53" s="228"/>
      <c r="H53" s="228"/>
      <c r="I53" s="228"/>
      <c r="J53" s="228"/>
      <c r="K53" s="229"/>
      <c r="M53" s="56"/>
      <c r="N53"/>
      <c r="O53"/>
      <c r="P53" s="53"/>
    </row>
    <row r="54" spans="2:17">
      <c r="D54" s="230"/>
      <c r="E54" s="231"/>
      <c r="F54" s="231"/>
      <c r="G54" s="231"/>
      <c r="H54" s="231"/>
      <c r="I54" s="231"/>
      <c r="J54" s="231"/>
      <c r="K54" s="232"/>
      <c r="M54" s="52"/>
      <c r="P54" s="55"/>
    </row>
    <row r="55" spans="2:17">
      <c r="D55" s="230"/>
      <c r="E55" s="231"/>
      <c r="F55" s="231"/>
      <c r="G55" s="231"/>
      <c r="H55" s="231"/>
      <c r="I55" s="231"/>
      <c r="J55" s="231"/>
      <c r="K55" s="232"/>
      <c r="M55" s="52"/>
      <c r="P55" s="55"/>
    </row>
    <row r="56" spans="2:17" ht="13.5" thickBot="1">
      <c r="D56" s="233"/>
      <c r="E56" s="234"/>
      <c r="F56" s="234"/>
      <c r="G56" s="234"/>
      <c r="H56" s="234"/>
      <c r="I56" s="234"/>
      <c r="J56" s="234"/>
      <c r="K56" s="235"/>
      <c r="M56" s="57"/>
      <c r="N56" s="48"/>
      <c r="O56" s="48"/>
      <c r="P56" s="58"/>
      <c r="Q56" s="13"/>
    </row>
    <row r="57" spans="2:17">
      <c r="D57"/>
      <c r="E57"/>
      <c r="F57"/>
      <c r="G57"/>
      <c r="H57"/>
      <c r="I57"/>
      <c r="J57"/>
      <c r="K57"/>
      <c r="M57"/>
      <c r="N57"/>
      <c r="O57"/>
      <c r="P57"/>
      <c r="Q57" s="13"/>
    </row>
  </sheetData>
  <sheetProtection sheet="1" objects="1" scenarios="1"/>
  <mergeCells count="20">
    <mergeCell ref="D53:K53"/>
    <mergeCell ref="D54:K56"/>
    <mergeCell ref="J9:J10"/>
    <mergeCell ref="K9:K10"/>
    <mergeCell ref="L9:M9"/>
    <mergeCell ref="A42:C42"/>
    <mergeCell ref="D44:O44"/>
    <mergeCell ref="M49:P50"/>
    <mergeCell ref="A9:A10"/>
    <mergeCell ref="B9:B10"/>
    <mergeCell ref="C9:C10"/>
    <mergeCell ref="D9:D10"/>
    <mergeCell ref="E9:H9"/>
    <mergeCell ref="I9:I10"/>
    <mergeCell ref="C1:M1"/>
    <mergeCell ref="B3:H3"/>
    <mergeCell ref="B5:D5"/>
    <mergeCell ref="N5:P5"/>
    <mergeCell ref="J8:N8"/>
    <mergeCell ref="O8:P8"/>
  </mergeCells>
  <conditionalFormatting sqref="A11:A41">
    <cfRule type="containsText" dxfId="0" priority="1" operator="containsText" text="dim">
      <formula>NOT(ISERROR(SEARCH("dim",A11)))</formula>
    </cfRule>
  </conditionalFormatting>
  <dataValidations count="2">
    <dataValidation type="list" showInputMessage="1" sqref="B3:H3">
      <formula1>"SOS OXYGENE PARTICIPATIONS"</formula1>
    </dataValidation>
    <dataValidation type="list" allowBlank="1" showInputMessage="1" showErrorMessage="1" sqref="B7">
      <formula1>"JANVIER, FEVRIER, MARS, AVRIL, MAI, JUIN, JUILLET,AOUT,SEPTEMBRE,OCTOBRE,NOVEMBRE,DECEMBRE"</formula1>
    </dataValidation>
  </dataValidations>
  <pageMargins left="0" right="0" top="0" bottom="0" header="0" footer="0"/>
  <pageSetup paperSize="9" scale="70"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'IK 2020'!$A$3:$A$13</xm:f>
          </x14:formula1>
          <xm:sqref>O7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3</vt:i4>
      </vt:variant>
    </vt:vector>
  </HeadingPairs>
  <TitlesOfParts>
    <vt:vector size="19" baseType="lpstr">
      <vt:lpstr>MODE EMPLOI</vt:lpstr>
      <vt:lpstr>IK 2020</vt:lpstr>
      <vt:lpstr>VEHICULES TOURISMES</vt:lpstr>
      <vt:lpstr>VEHICULES UTILITAIRES</vt:lpstr>
      <vt:lpstr>INDEMNITES KILOM. 01-2020</vt:lpstr>
      <vt:lpstr>INDEMNITES KILOM. 02-2020</vt:lpstr>
      <vt:lpstr>INDEMNITES KILOM. 03-2020</vt:lpstr>
      <vt:lpstr>INDEMNITES KILOM. 04-2020</vt:lpstr>
      <vt:lpstr>INDEMNITES KILOM. 05-2020</vt:lpstr>
      <vt:lpstr>INDEMNITES KILOM. 06-2020</vt:lpstr>
      <vt:lpstr>INDEMNITES KILOM. 07-2020</vt:lpstr>
      <vt:lpstr>INDEMNITES KILOM. 08-2020</vt:lpstr>
      <vt:lpstr>INDEMNITES KILOM. 09-2020</vt:lpstr>
      <vt:lpstr>INDEMNITES KILOM. 10-2020</vt:lpstr>
      <vt:lpstr>INDEMNITES KILOM. 11-2020</vt:lpstr>
      <vt:lpstr>INDEMNITES KILOM. 12-2020</vt:lpstr>
      <vt:lpstr>'INDEMNITES KILOM. 01-2020'!Zone_d_impression</vt:lpstr>
      <vt:lpstr>'VEHICULES TOURISMES'!Zone_d_impression</vt:lpstr>
      <vt:lpstr>'VEHICULES UTILITAIRES'!Zone_d_impression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h</cp:lastModifiedBy>
  <cp:lastPrinted>2023-07-10T13:45:00Z</cp:lastPrinted>
  <dcterms:created xsi:type="dcterms:W3CDTF">2015-03-09T10:51:11Z</dcterms:created>
  <dcterms:modified xsi:type="dcterms:W3CDTF">2025-01-03T09:26:56Z</dcterms:modified>
</cp:coreProperties>
</file>