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1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1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1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1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1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1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.wiegner\Desktop\"/>
    </mc:Choice>
  </mc:AlternateContent>
  <xr:revisionPtr revIDLastSave="0" documentId="13_ncr:1_{73CFE57A-3923-4F7D-AEE5-1F68D5EC5EB1}" xr6:coauthVersionLast="47" xr6:coauthVersionMax="47" xr10:uidLastSave="{00000000-0000-0000-0000-000000000000}"/>
  <bookViews>
    <workbookView xWindow="-103" yWindow="-103" windowWidth="33120" windowHeight="18120" tabRatio="923" activeTab="1" xr2:uid="{58A4EF71-0335-4E7F-9ADC-81C8DF54232B}"/>
  </bookViews>
  <sheets>
    <sheet name="Eingabe_" sheetId="30" r:id="rId1"/>
    <sheet name="Titelblatt_" sheetId="8" r:id="rId2"/>
    <sheet name="Seitenregister" sheetId="7" r:id="rId3"/>
    <sheet name="A Dichtsitz" sheetId="79" r:id="rId4"/>
    <sheet name="A FIT" sheetId="97" r:id="rId5"/>
    <sheet name="A Volumenströme" sheetId="33" r:id="rId6"/>
    <sheet name="A Strömungsnachw." sheetId="34" r:id="rId7"/>
    <sheet name="A LW" sheetId="85" r:id="rId8"/>
    <sheet name="A Temp._Feuchte" sheetId="45" r:id="rId9"/>
    <sheet name="A Schall" sheetId="46" r:id="rId10"/>
    <sheet name="A PK" sheetId="49" r:id="rId11"/>
    <sheet name="P Dichtsitz" sheetId="80" r:id="rId12"/>
    <sheet name="P FIT 1_4" sheetId="16" r:id="rId13"/>
    <sheet name="P FIT 5_7 " sheetId="98" r:id="rId14"/>
    <sheet name="P FIT 8_9" sheetId="99" r:id="rId15"/>
    <sheet name="P Volumenströme" sheetId="27" r:id="rId16"/>
    <sheet name="P vZuluft" sheetId="102" r:id="rId17"/>
    <sheet name="P STrömungsnachw." sheetId="28" r:id="rId18"/>
    <sheet name="P LW" sheetId="84" r:id="rId19"/>
    <sheet name="P T&amp;F " sheetId="38" r:id="rId20"/>
    <sheet name="P Schall " sheetId="39" r:id="rId21"/>
    <sheet name="P PK_I" sheetId="105" r:id="rId22"/>
    <sheet name="P PK_A" sheetId="106" r:id="rId23"/>
    <sheet name="Z FIT" sheetId="65" r:id="rId24"/>
    <sheet name="Z Dichtsitz" sheetId="82" r:id="rId25"/>
    <sheet name="Z Volumenströme" sheetId="73" r:id="rId26"/>
    <sheet name="Z Vzuluft" sheetId="104" r:id="rId27"/>
    <sheet name="Z Strömungsnachweis" sheetId="66" r:id="rId28"/>
    <sheet name="Z T&amp;F" sheetId="76" r:id="rId29"/>
    <sheet name="Z Schall" sheetId="78" r:id="rId30"/>
    <sheet name="Z PZ" sheetId="70" r:id="rId31"/>
    <sheet name="RD Dichtsitz" sheetId="81" r:id="rId32"/>
    <sheet name="RD Volumenströme" sheetId="62" r:id="rId33"/>
    <sheet name="RD vZuluft" sheetId="100" r:id="rId34"/>
    <sheet name="RD Strömungsnachw." sheetId="58" r:id="rId35"/>
    <sheet name="RD T&amp;F" sheetId="64" r:id="rId36"/>
    <sheet name="RD Schall" sheetId="94" r:id="rId37"/>
    <sheet name="RD Fotodokumentation" sheetId="107" r:id="rId38"/>
    <sheet name="Tabelle1" sheetId="108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0" hidden="1">Eingabe_!$I$2:$R$2</definedName>
    <definedName name="AA" localSheetId="26">#REF!:INDEX(#REF!,COUNTA(#REF!),1)</definedName>
    <definedName name="AA">#REF!:INDEX(#REF!,COUNTA(#REF!),1)</definedName>
    <definedName name="Abteilung___Anlage" localSheetId="22">'[1]Eingabe 1'!$BL$3:$BL$6</definedName>
    <definedName name="Abteilung___Anlage" localSheetId="21">'[1]Eingabe 1'!$BL$3:$BL$6</definedName>
    <definedName name="Abteilung___Anlage" localSheetId="16">'[2]Eingabe 1'!$BL$3:$BL$6</definedName>
    <definedName name="Abteilung___Anlage" localSheetId="36">#REF!</definedName>
    <definedName name="Abteilung___Anlage" localSheetId="26">'[3]Eingabe 1'!$BL$3:$BL$6</definedName>
    <definedName name="Abteilung___Anlage">'[4]Eingabe 1'!$BL$3:$BL$6</definedName>
    <definedName name="Anlage" localSheetId="22">#REF!</definedName>
    <definedName name="Anlage" localSheetId="16">#REF!</definedName>
    <definedName name="Anlage" localSheetId="26">#REF!</definedName>
    <definedName name="Anlage">#REF!</definedName>
    <definedName name="Auswertung" localSheetId="26">#REF!</definedName>
    <definedName name="Auswertung">#REF!</definedName>
    <definedName name="Beschriftung" localSheetId="36">OFFSET([5]Rec!$AA$20:$AA$73,0,0,COUNTA([5]Rec!$AA$20:$AA$73),1)</definedName>
    <definedName name="Beschriftung" localSheetId="26">OFFSET([5]Rec!$AA$20:$AA$73,0,0,COUNTA([5]Rec!$AA$20:$AA$73),1)</definedName>
    <definedName name="Beschriftung">OFFSET(#REF!,0,0,COUNTA(#REF!),1)</definedName>
    <definedName name="Datenbereich" localSheetId="36">OFFSET([5]Rec!#REF!,0,0,COUNTA([5]Rec!$AB$20:$AB$73),1)</definedName>
    <definedName name="Datenbereich" localSheetId="26">OFFSET([5]Rec!#REF!,0,0,COUNTA([5]Rec!$AB$20:$AB$73),1)</definedName>
    <definedName name="Datenbereich">OFFSET(#REF!,0,0,COUNTA(#REF!),1)</definedName>
    <definedName name="_xlnm.Print_Area" localSheetId="3">'A Dichtsitz'!$A$1:$X$59</definedName>
    <definedName name="_xlnm.Print_Area" localSheetId="4">'A FIT'!$A$1:$X$59</definedName>
    <definedName name="_xlnm.Print_Area" localSheetId="7">'A LW'!$A$1:$X$59</definedName>
    <definedName name="_xlnm.Print_Area" localSheetId="10">'A PK'!$A$1:$X$57</definedName>
    <definedName name="_xlnm.Print_Area" localSheetId="9">'A Schall'!$A$1:$X$57</definedName>
    <definedName name="_xlnm.Print_Area" localSheetId="6">'A Strömungsnachw.'!$A$1:$X$59</definedName>
    <definedName name="_xlnm.Print_Area" localSheetId="8">'A Temp._Feuchte'!$A$1:$X$59</definedName>
    <definedName name="_xlnm.Print_Area" localSheetId="5">'A Volumenströme'!$A$1:$X$59</definedName>
    <definedName name="_xlnm.Print_Area" localSheetId="0">Eingabe_!$A$1:$AH$183</definedName>
    <definedName name="_xlnm.Print_Area" localSheetId="12">'P FIT 1_4'!$A$1:$X$43</definedName>
    <definedName name="_xlnm.Print_Area" localSheetId="13">'P FIT 5_7 '!$A$1:$X$56</definedName>
    <definedName name="_xlnm.Print_Area" localSheetId="14">'P FIT 8_9'!$A$1:$X$52</definedName>
    <definedName name="_xlnm.Print_Area" localSheetId="22">'P PK_A'!$A$1:$X$59</definedName>
    <definedName name="_xlnm.Print_Area" localSheetId="21">'P PK_I'!$A$1:$X$64</definedName>
    <definedName name="_xlnm.Print_Area" localSheetId="17">'P STrömungsnachw.'!$A$1:$X$31</definedName>
    <definedName name="_xlnm.Print_Area" localSheetId="15">'P Volumenströme'!$A$1:$X$46</definedName>
    <definedName name="_xlnm.Print_Area" localSheetId="16">'P vZuluft'!$A$1:$X$58</definedName>
    <definedName name="_xlnm.Print_Area" localSheetId="37">'RD Fotodokumentation'!$A$1:$X$65</definedName>
    <definedName name="_xlnm.Print_Area" localSheetId="36">'RD Schall'!$A$1:$X$59</definedName>
    <definedName name="_xlnm.Print_Area" localSheetId="34">'RD Strömungsnachw.'!$A$1:$X$35</definedName>
    <definedName name="_xlnm.Print_Area" localSheetId="33">'RD vZuluft'!$A$1:$X$58</definedName>
    <definedName name="_xlnm.Print_Area" localSheetId="1">Titelblatt_!$A$1:$W$55</definedName>
    <definedName name="_xlnm.Print_Area" localSheetId="26">'Z Vzuluft'!$A$1:$X$58</definedName>
    <definedName name="HO" localSheetId="26">#REF!:INDEX(#REF!,COUNTA(#REF!),1)</definedName>
    <definedName name="HO">#REF!:INDEX(#REF!,COUNTA(#REF!),1)</definedName>
    <definedName name="HODN" localSheetId="26">#REF!:INDEX(#REF!,COUNTA(#REF!),1)</definedName>
    <definedName name="HODN">#REF!:INDEX(#REF!,COUNTA(#REF!),1)</definedName>
    <definedName name="KON" localSheetId="26">#REF!:INDEX(#REF!,COUNTA(#REF!),1)</definedName>
    <definedName name="KON">#REF!:INDEX(#REF!,COUNTA(#REF!),1)</definedName>
    <definedName name="P" localSheetId="26">#REF!:INDEX(#REF!:#REF!,COUNTA(#REF!),1)</definedName>
    <definedName name="P">#REF!:INDEX(#REF!:#REF!,COUNTA(#REF!),1)</definedName>
    <definedName name="Partikelkonzentration" localSheetId="36">[5]Rec!$D$20:$D$41,[5]Rec!$L$20:$L$41,[5]Rec!$T$20:$T$41</definedName>
    <definedName name="Partikelkonzentration" localSheetId="26">[5]Rec!$D$20:$D$41,[5]Rec!$L$20:$L$41,[5]Rec!$T$20:$T$41</definedName>
    <definedName name="Partikelkonzentration">#REF!:INDEX(#REF!,COUNTA(#REF!),1)</definedName>
    <definedName name="Print_Area" localSheetId="22">'P PK_A'!$A$1:$X$59</definedName>
    <definedName name="Print_Area" localSheetId="21">'P PK_I'!$A$1:$X$64</definedName>
    <definedName name="Print_Area" localSheetId="16">'P vZuluft'!$A$1:$X$58</definedName>
    <definedName name="Print_Area" localSheetId="36">'RD Schall'!$A$1:$X$59</definedName>
    <definedName name="Print_Area" localSheetId="33">'RD vZuluft'!$A$1:$X$58</definedName>
    <definedName name="Print_Area" localSheetId="26">'Z Vzuluft'!$A$1:$X$58</definedName>
    <definedName name="Raume" localSheetId="22">#REF!</definedName>
    <definedName name="Raume" localSheetId="16">#REF!</definedName>
    <definedName name="Raume" localSheetId="36">#REF!</definedName>
    <definedName name="Raume" localSheetId="33">#REF!</definedName>
    <definedName name="Raume" localSheetId="26">#REF!</definedName>
    <definedName name="Raume">#REF!</definedName>
    <definedName name="STA" localSheetId="26">#REF!:INDEX(#REF!,COUNTA(#REF!),1)</definedName>
    <definedName name="STA">#REF!:INDEX(#REF!,COUNTA(#REF!),1)</definedName>
    <definedName name="tab_des" localSheetId="26">#REF!</definedName>
    <definedName name="tab_des">#REF!</definedName>
    <definedName name="Tabelle_Raume" localSheetId="26">#REF!</definedName>
    <definedName name="Tabelle_Raume">#REF!</definedName>
    <definedName name="wert" localSheetId="26">[5]Rec!#REF!</definedName>
    <definedName name="wert">[5]Rec!#REF!</definedName>
    <definedName name="WERTE" localSheetId="36">[5]Rec!$AB$2:INDEX([5]Rec!$AB$2:$AB$68,COUNTA([5]Rec!$AB$2:$AB$68),1)</definedName>
    <definedName name="WERTE" localSheetId="26">[5]Rec!$AB$2:INDEX([5]Rec!$AB$2:$AB$68,COUNTA([5]Rec!$AB$2:$AB$68),1)</definedName>
    <definedName name="WERTE">#REF!:INDEX(#REF!,COUNTA(#REF!),1)</definedName>
    <definedName name="ZI" localSheetId="26">#REF!:INDEX(#REF!:#REF!,COUNTA(#REF!),1)</definedName>
    <definedName name="ZI">#REF!:INDEX(#REF!:#REF!,COUNTA(#REF!),1)</definedName>
    <definedName name="ZIE" localSheetId="26">#REF!:INDEX(#REF!,COUNTA(#REF!),1)</definedName>
    <definedName name="ZIE">#REF!:INDEX(#REF!,COUNTA(#REF!),1)</definedName>
    <definedName name="ZZ" localSheetId="26">#REF!:INDEX(#REF!,COUNTA(#REF!),1)</definedName>
    <definedName name="ZZ">#REF!:INDEX(#REF!,COUNTA(#REF!),1)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8" l="1"/>
  <c r="J120" i="30"/>
  <c r="W9" i="105" l="1"/>
  <c r="E9" i="105"/>
  <c r="T50" i="102"/>
  <c r="T49" i="102"/>
  <c r="AA21" i="104"/>
  <c r="F15" i="27"/>
  <c r="T15" i="27" s="1"/>
  <c r="G36" i="30"/>
  <c r="G37" i="30"/>
  <c r="E61" i="30"/>
  <c r="E53" i="30"/>
  <c r="B40" i="30"/>
  <c r="AD40" i="100" l="1"/>
  <c r="V38" i="100"/>
  <c r="AD38" i="100"/>
  <c r="AC38" i="100"/>
  <c r="E4" i="102"/>
  <c r="E3" i="102"/>
  <c r="E3" i="27"/>
  <c r="E16" i="80"/>
  <c r="E17" i="80"/>
  <c r="E18" i="80"/>
  <c r="E19" i="80"/>
  <c r="E20" i="80"/>
  <c r="E21" i="80"/>
  <c r="E22" i="80"/>
  <c r="E23" i="80"/>
  <c r="E15" i="80"/>
  <c r="T22" i="62"/>
  <c r="F31" i="16" l="1"/>
  <c r="F30" i="16"/>
  <c r="E3" i="99"/>
  <c r="R3" i="99"/>
  <c r="E4" i="99"/>
  <c r="E5" i="99"/>
  <c r="E6" i="99"/>
  <c r="R6" i="99"/>
  <c r="E9" i="99"/>
  <c r="E10" i="99"/>
  <c r="E11" i="99"/>
  <c r="I11" i="99"/>
  <c r="E12" i="99"/>
  <c r="E13" i="99" s="1"/>
  <c r="E14" i="99" s="1"/>
  <c r="F22" i="99"/>
  <c r="I22" i="99" s="1"/>
  <c r="L22" i="99"/>
  <c r="F23" i="99"/>
  <c r="I23" i="99" s="1"/>
  <c r="L23" i="99"/>
  <c r="F24" i="99"/>
  <c r="I24" i="99" s="1"/>
  <c r="L24" i="99"/>
  <c r="F25" i="99"/>
  <c r="I25" i="99" s="1"/>
  <c r="L25" i="99"/>
  <c r="F26" i="99"/>
  <c r="I26" i="99" s="1"/>
  <c r="L26" i="99"/>
  <c r="F27" i="99"/>
  <c r="I27" i="99" s="1"/>
  <c r="L27" i="99"/>
  <c r="F28" i="99"/>
  <c r="I28" i="99" s="1"/>
  <c r="L28" i="99"/>
  <c r="F29" i="99"/>
  <c r="I29" i="99" s="1"/>
  <c r="L29" i="99"/>
  <c r="P26" i="99" l="1"/>
  <c r="P22" i="99"/>
  <c r="P27" i="99"/>
  <c r="P28" i="99"/>
  <c r="P23" i="99"/>
  <c r="P29" i="99"/>
  <c r="P24" i="99"/>
  <c r="P25" i="99"/>
  <c r="C48" i="8" l="1"/>
  <c r="C42" i="7"/>
  <c r="I18" i="107" l="1"/>
  <c r="I19" i="107" s="1"/>
  <c r="A18" i="107"/>
  <c r="E18" i="107" s="1"/>
  <c r="E19" i="107" s="1"/>
  <c r="I16" i="107"/>
  <c r="U16" i="107" s="1"/>
  <c r="A16" i="107"/>
  <c r="E16" i="107" s="1"/>
  <c r="E17" i="107" s="1"/>
  <c r="U14" i="107"/>
  <c r="I14" i="107"/>
  <c r="I15" i="107" s="1"/>
  <c r="E14" i="107"/>
  <c r="E15" i="107" s="1"/>
  <c r="A14" i="107"/>
  <c r="E6" i="107"/>
  <c r="E5" i="107"/>
  <c r="E4" i="107"/>
  <c r="R3" i="107"/>
  <c r="E3" i="107"/>
  <c r="I17" i="107" l="1"/>
  <c r="U18" i="107"/>
  <c r="P35" i="64" l="1"/>
  <c r="G35" i="64"/>
  <c r="R3" i="100" l="1"/>
  <c r="B25" i="30"/>
  <c r="P3" i="30" l="1"/>
  <c r="O3" i="30"/>
  <c r="V38" i="102" l="1"/>
  <c r="G49" i="30"/>
  <c r="F58" i="102" l="1"/>
  <c r="F57" i="102"/>
  <c r="A58" i="70" l="1"/>
  <c r="A55" i="70"/>
  <c r="U55" i="100"/>
  <c r="L55" i="100"/>
  <c r="U32" i="58"/>
  <c r="L32" i="58"/>
  <c r="E38" i="100"/>
  <c r="E38" i="102"/>
  <c r="L23" i="98"/>
  <c r="L24" i="98"/>
  <c r="L25" i="98"/>
  <c r="L26" i="98"/>
  <c r="L27" i="98"/>
  <c r="L28" i="98"/>
  <c r="L29" i="98"/>
  <c r="L30" i="98"/>
  <c r="L31" i="98"/>
  <c r="L32" i="98"/>
  <c r="L33" i="98"/>
  <c r="L34" i="98"/>
  <c r="L35" i="98"/>
  <c r="L36" i="98"/>
  <c r="L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22" i="98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22" i="16"/>
  <c r="F23" i="16"/>
  <c r="F24" i="16"/>
  <c r="F25" i="16"/>
  <c r="F26" i="16"/>
  <c r="F27" i="16"/>
  <c r="F28" i="16"/>
  <c r="F29" i="16"/>
  <c r="F32" i="16"/>
  <c r="F33" i="16"/>
  <c r="F34" i="16"/>
  <c r="F35" i="16"/>
  <c r="F36" i="16"/>
  <c r="F37" i="16"/>
  <c r="F22" i="16"/>
  <c r="A20" i="49" l="1"/>
  <c r="A15" i="49"/>
  <c r="E6" i="104" l="1"/>
  <c r="E5" i="104"/>
  <c r="E4" i="104"/>
  <c r="E3" i="104"/>
  <c r="R3" i="104"/>
  <c r="R6" i="80"/>
  <c r="R7" i="38"/>
  <c r="R7" i="102"/>
  <c r="R6" i="102"/>
  <c r="R3" i="102"/>
  <c r="S61" i="30"/>
  <c r="E14" i="28"/>
  <c r="E15" i="28" s="1"/>
  <c r="P44" i="30"/>
  <c r="P45" i="30"/>
  <c r="P46" i="30"/>
  <c r="R7" i="104"/>
  <c r="C38" i="7"/>
  <c r="C31" i="7"/>
  <c r="H31" i="7"/>
  <c r="C25" i="7"/>
  <c r="C24" i="7"/>
  <c r="C19" i="7"/>
  <c r="C17" i="7"/>
  <c r="C16" i="7"/>
  <c r="C6" i="7"/>
  <c r="A18" i="105"/>
  <c r="F18" i="105" s="1"/>
  <c r="I19" i="106"/>
  <c r="M19" i="106"/>
  <c r="I20" i="106"/>
  <c r="M20" i="106"/>
  <c r="I21" i="106"/>
  <c r="M21" i="106"/>
  <c r="I22" i="106"/>
  <c r="M22" i="106"/>
  <c r="I23" i="106"/>
  <c r="M23" i="106"/>
  <c r="I24" i="106"/>
  <c r="M24" i="106"/>
  <c r="I25" i="106"/>
  <c r="M25" i="106"/>
  <c r="I26" i="106"/>
  <c r="M26" i="106"/>
  <c r="I27" i="106"/>
  <c r="M27" i="106"/>
  <c r="I28" i="106"/>
  <c r="M28" i="106"/>
  <c r="I29" i="106"/>
  <c r="M29" i="106"/>
  <c r="I30" i="106"/>
  <c r="M30" i="106"/>
  <c r="I31" i="106"/>
  <c r="M31" i="106"/>
  <c r="I32" i="106"/>
  <c r="M32" i="106"/>
  <c r="I33" i="106"/>
  <c r="M33" i="106"/>
  <c r="I34" i="106"/>
  <c r="M34" i="106"/>
  <c r="I35" i="106"/>
  <c r="M35" i="106"/>
  <c r="I36" i="106"/>
  <c r="M36" i="106"/>
  <c r="I37" i="106"/>
  <c r="M37" i="106"/>
  <c r="I38" i="106"/>
  <c r="M38" i="106"/>
  <c r="M18" i="106"/>
  <c r="I18" i="106"/>
  <c r="M19" i="105"/>
  <c r="M20" i="105"/>
  <c r="M21" i="105"/>
  <c r="M22" i="105"/>
  <c r="M23" i="105"/>
  <c r="M24" i="105"/>
  <c r="M25" i="105"/>
  <c r="M26" i="105"/>
  <c r="M27" i="105"/>
  <c r="M28" i="105"/>
  <c r="M29" i="105"/>
  <c r="M30" i="105"/>
  <c r="M31" i="105"/>
  <c r="M32" i="105"/>
  <c r="M18" i="105"/>
  <c r="I19" i="105"/>
  <c r="I20" i="105"/>
  <c r="I21" i="105"/>
  <c r="I22" i="105"/>
  <c r="I23" i="105"/>
  <c r="I24" i="105"/>
  <c r="I25" i="105"/>
  <c r="I26" i="105"/>
  <c r="I27" i="105"/>
  <c r="I28" i="105"/>
  <c r="I29" i="105"/>
  <c r="I30" i="105"/>
  <c r="I31" i="105"/>
  <c r="I32" i="105"/>
  <c r="I18" i="105"/>
  <c r="I17" i="79"/>
  <c r="I18" i="79"/>
  <c r="I19" i="79"/>
  <c r="I20" i="79"/>
  <c r="I21" i="79"/>
  <c r="P8" i="30"/>
  <c r="R5" i="39" s="1"/>
  <c r="O8" i="30"/>
  <c r="R5" i="38" s="1"/>
  <c r="S8" i="30"/>
  <c r="I8" i="30"/>
  <c r="H8" i="30"/>
  <c r="R5" i="84" s="1"/>
  <c r="G8" i="30"/>
  <c r="R5" i="99" s="1"/>
  <c r="R8" i="30"/>
  <c r="R5" i="105" s="1"/>
  <c r="N8" i="30"/>
  <c r="L8" i="30"/>
  <c r="K8" i="30"/>
  <c r="M8" i="30"/>
  <c r="J8" i="30"/>
  <c r="R6" i="106"/>
  <c r="E6" i="106"/>
  <c r="E5" i="106"/>
  <c r="E4" i="106"/>
  <c r="R3" i="106"/>
  <c r="E3" i="106"/>
  <c r="R6" i="105"/>
  <c r="E6" i="105"/>
  <c r="E5" i="105"/>
  <c r="E4" i="105"/>
  <c r="R3" i="105"/>
  <c r="E3" i="105"/>
  <c r="U44" i="106"/>
  <c r="Q44" i="106"/>
  <c r="E10" i="106"/>
  <c r="E9" i="106"/>
  <c r="U43" i="105"/>
  <c r="Q43" i="105"/>
  <c r="U33" i="105"/>
  <c r="Q33" i="105"/>
  <c r="E10" i="105"/>
  <c r="A9" i="104"/>
  <c r="Q18" i="106" l="1"/>
  <c r="M16" i="28"/>
  <c r="U18" i="106"/>
  <c r="R5" i="16"/>
  <c r="R5" i="98"/>
  <c r="R5" i="80"/>
  <c r="M18" i="28"/>
  <c r="R5" i="106"/>
  <c r="R5" i="27"/>
  <c r="Q28" i="105"/>
  <c r="U23" i="105"/>
  <c r="U28" i="105"/>
  <c r="U18" i="105"/>
  <c r="Q18" i="105"/>
  <c r="Q23" i="105"/>
  <c r="Q8" i="30"/>
  <c r="R5" i="102" s="1"/>
  <c r="W10" i="105"/>
  <c r="W9" i="106"/>
  <c r="W10" i="106" s="1"/>
  <c r="R15" i="102"/>
  <c r="R17" i="102"/>
  <c r="R19" i="102"/>
  <c r="R21" i="102"/>
  <c r="R23" i="102"/>
  <c r="R25" i="102"/>
  <c r="R27" i="102"/>
  <c r="R29" i="102"/>
  <c r="P15" i="102"/>
  <c r="P17" i="102"/>
  <c r="P19" i="102"/>
  <c r="P21" i="102"/>
  <c r="P23" i="102"/>
  <c r="P25" i="102"/>
  <c r="P27" i="102"/>
  <c r="P29" i="102"/>
  <c r="N15" i="102"/>
  <c r="N17" i="102"/>
  <c r="N19" i="102"/>
  <c r="N21" i="102"/>
  <c r="N23" i="102"/>
  <c r="N25" i="102"/>
  <c r="N27" i="102"/>
  <c r="N29" i="102"/>
  <c r="L15" i="102"/>
  <c r="L17" i="102"/>
  <c r="L19" i="102"/>
  <c r="L21" i="102"/>
  <c r="L23" i="102"/>
  <c r="L25" i="102"/>
  <c r="L27" i="102"/>
  <c r="L29" i="102"/>
  <c r="J15" i="102"/>
  <c r="J17" i="102"/>
  <c r="J19" i="102"/>
  <c r="J21" i="102"/>
  <c r="J23" i="102"/>
  <c r="J25" i="102"/>
  <c r="J27" i="102"/>
  <c r="J29" i="102"/>
  <c r="H15" i="102"/>
  <c r="H17" i="102"/>
  <c r="H19" i="102"/>
  <c r="H21" i="102"/>
  <c r="H23" i="102"/>
  <c r="H25" i="102"/>
  <c r="H27" i="102"/>
  <c r="H29" i="102"/>
  <c r="N123" i="30"/>
  <c r="N125" i="30"/>
  <c r="N127" i="30"/>
  <c r="N129" i="30"/>
  <c r="N131" i="30"/>
  <c r="N133" i="30"/>
  <c r="N135" i="30"/>
  <c r="N137" i="30"/>
  <c r="M123" i="30"/>
  <c r="M125" i="30"/>
  <c r="M127" i="30"/>
  <c r="M129" i="30"/>
  <c r="M131" i="30"/>
  <c r="M133" i="30"/>
  <c r="M135" i="30"/>
  <c r="M137" i="30"/>
  <c r="L123" i="30"/>
  <c r="L125" i="30"/>
  <c r="L127" i="30"/>
  <c r="L129" i="30"/>
  <c r="L131" i="30"/>
  <c r="L133" i="30"/>
  <c r="L135" i="30"/>
  <c r="L137" i="30"/>
  <c r="K123" i="30"/>
  <c r="K125" i="30"/>
  <c r="K127" i="30"/>
  <c r="K129" i="30"/>
  <c r="K131" i="30"/>
  <c r="K133" i="30"/>
  <c r="K135" i="30"/>
  <c r="K137" i="30"/>
  <c r="J123" i="30"/>
  <c r="J125" i="30"/>
  <c r="J127" i="30"/>
  <c r="J129" i="30"/>
  <c r="J131" i="30"/>
  <c r="J133" i="30"/>
  <c r="J135" i="30"/>
  <c r="J137" i="30"/>
  <c r="I123" i="30"/>
  <c r="I125" i="30"/>
  <c r="I127" i="30"/>
  <c r="I129" i="30"/>
  <c r="I131" i="30"/>
  <c r="I133" i="30"/>
  <c r="I135" i="30"/>
  <c r="I137" i="30"/>
  <c r="H123" i="30"/>
  <c r="F15" i="102" s="1"/>
  <c r="H125" i="30"/>
  <c r="F17" i="102" s="1"/>
  <c r="H127" i="30"/>
  <c r="F19" i="102" s="1"/>
  <c r="H129" i="30"/>
  <c r="F21" i="102" s="1"/>
  <c r="H131" i="30"/>
  <c r="F23" i="102" s="1"/>
  <c r="H133" i="30"/>
  <c r="F25" i="102" s="1"/>
  <c r="H135" i="30"/>
  <c r="F27" i="102" s="1"/>
  <c r="H137" i="30"/>
  <c r="F29" i="102" s="1"/>
  <c r="G123" i="30"/>
  <c r="D15" i="102" s="1"/>
  <c r="G125" i="30"/>
  <c r="D17" i="102" s="1"/>
  <c r="G127" i="30"/>
  <c r="D19" i="102" s="1"/>
  <c r="G129" i="30"/>
  <c r="D21" i="102" s="1"/>
  <c r="G131" i="30"/>
  <c r="D23" i="102" s="1"/>
  <c r="G133" i="30"/>
  <c r="D25" i="102" s="1"/>
  <c r="G135" i="30"/>
  <c r="D27" i="102" s="1"/>
  <c r="G137" i="30"/>
  <c r="D29" i="102" s="1"/>
  <c r="U38" i="105" l="1"/>
  <c r="Q15" i="49" s="1"/>
  <c r="Q38" i="105"/>
  <c r="N15" i="49" s="1"/>
  <c r="T15" i="49" l="1"/>
  <c r="F63" i="105"/>
  <c r="F64" i="105"/>
  <c r="G35" i="30" l="1"/>
  <c r="E6" i="102"/>
  <c r="E5" i="102"/>
  <c r="X1" i="102"/>
  <c r="E6" i="100"/>
  <c r="E5" i="100"/>
  <c r="E3" i="100"/>
  <c r="X1" i="100"/>
  <c r="J79" i="30"/>
  <c r="J49" i="30"/>
  <c r="G172" i="30"/>
  <c r="F173" i="30"/>
  <c r="F174" i="30" s="1"/>
  <c r="F175" i="30" s="1"/>
  <c r="F176" i="30" s="1"/>
  <c r="F177" i="30" s="1"/>
  <c r="F178" i="30" s="1"/>
  <c r="G173" i="30"/>
  <c r="G174" i="30"/>
  <c r="G175" i="30"/>
  <c r="G176" i="30"/>
  <c r="J35" i="27" s="1"/>
  <c r="G177" i="30"/>
  <c r="G178" i="30"/>
  <c r="A138" i="30"/>
  <c r="A139" i="30" s="1"/>
  <c r="A140" i="30" s="1"/>
  <c r="A141" i="30" s="1"/>
  <c r="A142" i="30" s="1"/>
  <c r="A143" i="30" s="1"/>
  <c r="A144" i="30" s="1"/>
  <c r="A145" i="30" s="1"/>
  <c r="A146" i="30" s="1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E11" i="16"/>
  <c r="E11" i="98"/>
  <c r="B135" i="30" l="1"/>
  <c r="T20" i="27"/>
  <c r="J54" i="30"/>
  <c r="A28" i="105" s="1"/>
  <c r="A23" i="105"/>
  <c r="F23" i="105" s="1"/>
  <c r="J82" i="30"/>
  <c r="A18" i="106"/>
  <c r="I53" i="70" l="1"/>
  <c r="K15" i="33"/>
  <c r="J85" i="30"/>
  <c r="A21" i="106"/>
  <c r="F19" i="106"/>
  <c r="F20" i="106"/>
  <c r="F18" i="106"/>
  <c r="F22" i="106" l="1"/>
  <c r="F21" i="106"/>
  <c r="F23" i="106"/>
  <c r="Q21" i="106"/>
  <c r="U21" i="106"/>
  <c r="J88" i="30"/>
  <c r="A24" i="106"/>
  <c r="F26" i="106" l="1"/>
  <c r="F25" i="106"/>
  <c r="F24" i="106"/>
  <c r="U24" i="106"/>
  <c r="Q24" i="106"/>
  <c r="J91" i="30"/>
  <c r="A27" i="106"/>
  <c r="J94" i="30" l="1"/>
  <c r="A30" i="106"/>
  <c r="F28" i="106"/>
  <c r="U27" i="106"/>
  <c r="F27" i="106"/>
  <c r="F29" i="106"/>
  <c r="Q27" i="106"/>
  <c r="F32" i="106" l="1"/>
  <c r="Q30" i="106"/>
  <c r="Q39" i="106" s="1"/>
  <c r="N20" i="49" s="1"/>
  <c r="F31" i="106"/>
  <c r="F30" i="106"/>
  <c r="U30" i="106"/>
  <c r="U39" i="106" s="1"/>
  <c r="Q20" i="49" s="1"/>
  <c r="J97" i="30"/>
  <c r="A33" i="106"/>
  <c r="A36" i="106" l="1"/>
  <c r="I56" i="70"/>
  <c r="T20" i="49"/>
  <c r="F59" i="106"/>
  <c r="F58" i="106"/>
  <c r="F33" i="106"/>
  <c r="F34" i="106"/>
  <c r="U33" i="106"/>
  <c r="F35" i="106"/>
  <c r="Q33" i="106"/>
  <c r="F38" i="106"/>
  <c r="U36" i="106"/>
  <c r="F37" i="106"/>
  <c r="F36" i="106"/>
  <c r="Q36" i="106"/>
  <c r="I36" i="98" l="1"/>
  <c r="I35" i="98"/>
  <c r="I34" i="98"/>
  <c r="I33" i="98"/>
  <c r="I32" i="98"/>
  <c r="I31" i="98"/>
  <c r="I30" i="98"/>
  <c r="I29" i="98"/>
  <c r="I28" i="98"/>
  <c r="I27" i="98"/>
  <c r="I26" i="98"/>
  <c r="I25" i="98"/>
  <c r="I24" i="98"/>
  <c r="I23" i="98"/>
  <c r="I22" i="98"/>
  <c r="E12" i="98"/>
  <c r="E13" i="98" s="1"/>
  <c r="E14" i="98" s="1"/>
  <c r="E10" i="98"/>
  <c r="R6" i="98"/>
  <c r="E6" i="98"/>
  <c r="E5" i="98"/>
  <c r="E4" i="98"/>
  <c r="R3" i="98"/>
  <c r="E3" i="98"/>
  <c r="C58" i="97"/>
  <c r="C55" i="97"/>
  <c r="C52" i="97"/>
  <c r="M37" i="97"/>
  <c r="M36" i="97"/>
  <c r="M25" i="97"/>
  <c r="M24" i="97"/>
  <c r="E6" i="97"/>
  <c r="E5" i="97"/>
  <c r="E4" i="97"/>
  <c r="R3" i="97"/>
  <c r="E3" i="97"/>
  <c r="M58" i="97" s="1"/>
  <c r="A22" i="16"/>
  <c r="I37" i="16"/>
  <c r="I36" i="16"/>
  <c r="I35" i="16"/>
  <c r="I34" i="16"/>
  <c r="I33" i="16"/>
  <c r="I32" i="16"/>
  <c r="I31" i="16"/>
  <c r="I30" i="16"/>
  <c r="P30" i="16" s="1"/>
  <c r="I29" i="16"/>
  <c r="I28" i="16"/>
  <c r="I27" i="16"/>
  <c r="I26" i="16"/>
  <c r="I25" i="16"/>
  <c r="P25" i="16" s="1"/>
  <c r="I24" i="16"/>
  <c r="P24" i="16" s="1"/>
  <c r="I23" i="16"/>
  <c r="I22" i="16"/>
  <c r="A53" i="30"/>
  <c r="P31" i="16" l="1"/>
  <c r="P33" i="16"/>
  <c r="P22" i="16"/>
  <c r="P26" i="16"/>
  <c r="P32" i="16"/>
  <c r="P23" i="16"/>
  <c r="A61" i="30"/>
  <c r="E15" i="97"/>
  <c r="E15" i="79"/>
  <c r="A15" i="80" s="1"/>
  <c r="M32" i="97"/>
  <c r="A26" i="16"/>
  <c r="M35" i="97"/>
  <c r="M30" i="97"/>
  <c r="P25" i="98"/>
  <c r="P33" i="98"/>
  <c r="P36" i="98"/>
  <c r="P24" i="98"/>
  <c r="P23" i="98"/>
  <c r="P26" i="98"/>
  <c r="P22" i="98"/>
  <c r="P34" i="98"/>
  <c r="P32" i="98"/>
  <c r="P35" i="98"/>
  <c r="P30" i="98"/>
  <c r="P28" i="98"/>
  <c r="P31" i="98"/>
  <c r="P27" i="98"/>
  <c r="P29" i="98"/>
  <c r="M28" i="97"/>
  <c r="M33" i="97"/>
  <c r="M26" i="97"/>
  <c r="M38" i="97"/>
  <c r="M34" i="97"/>
  <c r="M29" i="97"/>
  <c r="M27" i="97"/>
  <c r="M52" i="97"/>
  <c r="M55" i="97"/>
  <c r="A69" i="30"/>
  <c r="A77" i="30" s="1"/>
  <c r="P27" i="16"/>
  <c r="P37" i="16"/>
  <c r="P36" i="16"/>
  <c r="P29" i="16"/>
  <c r="P28" i="16"/>
  <c r="P34" i="16"/>
  <c r="P35" i="16"/>
  <c r="S22" i="16" l="1"/>
  <c r="M15" i="97" s="1"/>
  <c r="A15" i="102"/>
  <c r="A16" i="85"/>
  <c r="A16" i="46"/>
  <c r="A26" i="45"/>
  <c r="A16" i="45"/>
  <c r="A17" i="49"/>
  <c r="A22" i="49"/>
  <c r="A86" i="30"/>
  <c r="A22" i="98"/>
  <c r="V22" i="98" s="1"/>
  <c r="E9" i="16"/>
  <c r="E16" i="97"/>
  <c r="E16" i="79"/>
  <c r="A16" i="80" s="1"/>
  <c r="S26" i="16"/>
  <c r="M16" i="97" s="1"/>
  <c r="A30" i="16"/>
  <c r="A27" i="98" l="1"/>
  <c r="V27" i="98" s="1"/>
  <c r="E19" i="79"/>
  <c r="A19" i="80" s="1"/>
  <c r="E19" i="97"/>
  <c r="S22" i="98"/>
  <c r="M19" i="97" s="1"/>
  <c r="A95" i="30"/>
  <c r="E17" i="79"/>
  <c r="A17" i="80" s="1"/>
  <c r="E17" i="97"/>
  <c r="A34" i="16"/>
  <c r="S30" i="16"/>
  <c r="A104" i="30" l="1"/>
  <c r="B41" i="30"/>
  <c r="E9" i="98" s="1"/>
  <c r="N16" i="7" s="1"/>
  <c r="E20" i="97"/>
  <c r="A32" i="98"/>
  <c r="V32" i="98" s="1"/>
  <c r="E20" i="79"/>
  <c r="A20" i="80" s="1"/>
  <c r="S27" i="98"/>
  <c r="M20" i="97" s="1"/>
  <c r="M31" i="97"/>
  <c r="M17" i="97"/>
  <c r="E18" i="79"/>
  <c r="A18" i="80" s="1"/>
  <c r="E18" i="97"/>
  <c r="S34" i="16"/>
  <c r="M18" i="97" s="1"/>
  <c r="E21" i="97" l="1"/>
  <c r="E21" i="79"/>
  <c r="A21" i="80" s="1"/>
  <c r="S32" i="98"/>
  <c r="M21" i="97" s="1"/>
  <c r="A108" i="30"/>
  <c r="A22" i="99"/>
  <c r="V22" i="99" s="1"/>
  <c r="B42" i="30"/>
  <c r="N17" i="7" s="1"/>
  <c r="D33" i="30"/>
  <c r="S22" i="99" l="1"/>
  <c r="M22" i="97" s="1"/>
  <c r="E22" i="79"/>
  <c r="A22" i="80" s="1"/>
  <c r="E22" i="97"/>
  <c r="A24" i="99"/>
  <c r="V24" i="99" s="1"/>
  <c r="F56" i="98"/>
  <c r="F55" i="98"/>
  <c r="E23" i="79" l="1"/>
  <c r="A23" i="80" s="1"/>
  <c r="S24" i="99"/>
  <c r="M23" i="97" s="1"/>
  <c r="E23" i="97"/>
  <c r="F51" i="99" l="1"/>
  <c r="F52" i="99"/>
  <c r="I53" i="73"/>
  <c r="I53" i="82"/>
  <c r="I53" i="65"/>
  <c r="A16" i="28" l="1"/>
  <c r="E16" i="28" s="1"/>
  <c r="E17" i="28" s="1"/>
  <c r="O53" i="30"/>
  <c r="O54" i="30"/>
  <c r="U57" i="94" l="1"/>
  <c r="L57" i="94"/>
  <c r="L55" i="81"/>
  <c r="A9" i="84" l="1"/>
  <c r="D212" i="30" l="1"/>
  <c r="D213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A18" i="58"/>
  <c r="A16" i="58"/>
  <c r="E16" i="58" s="1"/>
  <c r="E17" i="58" s="1"/>
  <c r="A18" i="28"/>
  <c r="E18" i="28" s="1"/>
  <c r="E19" i="28" s="1"/>
  <c r="C41" i="7"/>
  <c r="C40" i="7"/>
  <c r="R7" i="82"/>
  <c r="C28" i="7" s="1"/>
  <c r="R7" i="65"/>
  <c r="G19" i="30"/>
  <c r="C23" i="7"/>
  <c r="P36" i="30"/>
  <c r="C22" i="7"/>
  <c r="C21" i="7"/>
  <c r="C9" i="7"/>
  <c r="I53" i="66"/>
  <c r="E18" i="58" l="1"/>
  <c r="E19" i="58" s="1"/>
  <c r="E15" i="39" l="1"/>
  <c r="G17" i="38"/>
  <c r="P17" i="38"/>
  <c r="G19" i="38"/>
  <c r="P19" i="38"/>
  <c r="G21" i="38"/>
  <c r="P21" i="38"/>
  <c r="G23" i="38"/>
  <c r="P23" i="38"/>
  <c r="G25" i="38"/>
  <c r="P25" i="38"/>
  <c r="G27" i="38"/>
  <c r="P27" i="38"/>
  <c r="G29" i="38"/>
  <c r="P29" i="38"/>
  <c r="G31" i="38"/>
  <c r="P31" i="38"/>
  <c r="G33" i="38"/>
  <c r="P33" i="38"/>
  <c r="P15" i="38"/>
  <c r="G15" i="38"/>
  <c r="J37" i="27"/>
  <c r="J36" i="27"/>
  <c r="J34" i="27"/>
  <c r="J33" i="27"/>
  <c r="S53" i="30"/>
  <c r="S52" i="30"/>
  <c r="S46" i="30"/>
  <c r="T54" i="30"/>
  <c r="T53" i="30"/>
  <c r="E14" i="46" l="1"/>
  <c r="F21" i="39"/>
  <c r="S45" i="30"/>
  <c r="M17" i="34" s="1"/>
  <c r="Q19" i="34"/>
  <c r="Q17" i="34"/>
  <c r="AJ22" i="30"/>
  <c r="U17" i="34" l="1"/>
  <c r="Y17" i="30" l="1"/>
  <c r="Y13" i="30"/>
  <c r="R54" i="30"/>
  <c r="S54" i="30"/>
  <c r="E6" i="94"/>
  <c r="E5" i="94"/>
  <c r="E4" i="94"/>
  <c r="R3" i="94"/>
  <c r="E3" i="94"/>
  <c r="I18" i="28" l="1"/>
  <c r="I18" i="58"/>
  <c r="I19" i="58" s="1"/>
  <c r="M19" i="34"/>
  <c r="U19" i="34" s="1"/>
  <c r="Q18" i="28"/>
  <c r="A14" i="46"/>
  <c r="A24" i="45"/>
  <c r="A14" i="45"/>
  <c r="U18" i="28" l="1"/>
  <c r="I19" i="34"/>
  <c r="I20" i="34" s="1"/>
  <c r="A46" i="49"/>
  <c r="A9" i="85" l="1"/>
  <c r="E21" i="84"/>
  <c r="M14" i="85"/>
  <c r="C58" i="85"/>
  <c r="C55" i="85"/>
  <c r="C52" i="85"/>
  <c r="A14" i="85"/>
  <c r="E6" i="85"/>
  <c r="E5" i="85"/>
  <c r="E4" i="85"/>
  <c r="R3" i="85"/>
  <c r="E3" i="85"/>
  <c r="M58" i="85" s="1"/>
  <c r="R6" i="84"/>
  <c r="E6" i="84"/>
  <c r="E5" i="84"/>
  <c r="E4" i="84"/>
  <c r="R3" i="84"/>
  <c r="E3" i="84"/>
  <c r="M52" i="85" l="1"/>
  <c r="M55" i="85"/>
  <c r="U55" i="81" l="1"/>
  <c r="E20" i="27" l="1"/>
  <c r="B138" i="30" l="1"/>
  <c r="I15" i="79" s="1"/>
  <c r="G18" i="30" l="1"/>
  <c r="R7" i="78" s="1"/>
  <c r="C36" i="7"/>
  <c r="H28" i="7"/>
  <c r="G14" i="30"/>
  <c r="A9" i="82"/>
  <c r="E6" i="82"/>
  <c r="E5" i="82"/>
  <c r="E4" i="82"/>
  <c r="R3" i="82"/>
  <c r="E3" i="82"/>
  <c r="U56" i="64" l="1"/>
  <c r="L56" i="64"/>
  <c r="U50" i="62"/>
  <c r="L50" i="62"/>
  <c r="A9" i="81"/>
  <c r="E6" i="81"/>
  <c r="E5" i="81"/>
  <c r="E4" i="81"/>
  <c r="R3" i="81"/>
  <c r="E3" i="81"/>
  <c r="C14" i="7"/>
  <c r="C5" i="7"/>
  <c r="E6" i="80"/>
  <c r="E5" i="80"/>
  <c r="E4" i="80"/>
  <c r="R3" i="80"/>
  <c r="E3" i="80"/>
  <c r="C58" i="79"/>
  <c r="C55" i="79"/>
  <c r="C52" i="79"/>
  <c r="E6" i="79"/>
  <c r="E5" i="79"/>
  <c r="E4" i="79"/>
  <c r="R3" i="79"/>
  <c r="E3" i="79"/>
  <c r="M58" i="79" s="1"/>
  <c r="U44" i="64" l="1"/>
  <c r="V48" i="38" s="1"/>
  <c r="P35" i="38"/>
  <c r="U39" i="64"/>
  <c r="V38" i="38" s="1"/>
  <c r="G35" i="38"/>
  <c r="A15" i="81"/>
  <c r="M52" i="79"/>
  <c r="M55" i="79"/>
  <c r="D210" i="30"/>
  <c r="AD97" i="30"/>
  <c r="J31" i="27"/>
  <c r="J32" i="27"/>
  <c r="F17" i="62"/>
  <c r="F18" i="62"/>
  <c r="F19" i="62"/>
  <c r="F20" i="62"/>
  <c r="F21" i="62"/>
  <c r="F15" i="62"/>
  <c r="H34" i="7"/>
  <c r="H33" i="7"/>
  <c r="A9" i="78"/>
  <c r="C33" i="7"/>
  <c r="E6" i="78"/>
  <c r="E5" i="78"/>
  <c r="E4" i="78"/>
  <c r="R3" i="78"/>
  <c r="E3" i="78"/>
  <c r="H32" i="7"/>
  <c r="H30" i="7"/>
  <c r="H29" i="7"/>
  <c r="A9" i="76"/>
  <c r="E6" i="76"/>
  <c r="E5" i="76"/>
  <c r="E4" i="76"/>
  <c r="E3" i="76"/>
  <c r="G20" i="30"/>
  <c r="G17" i="30"/>
  <c r="R7" i="76" s="1"/>
  <c r="C32" i="7" s="1"/>
  <c r="G16" i="30"/>
  <c r="R7" i="66" s="1"/>
  <c r="C30" i="7" s="1"/>
  <c r="G15" i="30"/>
  <c r="G13" i="30"/>
  <c r="R7" i="99" s="1"/>
  <c r="E14" i="45" l="1"/>
  <c r="U14" i="45" s="1"/>
  <c r="E59" i="38"/>
  <c r="E44" i="38"/>
  <c r="E54" i="38"/>
  <c r="E24" i="45"/>
  <c r="U24" i="45" s="1"/>
  <c r="A48" i="45" s="1"/>
  <c r="R7" i="105"/>
  <c r="R7" i="106"/>
  <c r="R7" i="84"/>
  <c r="R7" i="98"/>
  <c r="R7" i="73"/>
  <c r="A16" i="81"/>
  <c r="B139" i="30" s="1"/>
  <c r="I16" i="79" s="1"/>
  <c r="R7" i="80"/>
  <c r="F16" i="62"/>
  <c r="R7" i="70"/>
  <c r="C34" i="7" s="1"/>
  <c r="R3" i="76"/>
  <c r="A17" i="81" l="1"/>
  <c r="A18" i="81" l="1"/>
  <c r="H27" i="7"/>
  <c r="A19" i="81" l="1"/>
  <c r="A20" i="81" l="1"/>
  <c r="S44" i="30"/>
  <c r="S60" i="30"/>
  <c r="A147" i="30" l="1"/>
  <c r="A21" i="81"/>
  <c r="A148" i="30" l="1"/>
  <c r="A22" i="81"/>
  <c r="B145" i="30" s="1"/>
  <c r="I22" i="79" s="1"/>
  <c r="E44" i="64"/>
  <c r="E39" i="64"/>
  <c r="C15" i="7"/>
  <c r="A151" i="30" l="1"/>
  <c r="A149" i="30"/>
  <c r="A23" i="81"/>
  <c r="B146" i="30" s="1"/>
  <c r="I23" i="79" s="1"/>
  <c r="A9" i="73"/>
  <c r="C29" i="7"/>
  <c r="E6" i="73"/>
  <c r="E5" i="73"/>
  <c r="E4" i="73"/>
  <c r="R3" i="73"/>
  <c r="E3" i="73"/>
  <c r="C27" i="7"/>
  <c r="A150" i="30" l="1"/>
  <c r="A152" i="30"/>
  <c r="A154" i="30"/>
  <c r="A24" i="81"/>
  <c r="F24" i="81" l="1"/>
  <c r="B147" i="30" s="1"/>
  <c r="A155" i="30"/>
  <c r="A157" i="30"/>
  <c r="A153" i="30"/>
  <c r="A25" i="81"/>
  <c r="F25" i="81" s="1"/>
  <c r="B148" i="30" s="1"/>
  <c r="E24" i="80" l="1"/>
  <c r="I24" i="79"/>
  <c r="E25" i="80"/>
  <c r="I25" i="79"/>
  <c r="A160" i="30"/>
  <c r="A156" i="30"/>
  <c r="A158" i="30"/>
  <c r="A26" i="81"/>
  <c r="F26" i="81" s="1"/>
  <c r="B149" i="30" s="1"/>
  <c r="A9" i="70"/>
  <c r="E6" i="70"/>
  <c r="E5" i="70"/>
  <c r="E4" i="70"/>
  <c r="R3" i="70"/>
  <c r="E3" i="70"/>
  <c r="A9" i="66"/>
  <c r="E6" i="66"/>
  <c r="E5" i="66"/>
  <c r="E4" i="66"/>
  <c r="R3" i="66"/>
  <c r="E3" i="66"/>
  <c r="A9" i="65"/>
  <c r="E6" i="65"/>
  <c r="E5" i="65"/>
  <c r="E4" i="65"/>
  <c r="R3" i="65"/>
  <c r="E3" i="65"/>
  <c r="I26" i="79" l="1"/>
  <c r="E26" i="80"/>
  <c r="A159" i="30"/>
  <c r="A161" i="30"/>
  <c r="A27" i="81"/>
  <c r="F27" i="81" s="1"/>
  <c r="B150" i="30" s="1"/>
  <c r="C39" i="7"/>
  <c r="C37" i="7"/>
  <c r="E6" i="64"/>
  <c r="E5" i="64"/>
  <c r="E4" i="64"/>
  <c r="R3" i="64"/>
  <c r="E3" i="64"/>
  <c r="F37" i="27"/>
  <c r="F36" i="27"/>
  <c r="F35" i="27"/>
  <c r="F34" i="27"/>
  <c r="F33" i="27"/>
  <c r="F32" i="27"/>
  <c r="F31" i="27"/>
  <c r="T24" i="62"/>
  <c r="E22" i="62"/>
  <c r="E6" i="62"/>
  <c r="E5" i="62"/>
  <c r="E4" i="62"/>
  <c r="E4" i="100" s="1"/>
  <c r="R3" i="62"/>
  <c r="E3" i="62"/>
  <c r="E6" i="58"/>
  <c r="E5" i="58"/>
  <c r="E4" i="58"/>
  <c r="R3" i="58"/>
  <c r="E3" i="58"/>
  <c r="Q53" i="73" l="1"/>
  <c r="E27" i="80"/>
  <c r="I27" i="79"/>
  <c r="A28" i="81"/>
  <c r="F28" i="81" s="1"/>
  <c r="B151" i="30" s="1"/>
  <c r="T31" i="27"/>
  <c r="I28" i="79" l="1"/>
  <c r="E28" i="80"/>
  <c r="A29" i="81"/>
  <c r="F29" i="81" s="1"/>
  <c r="B152" i="30" s="1"/>
  <c r="Q14" i="28"/>
  <c r="Q44" i="30"/>
  <c r="O52" i="30"/>
  <c r="R52" i="30"/>
  <c r="T52" i="30"/>
  <c r="R53" i="30"/>
  <c r="I14" i="28" l="1"/>
  <c r="I15" i="28" s="1"/>
  <c r="I16" i="28"/>
  <c r="I17" i="28" s="1"/>
  <c r="I16" i="58"/>
  <c r="I17" i="58" s="1"/>
  <c r="Q45" i="30"/>
  <c r="Q54" i="30"/>
  <c r="Q46" i="30"/>
  <c r="Q53" i="30"/>
  <c r="E29" i="80"/>
  <c r="I29" i="79"/>
  <c r="A30" i="81"/>
  <c r="F30" i="81" s="1"/>
  <c r="B153" i="30" s="1"/>
  <c r="Q52" i="30"/>
  <c r="U14" i="58"/>
  <c r="I14" i="58"/>
  <c r="I15" i="58" s="1"/>
  <c r="E14" i="58"/>
  <c r="E15" i="58" s="1"/>
  <c r="A14" i="58"/>
  <c r="C20" i="7"/>
  <c r="C18" i="7"/>
  <c r="C12" i="7"/>
  <c r="C11" i="7"/>
  <c r="C10" i="7"/>
  <c r="C50" i="49"/>
  <c r="C53" i="49"/>
  <c r="C56" i="49"/>
  <c r="U18" i="58" l="1"/>
  <c r="U16" i="28"/>
  <c r="Q16" i="28"/>
  <c r="U16" i="58"/>
  <c r="I17" i="34"/>
  <c r="I18" i="34" s="1"/>
  <c r="E30" i="80"/>
  <c r="I30" i="79"/>
  <c r="A31" i="81"/>
  <c r="F31" i="81" s="1"/>
  <c r="B154" i="30" s="1"/>
  <c r="E31" i="80" l="1"/>
  <c r="I31" i="79"/>
  <c r="A32" i="81"/>
  <c r="F32" i="81" s="1"/>
  <c r="B155" i="30" s="1"/>
  <c r="C8" i="7"/>
  <c r="C7" i="7"/>
  <c r="C25" i="8"/>
  <c r="C23" i="8"/>
  <c r="R7" i="39"/>
  <c r="R7" i="28"/>
  <c r="R7" i="27"/>
  <c r="R7" i="16"/>
  <c r="E6" i="49"/>
  <c r="E5" i="49"/>
  <c r="E4" i="49"/>
  <c r="R3" i="49"/>
  <c r="E3" i="49"/>
  <c r="E6" i="46"/>
  <c r="E5" i="46"/>
  <c r="E4" i="46"/>
  <c r="R3" i="46"/>
  <c r="E3" i="46"/>
  <c r="E6" i="45"/>
  <c r="E5" i="45"/>
  <c r="E4" i="45"/>
  <c r="R3" i="45"/>
  <c r="E3" i="45"/>
  <c r="E6" i="34"/>
  <c r="E5" i="34"/>
  <c r="E4" i="34"/>
  <c r="R3" i="34"/>
  <c r="E3" i="34"/>
  <c r="E6" i="33"/>
  <c r="E5" i="33"/>
  <c r="E4" i="33"/>
  <c r="R3" i="33"/>
  <c r="E3" i="33"/>
  <c r="R6" i="39"/>
  <c r="E6" i="39"/>
  <c r="E5" i="39"/>
  <c r="E4" i="39"/>
  <c r="R3" i="39"/>
  <c r="E3" i="39"/>
  <c r="R6" i="38"/>
  <c r="E6" i="38"/>
  <c r="E5" i="38"/>
  <c r="E4" i="38"/>
  <c r="R3" i="38"/>
  <c r="E3" i="38"/>
  <c r="R6" i="28"/>
  <c r="E6" i="28"/>
  <c r="E5" i="28"/>
  <c r="E4" i="28"/>
  <c r="R3" i="28"/>
  <c r="E3" i="28"/>
  <c r="C203" i="30"/>
  <c r="AZ8" i="30"/>
  <c r="R5" i="28"/>
  <c r="I32" i="79" l="1"/>
  <c r="E32" i="80"/>
  <c r="A33" i="81"/>
  <c r="F33" i="81" s="1"/>
  <c r="B156" i="30" s="1"/>
  <c r="M56" i="49"/>
  <c r="M50" i="49"/>
  <c r="M53" i="49"/>
  <c r="C244" i="30"/>
  <c r="C243" i="30"/>
  <c r="C242" i="30"/>
  <c r="C241" i="30"/>
  <c r="D211" i="30"/>
  <c r="D214" i="30"/>
  <c r="D215" i="30"/>
  <c r="D216" i="30"/>
  <c r="E33" i="80" l="1"/>
  <c r="I33" i="79"/>
  <c r="A34" i="81"/>
  <c r="F34" i="81" s="1"/>
  <c r="B157" i="30" s="1"/>
  <c r="C240" i="30"/>
  <c r="C236" i="30"/>
  <c r="C238" i="30"/>
  <c r="C239" i="30"/>
  <c r="C237" i="30"/>
  <c r="C202" i="30"/>
  <c r="U14" i="46"/>
  <c r="A46" i="46" s="1"/>
  <c r="E48" i="38"/>
  <c r="E38" i="38"/>
  <c r="N15" i="7" l="1"/>
  <c r="I34" i="79"/>
  <c r="E34" i="80"/>
  <c r="A35" i="81"/>
  <c r="F35" i="81" s="1"/>
  <c r="B158" i="30" s="1"/>
  <c r="F59" i="39"/>
  <c r="C30" i="8"/>
  <c r="C21" i="8"/>
  <c r="E35" i="80" l="1"/>
  <c r="I35" i="79"/>
  <c r="A36" i="81"/>
  <c r="F36" i="81" s="1"/>
  <c r="B159" i="30" s="1"/>
  <c r="U19" i="84" l="1"/>
  <c r="E36" i="80"/>
  <c r="I36" i="79"/>
  <c r="A37" i="81"/>
  <c r="F37" i="81" s="1"/>
  <c r="B160" i="30" s="1"/>
  <c r="A14" i="28"/>
  <c r="T22" i="27" l="1"/>
  <c r="F46" i="27" s="1"/>
  <c r="E37" i="80"/>
  <c r="I37" i="79"/>
  <c r="A38" i="81"/>
  <c r="F38" i="81" s="1"/>
  <c r="B161" i="30" s="1"/>
  <c r="P15" i="33" l="1"/>
  <c r="F24" i="27"/>
  <c r="E38" i="80"/>
  <c r="I38" i="79"/>
  <c r="C56" i="46"/>
  <c r="C53" i="46"/>
  <c r="C50" i="46"/>
  <c r="M56" i="46"/>
  <c r="C58" i="45"/>
  <c r="C55" i="45"/>
  <c r="C52" i="45"/>
  <c r="M58" i="45"/>
  <c r="M50" i="46" l="1"/>
  <c r="M53" i="46"/>
  <c r="M52" i="45"/>
  <c r="M55" i="45"/>
  <c r="AD100" i="30" l="1"/>
  <c r="AD103" i="30" l="1"/>
  <c r="AE100" i="30"/>
  <c r="AF102" i="30"/>
  <c r="AF100" i="30"/>
  <c r="AE101" i="30"/>
  <c r="AF101" i="30"/>
  <c r="AE102" i="30"/>
  <c r="AD106" i="30" l="1"/>
  <c r="AF105" i="30"/>
  <c r="AE105" i="30"/>
  <c r="AE103" i="30"/>
  <c r="AF103" i="30"/>
  <c r="AF104" i="30"/>
  <c r="AE104" i="30"/>
  <c r="AD108" i="30" l="1"/>
  <c r="AF106" i="30"/>
  <c r="AE106" i="30"/>
  <c r="AE107" i="30"/>
  <c r="AF107" i="30"/>
  <c r="E39" i="27" l="1"/>
  <c r="Q15" i="34" l="1"/>
  <c r="M15" i="34"/>
  <c r="E15" i="34"/>
  <c r="U14" i="28"/>
  <c r="F31" i="28" s="1"/>
  <c r="M14" i="28"/>
  <c r="D7" i="30"/>
  <c r="E7" i="99" l="1"/>
  <c r="E7" i="107"/>
  <c r="A53" i="73"/>
  <c r="A53" i="104"/>
  <c r="E7" i="102"/>
  <c r="A56" i="70"/>
  <c r="E7" i="100"/>
  <c r="A53" i="70"/>
  <c r="A15" i="100"/>
  <c r="E7" i="104"/>
  <c r="E7" i="105"/>
  <c r="J38" i="105" s="1"/>
  <c r="E7" i="106"/>
  <c r="J39" i="106" s="1"/>
  <c r="E7" i="98"/>
  <c r="E7" i="97"/>
  <c r="A15" i="97"/>
  <c r="E7" i="94"/>
  <c r="F21" i="28"/>
  <c r="E7" i="84"/>
  <c r="A15" i="84" s="1"/>
  <c r="E7" i="85"/>
  <c r="A53" i="82"/>
  <c r="E7" i="82"/>
  <c r="A54" i="78"/>
  <c r="E7" i="81"/>
  <c r="E7" i="79"/>
  <c r="A15" i="79"/>
  <c r="E7" i="80"/>
  <c r="I15" i="34"/>
  <c r="I16" i="34" s="1"/>
  <c r="E7" i="76"/>
  <c r="E7" i="78"/>
  <c r="A53" i="76"/>
  <c r="A15" i="38"/>
  <c r="A15" i="64"/>
  <c r="E7" i="73"/>
  <c r="A15" i="33"/>
  <c r="E7" i="70"/>
  <c r="A53" i="66"/>
  <c r="E7" i="65"/>
  <c r="A53" i="65"/>
  <c r="E7" i="66"/>
  <c r="E7" i="58"/>
  <c r="E7" i="64"/>
  <c r="E7" i="62"/>
  <c r="E7" i="28"/>
  <c r="E7" i="45"/>
  <c r="E7" i="34"/>
  <c r="E7" i="39"/>
  <c r="E7" i="38"/>
  <c r="E7" i="49"/>
  <c r="E7" i="46"/>
  <c r="AA1" i="46" s="1"/>
  <c r="E7" i="33"/>
  <c r="C32" i="8"/>
  <c r="U15" i="34"/>
  <c r="A48" i="34" s="1"/>
  <c r="C58" i="34"/>
  <c r="C55" i="34"/>
  <c r="C52" i="34"/>
  <c r="M52" i="34"/>
  <c r="M55" i="34" l="1"/>
  <c r="M58" i="34"/>
  <c r="T39" i="27" l="1"/>
  <c r="K20" i="33" s="1"/>
  <c r="C58" i="33"/>
  <c r="C55" i="33"/>
  <c r="C52" i="33"/>
  <c r="R6" i="27"/>
  <c r="E6" i="27"/>
  <c r="E5" i="27"/>
  <c r="E4" i="27"/>
  <c r="R3" i="27"/>
  <c r="M58" i="33" l="1"/>
  <c r="M52" i="33"/>
  <c r="E18" i="34"/>
  <c r="M55" i="33"/>
  <c r="E12" i="16" l="1"/>
  <c r="E5" i="16"/>
  <c r="V22" i="16" l="1"/>
  <c r="V26" i="16"/>
  <c r="V30" i="16"/>
  <c r="V34" i="16"/>
  <c r="I30" i="97"/>
  <c r="I17" i="97"/>
  <c r="I20" i="97"/>
  <c r="I33" i="97"/>
  <c r="I31" i="97"/>
  <c r="I26" i="97"/>
  <c r="I27" i="97"/>
  <c r="I34" i="97"/>
  <c r="I16" i="97"/>
  <c r="I24" i="97"/>
  <c r="I36" i="97"/>
  <c r="I35" i="97"/>
  <c r="I21" i="97"/>
  <c r="I18" i="97"/>
  <c r="I15" i="97"/>
  <c r="I32" i="97"/>
  <c r="I23" i="97"/>
  <c r="I38" i="97"/>
  <c r="I28" i="97"/>
  <c r="I25" i="97"/>
  <c r="I29" i="97"/>
  <c r="I19" i="97"/>
  <c r="I37" i="97"/>
  <c r="I22" i="97"/>
  <c r="E13" i="16"/>
  <c r="E14" i="16" s="1"/>
  <c r="E10" i="16"/>
  <c r="F43" i="16" l="1"/>
  <c r="F42" i="16"/>
  <c r="Q30" i="97"/>
  <c r="U30" i="97" s="1"/>
  <c r="Q36" i="97"/>
  <c r="U36" i="97" s="1"/>
  <c r="Q18" i="97"/>
  <c r="U18" i="97" s="1"/>
  <c r="Q31" i="97"/>
  <c r="U31" i="97" s="1"/>
  <c r="Q23" i="97"/>
  <c r="U23" i="97" s="1"/>
  <c r="Q37" i="97"/>
  <c r="U37" i="97" s="1"/>
  <c r="Q27" i="97"/>
  <c r="U27" i="97" s="1"/>
  <c r="Q22" i="97"/>
  <c r="U22" i="97" s="1"/>
  <c r="Q28" i="97"/>
  <c r="U28" i="97" s="1"/>
  <c r="Q24" i="97"/>
  <c r="U24" i="97" s="1"/>
  <c r="Q15" i="97"/>
  <c r="U15" i="97" s="1"/>
  <c r="Q16" i="97"/>
  <c r="U16" i="97" s="1"/>
  <c r="Q17" i="97"/>
  <c r="U17" i="97" s="1"/>
  <c r="Q35" i="97"/>
  <c r="U35" i="97" s="1"/>
  <c r="Q33" i="97"/>
  <c r="U33" i="97" s="1"/>
  <c r="Q21" i="97"/>
  <c r="U21" i="97" s="1"/>
  <c r="Q26" i="97"/>
  <c r="U26" i="97" s="1"/>
  <c r="Q38" i="97"/>
  <c r="U38" i="97" s="1"/>
  <c r="Q32" i="97"/>
  <c r="U32" i="97" s="1"/>
  <c r="Q19" i="97"/>
  <c r="U19" i="97" s="1"/>
  <c r="Q20" i="97"/>
  <c r="U20" i="97" s="1"/>
  <c r="Q25" i="97"/>
  <c r="U25" i="97" s="1"/>
  <c r="Q34" i="97"/>
  <c r="U34" i="97" s="1"/>
  <c r="Q29" i="97"/>
  <c r="U29" i="97" s="1"/>
  <c r="R6" i="16"/>
  <c r="R3" i="16"/>
  <c r="E6" i="16"/>
  <c r="E4" i="16"/>
  <c r="E3" i="16"/>
  <c r="A6" i="30"/>
  <c r="A4" i="30"/>
  <c r="A48" i="97" l="1"/>
  <c r="E7" i="27"/>
  <c r="E7" i="16"/>
  <c r="X5" i="7" l="1"/>
  <c r="V1" i="79" l="1"/>
  <c r="X6" i="7"/>
  <c r="V1" i="97" s="1"/>
  <c r="X7" i="7" l="1"/>
  <c r="X8" i="7" l="1"/>
  <c r="V1" i="33"/>
  <c r="V1" i="34"/>
  <c r="X9" i="7"/>
  <c r="V1" i="85" l="1"/>
  <c r="X10" i="7"/>
  <c r="V1" i="45" s="1"/>
  <c r="X11" i="7" l="1"/>
  <c r="V1" i="46"/>
  <c r="X12" i="7"/>
  <c r="V1" i="49" l="1"/>
  <c r="X14" i="7" l="1"/>
  <c r="V1" i="80" l="1"/>
  <c r="X15" i="7"/>
  <c r="X16" i="7" s="1"/>
  <c r="V1" i="98" l="1"/>
  <c r="X17" i="7"/>
  <c r="V1" i="16"/>
  <c r="T41" i="27"/>
  <c r="F43" i="27" s="1"/>
  <c r="V1" i="99" l="1"/>
  <c r="X18" i="7"/>
  <c r="X19" i="7" s="1"/>
  <c r="P20" i="33"/>
  <c r="U20" i="33" s="1"/>
  <c r="V1" i="27" l="1"/>
  <c r="V1" i="102"/>
  <c r="X20" i="7"/>
  <c r="V1" i="28" s="1"/>
  <c r="X21" i="7" l="1"/>
  <c r="V1" i="84" s="1"/>
  <c r="X22" i="7" l="1"/>
  <c r="V1" i="38" s="1"/>
  <c r="X23" i="7" l="1"/>
  <c r="V1" i="39" s="1"/>
  <c r="X24" i="7" l="1"/>
  <c r="V1" i="105"/>
  <c r="X25" i="7"/>
  <c r="V1" i="106" s="1"/>
  <c r="X27" i="7"/>
  <c r="X28" i="7" l="1"/>
  <c r="V1" i="82"/>
  <c r="X29" i="7"/>
  <c r="V1" i="65"/>
  <c r="X30" i="7" l="1"/>
  <c r="V1" i="104" s="1"/>
  <c r="V1" i="73"/>
  <c r="X31" i="7" l="1"/>
  <c r="X32" i="7" l="1"/>
  <c r="V1" i="66"/>
  <c r="X33" i="7"/>
  <c r="V1" i="78" s="1"/>
  <c r="V1" i="76"/>
  <c r="X34" i="7" l="1"/>
  <c r="V1" i="70" s="1"/>
  <c r="AD111" i="30"/>
  <c r="AF108" i="30"/>
  <c r="AE110" i="30"/>
  <c r="AE108" i="30"/>
  <c r="AF109" i="30"/>
  <c r="AF110" i="30"/>
  <c r="AE109" i="30"/>
  <c r="AE112" i="30" l="1"/>
  <c r="AF111" i="30"/>
  <c r="AE113" i="30"/>
  <c r="AD114" i="30"/>
  <c r="AF113" i="30"/>
  <c r="AE111" i="30"/>
  <c r="AF112" i="30"/>
  <c r="AE115" i="30" l="1"/>
  <c r="AF116" i="30"/>
  <c r="AE116" i="30"/>
  <c r="AF115" i="30"/>
  <c r="AD117" i="30"/>
  <c r="AE114" i="30"/>
  <c r="AF114" i="30"/>
  <c r="X36" i="7" l="1"/>
  <c r="AD120" i="30"/>
  <c r="AE119" i="30"/>
  <c r="AF118" i="30"/>
  <c r="AF117" i="30"/>
  <c r="AE117" i="30"/>
  <c r="AE118" i="30"/>
  <c r="AF119" i="30"/>
  <c r="X37" i="7" l="1"/>
  <c r="X38" i="7" s="1"/>
  <c r="V1" i="81"/>
  <c r="V1" i="62"/>
  <c r="AE122" i="30"/>
  <c r="AF120" i="30"/>
  <c r="AE120" i="30"/>
  <c r="AF121" i="30"/>
  <c r="AE121" i="30"/>
  <c r="AF122" i="30"/>
  <c r="AD123" i="30"/>
  <c r="V1" i="100" l="1"/>
  <c r="X39" i="7"/>
  <c r="X40" i="7" s="1"/>
  <c r="AF125" i="30"/>
  <c r="AE124" i="30"/>
  <c r="AF123" i="30"/>
  <c r="AE125" i="30"/>
  <c r="AD126" i="30"/>
  <c r="AF124" i="30"/>
  <c r="AE123" i="30"/>
  <c r="V1" i="58" l="1"/>
  <c r="X41" i="7"/>
  <c r="V1" i="64"/>
  <c r="AE128" i="30"/>
  <c r="AE127" i="30"/>
  <c r="AF126" i="30"/>
  <c r="AE126" i="30"/>
  <c r="AF128" i="30"/>
  <c r="AD129" i="30"/>
  <c r="AF127" i="30"/>
  <c r="V1" i="94" l="1"/>
  <c r="X42" i="7"/>
  <c r="V1" i="107" s="1"/>
  <c r="AE129" i="30"/>
  <c r="AF129" i="30"/>
  <c r="AE130" i="30"/>
  <c r="AF131" i="30"/>
  <c r="AE131" i="30"/>
  <c r="AF130" i="30"/>
  <c r="X1" i="7" l="1"/>
  <c r="X1" i="106" l="1"/>
  <c r="X1" i="105"/>
  <c r="X1" i="104"/>
  <c r="X1" i="107"/>
  <c r="X1" i="99"/>
  <c r="X1" i="98"/>
  <c r="X1" i="97"/>
  <c r="X1" i="94"/>
  <c r="X1" i="85"/>
  <c r="X1" i="84"/>
  <c r="X1" i="81"/>
  <c r="X1" i="82"/>
  <c r="X1" i="80"/>
  <c r="X1" i="79"/>
  <c r="X1" i="34"/>
  <c r="X1" i="73"/>
  <c r="X1" i="28"/>
  <c r="X1" i="65"/>
  <c r="X1" i="66"/>
  <c r="X1" i="39"/>
  <c r="X1" i="33"/>
  <c r="X1" i="45"/>
  <c r="X1" i="76"/>
  <c r="X1" i="38"/>
  <c r="X1" i="27"/>
  <c r="X1" i="62"/>
  <c r="X1" i="64"/>
  <c r="X1" i="49"/>
  <c r="X1" i="78"/>
  <c r="X1" i="16"/>
  <c r="X1" i="46"/>
  <c r="X1" i="70"/>
  <c r="X1" i="58"/>
  <c r="B136" i="30" l="1"/>
  <c r="V15" i="80" l="1"/>
  <c r="T15" i="81"/>
  <c r="F58" i="80" l="1"/>
  <c r="F57" i="80"/>
  <c r="O15" i="79"/>
  <c r="U23" i="79" l="1"/>
  <c r="U24" i="79"/>
  <c r="U25" i="79"/>
  <c r="U26" i="79"/>
  <c r="U27" i="79"/>
  <c r="U28" i="79"/>
  <c r="U29" i="79"/>
  <c r="U30" i="79"/>
  <c r="U31" i="79"/>
  <c r="U32" i="79"/>
  <c r="U33" i="79"/>
  <c r="U34" i="79"/>
  <c r="U35" i="79"/>
  <c r="U36" i="79"/>
  <c r="U37" i="79"/>
  <c r="U38" i="79"/>
  <c r="U16" i="79"/>
  <c r="U19" i="79"/>
  <c r="U21" i="79"/>
  <c r="U17" i="79"/>
  <c r="U20" i="79"/>
  <c r="U15" i="79"/>
  <c r="A48" i="79" s="1"/>
  <c r="U18" i="79"/>
  <c r="U22" i="79"/>
  <c r="U15" i="33"/>
  <c r="A48" i="33" s="1"/>
  <c r="U15" i="84"/>
  <c r="U21" i="84" s="1"/>
  <c r="E57" i="84" l="1"/>
  <c r="E14" i="85"/>
  <c r="U14" i="85" s="1"/>
  <c r="A48" i="85" s="1"/>
  <c r="E56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Cervenak Slavo</author>
  </authors>
  <commentList>
    <comment ref="A13" authorId="0" shapeId="0" xr:uid="{726AEDF5-6B1D-47F8-A41F-D654E19983C7}">
      <text>
        <r>
          <rPr>
            <b/>
            <sz val="9"/>
            <color indexed="81"/>
            <rFont val="Segoe UI"/>
            <family val="2"/>
          </rPr>
          <t>Cervenak Slavo: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<sst xmlns="http://schemas.openxmlformats.org/spreadsheetml/2006/main" count="2057" uniqueCount="753">
  <si>
    <t>Messung</t>
  </si>
  <si>
    <t>Kunde:</t>
  </si>
  <si>
    <t>Raum:</t>
  </si>
  <si>
    <t>ISO 8</t>
  </si>
  <si>
    <t>-</t>
  </si>
  <si>
    <t>Fläche</t>
  </si>
  <si>
    <t>Volumen</t>
  </si>
  <si>
    <t>Nr.</t>
  </si>
  <si>
    <t>Partikelkonzentration</t>
  </si>
  <si>
    <t>Seite:</t>
  </si>
  <si>
    <t>von</t>
  </si>
  <si>
    <t>Prüfbericht Nr. :</t>
  </si>
  <si>
    <t>Prüfdatum:</t>
  </si>
  <si>
    <t>Betriebszustand:</t>
  </si>
  <si>
    <t>Klassifizierung der Luftreinheit anhand der Partikelkonzentration</t>
  </si>
  <si>
    <t>Klasse</t>
  </si>
  <si>
    <t>Auswertung</t>
  </si>
  <si>
    <t>xi ≥ 0.5 µm</t>
  </si>
  <si>
    <t>xi ≥ 5.0 µm</t>
  </si>
  <si>
    <t>Ja / Nein</t>
  </si>
  <si>
    <t>Resultat:</t>
  </si>
  <si>
    <t>Prüfbericht erstellt und geprüft</t>
  </si>
  <si>
    <t>Datum / Unterschrift:</t>
  </si>
  <si>
    <t>Messung durchgeführt</t>
  </si>
  <si>
    <t>Prüfbericht geprüft:</t>
  </si>
  <si>
    <t>Prüfbericht geprüft und genehmigt:</t>
  </si>
  <si>
    <t>Prüfbericht genehmigt:</t>
  </si>
  <si>
    <t>Q-TEC AG, K. Steiner</t>
  </si>
  <si>
    <t>Raumfläche (A):</t>
  </si>
  <si>
    <r>
      <t>Mindestanzahl der zu prüfenden Probenahmeorte*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</si>
  <si>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Reinheitsklasse:</t>
  </si>
  <si>
    <t>Probenahmeort</t>
  </si>
  <si>
    <t>Probe</t>
  </si>
  <si>
    <t>Mittelwert der Probe vom Probenahmeort</t>
  </si>
  <si>
    <t>Messung
Nr.</t>
  </si>
  <si>
    <r>
      <t>Partikel / 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 xml:space="preserve">  (Zykluszeit 60s)</t>
    </r>
  </si>
  <si>
    <t>Höchster Mittelwert der Partikelkonzentration -</t>
  </si>
  <si>
    <t>Ergebnis:</t>
  </si>
  <si>
    <t xml:space="preserve">Schlussfolgerung: </t>
  </si>
  <si>
    <t>Inhaltsverzeichnis</t>
  </si>
  <si>
    <t xml:space="preserve">Original-Rohdaten </t>
  </si>
  <si>
    <t>Prüfbericht</t>
  </si>
  <si>
    <t>Rohdaten</t>
  </si>
  <si>
    <t xml:space="preserve">Q-TEC AG, </t>
  </si>
  <si>
    <t>Messung durchgeführt:</t>
  </si>
  <si>
    <t>S. Cervenak</t>
  </si>
  <si>
    <t>L. Wegmann</t>
  </si>
  <si>
    <t>Leckprüfung am eingebauten Filtersystem</t>
  </si>
  <si>
    <t>Filterkennzeichnung:</t>
  </si>
  <si>
    <r>
      <t>472 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/s (28,3 l/min)</t>
    </r>
  </si>
  <si>
    <t>Filterhersteller/ Filtertyp:</t>
  </si>
  <si>
    <t>Sondenabmessung:</t>
  </si>
  <si>
    <t xml:space="preserve">2 x 5.6 cm </t>
  </si>
  <si>
    <t>(parallel x senkrecht zur Abtastrichtung)</t>
  </si>
  <si>
    <t>Abtastgeschwindigkeit:</t>
  </si>
  <si>
    <t>&lt; 5 cm/s</t>
  </si>
  <si>
    <t>Filterklasse:</t>
  </si>
  <si>
    <t>H14</t>
  </si>
  <si>
    <t>gemäss SN EN 1822-1</t>
  </si>
  <si>
    <t>Gesamtscandauer:</t>
  </si>
  <si>
    <t>Filterabscheidegrad:</t>
  </si>
  <si>
    <t>Integralwert</t>
  </si>
  <si>
    <r>
      <t>Verdünnung (VD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>):</t>
    </r>
  </si>
  <si>
    <t>1:100</t>
  </si>
  <si>
    <t>Aerosol:</t>
  </si>
  <si>
    <t>DEHS (Di-2-Ethyl-Hexyl-Sebzat)</t>
  </si>
  <si>
    <t>Filterkennzeichnung</t>
  </si>
  <si>
    <t>Messung Nr.</t>
  </si>
  <si>
    <t xml:space="preserve">Aerosolkonzentration </t>
  </si>
  <si>
    <t xml:space="preserve">Partikelkonzentration </t>
  </si>
  <si>
    <t>lokale
Leckpenetration
am Filter</t>
  </si>
  <si>
    <t>rohluftseitig</t>
  </si>
  <si>
    <t>reinluftseitig</t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</si>
  <si>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gemessen mit VD</t>
    </r>
    <r>
      <rPr>
        <vertAlign val="superscript"/>
        <sz val="5"/>
        <color theme="1"/>
        <rFont val="Arial"/>
        <family val="2"/>
      </rPr>
      <t>2)</t>
    </r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</si>
  <si>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x 100 (VD</t>
    </r>
    <r>
      <rPr>
        <vertAlign val="superscript"/>
        <sz val="5"/>
        <color theme="1"/>
        <rFont val="Arial"/>
        <family val="2"/>
      </rPr>
      <t>2)</t>
    </r>
    <r>
      <rPr>
        <sz val="5"/>
        <color theme="1"/>
        <rFont val="Arial"/>
        <family val="2"/>
      </rPr>
      <t>)</t>
    </r>
  </si>
  <si>
    <t>[Partikel 0,3-0,5μm /ft³]</t>
  </si>
  <si>
    <t>%</t>
  </si>
  <si>
    <t>Abteilung:</t>
  </si>
  <si>
    <t>ISO 7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</si>
  <si>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</si>
  <si>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aussen</t>
  </si>
  <si>
    <t>Mittelwert</t>
  </si>
  <si>
    <t xml:space="preserve">Der Operationsraum </t>
  </si>
  <si>
    <t>°C</t>
  </si>
  <si>
    <t>Zuluft</t>
  </si>
  <si>
    <t>Abluft</t>
  </si>
  <si>
    <t>Soll</t>
  </si>
  <si>
    <t>Abluftvolumenstrom</t>
  </si>
  <si>
    <t>Volumenstrom</t>
  </si>
  <si>
    <t>Überdruck</t>
  </si>
  <si>
    <t>Ist</t>
  </si>
  <si>
    <t>Räume</t>
  </si>
  <si>
    <t>FIT</t>
  </si>
  <si>
    <t>Filter Nr.</t>
  </si>
  <si>
    <t>Reinluft</t>
  </si>
  <si>
    <t>Rohluft</t>
  </si>
  <si>
    <t>Filter Abmessung (BxHxT):</t>
  </si>
  <si>
    <t>Objekt:</t>
  </si>
  <si>
    <t>H13</t>
  </si>
  <si>
    <t xml:space="preserve">Filterklasse </t>
  </si>
  <si>
    <t>maximale
Leckpenetration
am Filter</t>
  </si>
  <si>
    <t>Prüfbericht erstellt:</t>
  </si>
  <si>
    <r>
      <t>Filterdurchlassgrad (P</t>
    </r>
    <r>
      <rPr>
        <vertAlign val="subscript"/>
        <sz val="7"/>
        <rFont val="Arial"/>
        <family val="2"/>
      </rPr>
      <t>s</t>
    </r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>):</t>
    </r>
  </si>
  <si>
    <t>hat einen Abluftvolumenstrom von</t>
  </si>
  <si>
    <t>Volumenströme</t>
  </si>
  <si>
    <t>Abluftvolumen</t>
  </si>
  <si>
    <t xml:space="preserve">Zuluftvolumen </t>
  </si>
  <si>
    <t xml:space="preserve">Ausenluftvolumen </t>
  </si>
  <si>
    <t>Messposition</t>
  </si>
  <si>
    <t>von Raum</t>
  </si>
  <si>
    <t>zu Raum</t>
  </si>
  <si>
    <t>Pa</t>
  </si>
  <si>
    <t>Messwert
(informativ)</t>
  </si>
  <si>
    <t>Überstromrichtung
Ist</t>
  </si>
  <si>
    <t>Unterdruck</t>
  </si>
  <si>
    <t>Nachweis von Überdruck im Operastionsraum zum Deckenhohlraum</t>
  </si>
  <si>
    <t>D1</t>
  </si>
  <si>
    <t>Strömungsnachweis (abgesenkte Betriebsweise)</t>
  </si>
  <si>
    <t xml:space="preserve"> </t>
  </si>
  <si>
    <t>Strömungsnachweis (Normalbetrieb)</t>
  </si>
  <si>
    <t>Strömungsnachweis</t>
  </si>
  <si>
    <t>Auslass Nr.</t>
  </si>
  <si>
    <t>Volumenstrom
Ist</t>
  </si>
  <si>
    <t>Normalbetrieb</t>
  </si>
  <si>
    <t>Messwert (Pa)</t>
  </si>
  <si>
    <t>Überstromrichtung</t>
  </si>
  <si>
    <t>Gleichdruck</t>
  </si>
  <si>
    <t>S 33</t>
  </si>
  <si>
    <t>S 43</t>
  </si>
  <si>
    <t>Betrieb</t>
  </si>
  <si>
    <t>Temperatur</t>
  </si>
  <si>
    <t>Feuchte</t>
  </si>
  <si>
    <t>% r. F.</t>
  </si>
  <si>
    <r>
      <t>L</t>
    </r>
    <r>
      <rPr>
        <vertAlign val="subscript"/>
        <sz val="9"/>
        <color theme="1"/>
        <rFont val="Arial"/>
        <family val="2"/>
      </rPr>
      <t>r,H</t>
    </r>
  </si>
  <si>
    <r>
      <t xml:space="preserve">xi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</t>
    </r>
    <r>
      <rPr>
        <sz val="7"/>
        <color theme="1"/>
        <rFont val="Symbol"/>
        <family val="1"/>
        <charset val="2"/>
      </rPr>
      <t xml:space="preserve">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</t>
    </r>
  </si>
  <si>
    <t>Temperatur
Ist</t>
  </si>
  <si>
    <t>Feuchte
Ist</t>
  </si>
  <si>
    <t>dB(A)</t>
  </si>
  <si>
    <t>ISO 5</t>
  </si>
  <si>
    <t xml:space="preserve">MP </t>
  </si>
  <si>
    <t>ISO Klaase</t>
  </si>
  <si>
    <t>ISO 6</t>
  </si>
  <si>
    <t>ISO 9</t>
  </si>
  <si>
    <t>ISO Klasse 5 gemäss EN ISO 14644-1:2015</t>
  </si>
  <si>
    <t>ISO Klasse 6 gemäss EN ISO 14644-1:2015</t>
  </si>
  <si>
    <t>ISO Klasse 7 gemäss EN ISO 14644-1:2015</t>
  </si>
  <si>
    <t>ISO Klasse 8 gemäss EN ISO 14644-1:2015</t>
  </si>
  <si>
    <t>ISO Klasse 9 gemäss EN ISO 14644-1:2015</t>
  </si>
  <si>
    <t xml:space="preserve">Fläche </t>
  </si>
  <si>
    <t>Volumenströmme
Aussenluft, Zuluft und Abluft</t>
  </si>
  <si>
    <t>Volumenströme Aussenluft, Zuluft und Abluft</t>
  </si>
  <si>
    <t>Zeichnung Nr.:</t>
  </si>
  <si>
    <t>Zuluft Austrittsgeschwindigkeiten</t>
  </si>
  <si>
    <t>Temperaturen und Feuchte</t>
  </si>
  <si>
    <t>Grenzwert</t>
  </si>
  <si>
    <t>Messwert</t>
  </si>
  <si>
    <t>Schallpegel</t>
  </si>
  <si>
    <t>Lr,H</t>
  </si>
  <si>
    <t>□</t>
  </si>
  <si>
    <t>Messgerät (Int.Nr.):</t>
  </si>
  <si>
    <t>Messtechniker:</t>
  </si>
  <si>
    <t>Tel:</t>
  </si>
  <si>
    <t>Unterschrift:</t>
  </si>
  <si>
    <t>vor Ort ausfüllen / zutreffendes ankreuzen</t>
  </si>
  <si>
    <t>eingehalten</t>
  </si>
  <si>
    <t>nicht eingehalten</t>
  </si>
  <si>
    <t>Partikel</t>
  </si>
  <si>
    <t>Zeichnung</t>
  </si>
  <si>
    <t xml:space="preserve">Volumenströme </t>
  </si>
  <si>
    <t>Rheienfolge</t>
  </si>
  <si>
    <t>Messdatum</t>
  </si>
  <si>
    <t>Messdatum  Messung</t>
  </si>
  <si>
    <t>Messdatum:</t>
  </si>
  <si>
    <t xml:space="preserve">Auswertung </t>
  </si>
  <si>
    <r>
      <t>Auswertung</t>
    </r>
    <r>
      <rPr>
        <sz val="10"/>
        <color theme="1"/>
        <rFont val="Arial"/>
        <family val="2"/>
      </rPr>
      <t xml:space="preserve"> </t>
    </r>
  </si>
  <si>
    <t>Prüfung</t>
  </si>
  <si>
    <t>Videodokumentation:</t>
  </si>
  <si>
    <r>
      <t>Prüfung</t>
    </r>
    <r>
      <rPr>
        <sz val="12"/>
        <color theme="1"/>
        <rFont val="Arial"/>
        <family val="2"/>
      </rPr>
      <t xml:space="preserve"> </t>
    </r>
  </si>
  <si>
    <t xml:space="preserve">Prüfung </t>
  </si>
  <si>
    <t>1)</t>
  </si>
  <si>
    <t>alt</t>
  </si>
  <si>
    <t>Messstellenplan</t>
  </si>
  <si>
    <t>Legende:</t>
  </si>
  <si>
    <t>Prüfbericht Nr.:</t>
  </si>
  <si>
    <t>Ansprechperson:</t>
  </si>
  <si>
    <t xml:space="preserve">Raumbez. / Raumnr. </t>
  </si>
  <si>
    <t xml:space="preserve">Anforderung eingehalten </t>
  </si>
  <si>
    <t>zu Raum (Bereich)</t>
  </si>
  <si>
    <t>Max. zulässige Partikelkonzentration</t>
  </si>
  <si>
    <t>Gemessene Partikelkonzentration</t>
  </si>
  <si>
    <t xml:space="preserve">Anfoderung eingehalten </t>
  </si>
  <si>
    <t>Durchflussrate:</t>
  </si>
  <si>
    <t>Abluftvolumenstrom (Sollwert)</t>
  </si>
  <si>
    <r>
      <t>Strömungsnachweis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(Normalbetrieb)</t>
    </r>
  </si>
  <si>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</si>
  <si>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Messwerte (</t>
    </r>
    <r>
      <rPr>
        <sz val="7"/>
        <color theme="1"/>
        <rFont val="Arial"/>
        <family val="2"/>
      </rPr>
      <t>Leckprüfung am eingebauten Filtersystem)</t>
    </r>
  </si>
  <si>
    <t>18.00 - 24.00 °C</t>
  </si>
  <si>
    <r>
      <t xml:space="preserve">Sollwertbereich für die Raumtemperatur </t>
    </r>
    <r>
      <rPr>
        <sz val="7"/>
        <color theme="1"/>
        <rFont val="Arial"/>
        <family val="2"/>
      </rPr>
      <t>(gemäss SWKI VA105-01:2015)</t>
    </r>
  </si>
  <si>
    <t>%r.F.</t>
  </si>
  <si>
    <r>
      <t>Sollwertbereich für die relative Raumfeuchte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</si>
  <si>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</si>
  <si>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Luftprobe</t>
  </si>
  <si>
    <r>
      <t>Spezifikationsgrenze (Partikel / m</t>
    </r>
    <r>
      <rPr>
        <b/>
        <vertAlign val="superscript"/>
        <sz val="9"/>
        <color theme="1"/>
        <rFont val="Arial"/>
        <family val="2"/>
      </rPr>
      <t>3</t>
    </r>
    <r>
      <rPr>
        <b/>
        <sz val="9"/>
        <color theme="1"/>
        <rFont val="Arial"/>
        <family val="2"/>
      </rPr>
      <t xml:space="preserve"> Luft):</t>
    </r>
  </si>
  <si>
    <t>Raumbez. / Raumnr.</t>
  </si>
  <si>
    <t>Raumbez. /Raumnr.</t>
  </si>
  <si>
    <t>Max. zulässiger Schallpegel 
dB(A)</t>
  </si>
  <si>
    <r>
      <t xml:space="preserve">* Scanning mit Aerosolbelastung, gemessen induktionsfrei 2-5 cm unter dem Prüfobjekt, Scanngeschwindigkeit </t>
    </r>
    <r>
      <rPr>
        <sz val="7"/>
        <color theme="1"/>
        <rFont val="Calibri"/>
        <family val="2"/>
      </rPr>
      <t>≤</t>
    </r>
    <r>
      <rPr>
        <sz val="7"/>
        <color theme="1"/>
        <rFont val="Arial"/>
        <family val="2"/>
      </rPr>
      <t xml:space="preserve"> 5 cm/s</t>
    </r>
  </si>
  <si>
    <t>Ja</t>
  </si>
  <si>
    <t>Nein</t>
  </si>
  <si>
    <t>Schallpegel
gemessen</t>
  </si>
  <si>
    <t xml:space="preserve">18.00 - 24.00 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</si>
  <si>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Leckpenetration
am Filter   </t>
    </r>
  </si>
  <si>
    <r>
      <t xml:space="preserve">Volumenstrom
</t>
    </r>
    <r>
      <rPr>
        <b/>
        <sz val="8"/>
        <color theme="1"/>
        <rFont val="Arial"/>
        <family val="2"/>
      </rPr>
      <t>Soll</t>
    </r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</si>
  <si>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</t>
    </r>
  </si>
  <si>
    <r>
      <t xml:space="preserve">Überstromrichtung
</t>
    </r>
    <r>
      <rPr>
        <b/>
        <sz val="8"/>
        <color theme="1"/>
        <rFont val="Arial"/>
        <family val="2"/>
      </rPr>
      <t>Soll</t>
    </r>
  </si>
  <si>
    <r>
      <t xml:space="preserve">Temperatur
</t>
    </r>
    <r>
      <rPr>
        <b/>
        <sz val="8"/>
        <color theme="1"/>
        <rFont val="Arial"/>
        <family val="2"/>
      </rPr>
      <t>Soll</t>
    </r>
  </si>
  <si>
    <r>
      <t xml:space="preserve">Feuchte
</t>
    </r>
    <r>
      <rPr>
        <b/>
        <sz val="8"/>
        <color theme="1"/>
        <rFont val="Arial"/>
        <family val="2"/>
      </rPr>
      <t>Soll</t>
    </r>
  </si>
  <si>
    <r>
      <t xml:space="preserve">Schallpegel
</t>
    </r>
    <r>
      <rPr>
        <b/>
        <sz val="8"/>
        <color theme="1"/>
        <rFont val="Arial"/>
        <family val="2"/>
      </rPr>
      <t>max. zulässig</t>
    </r>
  </si>
  <si>
    <r>
      <t>Partikel / m</t>
    </r>
    <r>
      <rPr>
        <vertAlign val="superscript"/>
        <sz val="8"/>
        <color theme="1"/>
        <rFont val="Arial"/>
        <family val="2"/>
      </rPr>
      <t>3</t>
    </r>
  </si>
  <si>
    <r>
      <rPr>
        <vertAlign val="superscript"/>
        <sz val="7"/>
        <color theme="1"/>
        <rFont val="Arial"/>
        <family val="2"/>
      </rPr>
      <t xml:space="preserve">1) </t>
    </r>
    <r>
      <rPr>
        <sz val="7"/>
        <color theme="1"/>
        <rFont val="Arial"/>
        <family val="2"/>
      </rPr>
      <t xml:space="preserve">max. zulässige Gesamtpenetration bei der MMPS (most penetrating particle size) durch das zu prüfende Filter   </t>
    </r>
    <r>
      <rPr>
        <vertAlign val="superscript"/>
        <sz val="7"/>
        <color theme="1"/>
        <rFont val="Arial"/>
        <family val="2"/>
      </rPr>
      <t xml:space="preserve">2) </t>
    </r>
    <r>
      <rPr>
        <sz val="7"/>
        <color theme="1"/>
        <rFont val="Arial"/>
        <family val="2"/>
      </rPr>
      <t xml:space="preserve">Verdünnung    </t>
    </r>
    <r>
      <rPr>
        <vertAlign val="superscript"/>
        <sz val="7"/>
        <color theme="1"/>
        <rFont val="Arial"/>
        <family val="2"/>
      </rPr>
      <t xml:space="preserve">3) </t>
    </r>
    <r>
      <rPr>
        <sz val="7"/>
        <color theme="1"/>
        <rFont val="Arial"/>
        <family val="2"/>
      </rPr>
      <t xml:space="preserve">Partikelkonzentration </t>
    </r>
    <r>
      <rPr>
        <vertAlign val="superscript"/>
        <sz val="7"/>
        <color theme="1"/>
        <rFont val="Arial"/>
        <family val="2"/>
      </rPr>
      <t xml:space="preserve">   </t>
    </r>
  </si>
  <si>
    <r>
      <t>PZ</t>
    </r>
    <r>
      <rPr>
        <vertAlign val="superscript"/>
        <sz val="7"/>
        <color theme="1"/>
        <rFont val="Arial"/>
        <family val="2"/>
      </rPr>
      <t>3)</t>
    </r>
  </si>
  <si>
    <r>
      <t xml:space="preserve">Sollwertbereich für die Temperatur </t>
    </r>
    <r>
      <rPr>
        <sz val="7"/>
        <color theme="1"/>
        <rFont val="Arial"/>
        <family val="2"/>
      </rPr>
      <t>(gemäss SWKI VA105-01:2015)</t>
    </r>
  </si>
  <si>
    <r>
      <t>Sollwertbereich für die relative 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</si>
  <si>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Max. zulässiger Schallpegel</t>
    </r>
    <r>
      <rPr>
        <b/>
        <sz val="8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 xml:space="preserve">
dB(A)</t>
    </r>
  </si>
  <si>
    <t xml:space="preserve">Geforderte Partikelgrösse: </t>
  </si>
  <si>
    <r>
      <t>Überstromrichtung
Ist</t>
    </r>
    <r>
      <rPr>
        <vertAlign val="superscript"/>
        <sz val="8"/>
        <color rgb="FFFF0000"/>
        <rFont val="Arial"/>
        <family val="2"/>
      </rPr>
      <t>1)</t>
    </r>
  </si>
  <si>
    <r>
      <rPr>
        <vertAlign val="superscript"/>
        <sz val="8"/>
        <color rgb="FFFF0000"/>
        <rFont val="Arial"/>
        <family val="2"/>
      </rPr>
      <t>1)</t>
    </r>
    <r>
      <rPr>
        <sz val="8"/>
        <color theme="1"/>
        <rFont val="Arial"/>
        <family val="2"/>
      </rPr>
      <t xml:space="preserve"> falls nicht eingehalten, dann Meldung an:</t>
    </r>
  </si>
  <si>
    <t>S 01</t>
  </si>
  <si>
    <t>S 02</t>
  </si>
  <si>
    <t>S 03</t>
  </si>
  <si>
    <t>S 04</t>
  </si>
  <si>
    <t>S 05</t>
  </si>
  <si>
    <t>S 06</t>
  </si>
  <si>
    <t>S 07</t>
  </si>
  <si>
    <t>S 08</t>
  </si>
  <si>
    <t>S 09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</si>
  <si>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</si>
  <si>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</si>
  <si>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</si>
  <si>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</si>
  <si>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</si>
  <si>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</si>
  <si>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</si>
  <si>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</si>
  <si>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</si>
  <si>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</si>
  <si>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</si>
  <si>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</si>
  <si>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</si>
  <si>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</si>
  <si>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</si>
  <si>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</si>
  <si>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</si>
  <si>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</si>
  <si>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</si>
  <si>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</si>
  <si>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</si>
  <si>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</si>
  <si>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</si>
  <si>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</si>
  <si>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</si>
  <si>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</si>
  <si>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</si>
  <si>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</si>
  <si>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</si>
  <si>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</si>
  <si>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</si>
  <si>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</si>
  <si>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</si>
  <si>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</si>
  <si>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</si>
  <si>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</si>
  <si>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</si>
  <si>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</si>
  <si>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</si>
  <si>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</si>
  <si>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</si>
  <si>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</si>
  <si>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</si>
  <si>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</si>
  <si>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</si>
  <si>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</si>
  <si>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</si>
  <si>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</si>
  <si>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</si>
  <si>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</si>
  <si>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</si>
  <si>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</si>
  <si>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</si>
  <si>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66</t>
  </si>
  <si>
    <t>S 67</t>
  </si>
  <si>
    <t>S 68</t>
  </si>
  <si>
    <t>S 69</t>
  </si>
  <si>
    <t>S 70</t>
  </si>
  <si>
    <t>Volumenströme Zuluft, Aussenluft und Abluft</t>
  </si>
  <si>
    <t>Probenahmeort*</t>
  </si>
  <si>
    <t xml:space="preserve">Leckprüfung am eingebauten Filtersystem </t>
  </si>
  <si>
    <t>Dichtsitzprüfung</t>
  </si>
  <si>
    <t>LAF OP2</t>
  </si>
  <si>
    <t>LAF OP3</t>
  </si>
  <si>
    <t>LAF OP6</t>
  </si>
  <si>
    <t>LAF OP7</t>
  </si>
  <si>
    <r>
      <t>Abluft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Nr.</t>
    </r>
  </si>
  <si>
    <t>* Die Strömungsrichtung wird mittels Prüfröhrchen visualisiert. Der Differenzdruck wird mittels Manometer ermittelt.</t>
  </si>
  <si>
    <t>*  Die Messebene ist 1.2 m über OKFFB.</t>
  </si>
  <si>
    <r>
      <t>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</t>
    </r>
  </si>
  <si>
    <t>Dichtsitz</t>
  </si>
  <si>
    <t>Gemessene Wert</t>
  </si>
  <si>
    <t>min. Zuluftvolumen am Filter</t>
  </si>
  <si>
    <t>gemessene
Leckströme des Filterdichtsitzes</t>
  </si>
  <si>
    <r>
      <t>cm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/min</t>
    </r>
  </si>
  <si>
    <t>Sollwert</t>
  </si>
  <si>
    <t>falls nicht eingehalten, dann Meldung an: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</si>
  <si>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Leckströme des Filterdichtsitzes</t>
    </r>
  </si>
  <si>
    <r>
      <rPr>
        <b/>
        <sz val="7"/>
        <color theme="1"/>
        <rFont val="Arial"/>
        <family val="2"/>
      </rPr>
      <t>zulässige</t>
    </r>
    <r>
      <rPr>
        <vertAlign val="superscript"/>
        <sz val="7"/>
        <color theme="1"/>
        <rFont val="Arial"/>
        <family val="2"/>
      </rPr>
      <t>2)</t>
    </r>
    <r>
      <rPr>
        <b/>
        <sz val="7"/>
        <color theme="1"/>
        <rFont val="Arial"/>
        <family val="2"/>
      </rPr>
      <t xml:space="preserve">
</t>
    </r>
    <r>
      <rPr>
        <sz val="7"/>
        <color theme="1"/>
        <rFont val="Arial"/>
        <family val="2"/>
      </rPr>
      <t>Leckströme des Filterdichtsitzes</t>
    </r>
  </si>
  <si>
    <t>Prüfumfang Lüftungskonzept 1b:</t>
  </si>
  <si>
    <t>Zuluft-Luftwechselrate</t>
  </si>
  <si>
    <t>Anzahl Filter</t>
  </si>
  <si>
    <t>Leckprüfung am eingebauten Filtersystem, Dichtsitzprüfung</t>
  </si>
  <si>
    <r>
      <t>Messwerte (</t>
    </r>
    <r>
      <rPr>
        <sz val="7"/>
        <color theme="1"/>
        <rFont val="Arial"/>
        <family val="2"/>
      </rPr>
      <t>Dichtsitzprüfung)</t>
    </r>
  </si>
  <si>
    <r>
      <rPr>
        <b/>
        <sz val="7"/>
        <color theme="1"/>
        <rFont val="Arial"/>
        <family val="2"/>
      </rPr>
      <t>gemessene</t>
    </r>
    <r>
      <rPr>
        <b/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
Leckströme des Filterdichtsitzes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</si>
  <si>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</si>
  <si>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* 1/60* Filterdurchlassgrad * 1/100 * 0.05 (Sicherheitsfaktor)</t>
    </r>
  </si>
  <si>
    <t>Die Luftverlustmenge wird am Durchflussmesser gemessen.</t>
  </si>
  <si>
    <r>
      <t>1)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</si>
  <si>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2)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</si>
  <si>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Gemessener Schallpegel</t>
    </r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
dB(A)</t>
    </r>
  </si>
  <si>
    <t>* gemäss EN ISO 14644-1:2015, Tabelle A.1 - Anzahl Probenahmeorte, bezogen auf Reinraumflächen</t>
  </si>
  <si>
    <t>Gemessene Filter Nr. *</t>
  </si>
  <si>
    <t xml:space="preserve">* Mit der Pumpe des Dichtsitzprüfgerätes wird das umlaufende Dichtungsprofil des HEPA Filters unter Druck gesetzt. </t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</si>
  <si>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Zuluftvolumenstrom = mittlere Zuluft-Austrittsgeschwindigkeiten (m/s) x Ausstromfläche Auslass (m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) x 3600 (s)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</si>
  <si>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Abluftvolumen gemessen mit Volumenstromhaube</t>
    </r>
  </si>
  <si>
    <t>Probenahmeort *</t>
  </si>
  <si>
    <t>Es wird am Türspalt gemessen.</t>
  </si>
  <si>
    <t>Zuluftvolumenstrom (Sollwert)</t>
  </si>
  <si>
    <t xml:space="preserve">Raumvolumen </t>
  </si>
  <si>
    <r>
      <t>m</t>
    </r>
    <r>
      <rPr>
        <vertAlign val="superscript"/>
        <sz val="9"/>
        <color theme="1"/>
        <rFont val="Arial"/>
        <family val="2"/>
      </rPr>
      <t>3</t>
    </r>
  </si>
  <si>
    <r>
      <t>hat einen Abluftvolumenstrom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</si>
  <si>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Spezifikationsgrenze für einen Operationsraum nach LK 1b </t>
    </r>
    <r>
      <rPr>
        <sz val="7"/>
        <color theme="1"/>
        <rFont val="Arial"/>
        <family val="2"/>
      </rPr>
      <t>(gemäss SWKI VA105-01:2015):</t>
    </r>
  </si>
  <si>
    <t>Luftwechsel
Ist</t>
  </si>
  <si>
    <r>
      <t xml:space="preserve">Luftwechsel
</t>
    </r>
    <r>
      <rPr>
        <b/>
        <sz val="8"/>
        <color theme="1"/>
        <rFont val="Arial"/>
        <family val="2"/>
      </rPr>
      <t>Soll</t>
    </r>
  </si>
  <si>
    <r>
      <t>h</t>
    </r>
    <r>
      <rPr>
        <vertAlign val="superscript"/>
        <sz val="9"/>
        <color theme="1"/>
        <rFont val="Arial"/>
        <family val="2"/>
      </rPr>
      <t>-1</t>
    </r>
  </si>
  <si>
    <r>
      <t>h</t>
    </r>
    <r>
      <rPr>
        <vertAlign val="superscript"/>
        <sz val="8"/>
        <color theme="1"/>
        <rFont val="Arial"/>
        <family val="2"/>
      </rPr>
      <t>-1</t>
    </r>
  </si>
  <si>
    <t>Zuluftvolumenströme
pro Raum</t>
  </si>
  <si>
    <t>Messposition: T&amp;F</t>
  </si>
  <si>
    <t>Raumnummer</t>
  </si>
  <si>
    <t>Bettenwaschzone</t>
  </si>
  <si>
    <r>
      <t>hat eine mittlere Raumtemperatur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</si>
  <si>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>hat eine mittlere Raumfeuchte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</si>
  <si>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Raumtemperatur und Raumfeuchte</t>
  </si>
  <si>
    <t>Messwerte (Raumtemperatur und Raumfeuchte)</t>
  </si>
  <si>
    <r>
      <t>Zuluft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Nr.</t>
    </r>
  </si>
  <si>
    <t>Raumlufttemperatur und Raumluftfeuchte</t>
  </si>
  <si>
    <t>T&amp;F</t>
  </si>
  <si>
    <t>Angaben Planer / Plan</t>
  </si>
  <si>
    <t xml:space="preserve">Schallpegel </t>
  </si>
  <si>
    <t>Leckprüfung  FIT</t>
  </si>
  <si>
    <t>Raumlufttemperatur &amp; Raumluftfeuchte</t>
  </si>
  <si>
    <t>REC</t>
  </si>
  <si>
    <t>* Gemessen in Raummitte 1.0 m über OKFFB, bei Soll-Luftvolumenstrom.</t>
  </si>
  <si>
    <t>30.0 - 50.0</t>
  </si>
  <si>
    <r>
      <t>hat einen Luftwechsel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von</t>
    </r>
  </si>
  <si>
    <t>30.0 - 50.0 %r.F.</t>
  </si>
  <si>
    <t>* Messposition: 1.75 m über OKFFB</t>
  </si>
  <si>
    <t>RNr. 01.04.00.001</t>
  </si>
  <si>
    <t>RNr. 01.04.00.002</t>
  </si>
  <si>
    <t>RNr. 01.04.00.003</t>
  </si>
  <si>
    <t>RNr.01.04.00.004</t>
  </si>
  <si>
    <t>RNr. 01.04.00.100</t>
  </si>
  <si>
    <t>RNr. 01.04.00.101</t>
  </si>
  <si>
    <t>RNr. 01.04.00.102</t>
  </si>
  <si>
    <t>RNr. 01.04.00.103</t>
  </si>
  <si>
    <t>RNr. 01.04.00.104</t>
  </si>
  <si>
    <t>RNr. 01.04.00.105</t>
  </si>
  <si>
    <t>RNr. 01.04.00.106</t>
  </si>
  <si>
    <t>RNr. 01.04.00.107</t>
  </si>
  <si>
    <t>RNr. 01.04.00.108</t>
  </si>
  <si>
    <t>RNr. 01.04.00.109</t>
  </si>
  <si>
    <t>RNr. 01.04.00.110</t>
  </si>
  <si>
    <t>RNr. 01.04.00.111</t>
  </si>
  <si>
    <t>RNr. 01.04.00.112</t>
  </si>
  <si>
    <t>RNr. 01.04.00.113</t>
  </si>
  <si>
    <t>RNr. 01.04.00.114</t>
  </si>
  <si>
    <t>RNr. 01.04.00.117</t>
  </si>
  <si>
    <t>RNr. 01.04.00.118</t>
  </si>
  <si>
    <t>RNr. 01.04.00.119</t>
  </si>
  <si>
    <t>RNr. 01.04.00.120</t>
  </si>
  <si>
    <t>RNr. 01.04.00.122</t>
  </si>
  <si>
    <t>RNr. 01.04.00.123</t>
  </si>
  <si>
    <t>RNr. 01.04.00.124</t>
  </si>
  <si>
    <t>RNr. 01.04.00.125</t>
  </si>
  <si>
    <t>RNr. 01.04.00.128</t>
  </si>
  <si>
    <t>RNr. 01.04.00.129</t>
  </si>
  <si>
    <t>RNr. 01.04.00.130</t>
  </si>
  <si>
    <t>RNr. 01.04.00.132</t>
  </si>
  <si>
    <t>RNr. 01.04.00.115</t>
  </si>
  <si>
    <t>RNr. 01.04.00.135</t>
  </si>
  <si>
    <t>RNr. 01.04.00.139</t>
  </si>
  <si>
    <t>RNr. 01.04.00.141</t>
  </si>
  <si>
    <t>RNr. 01.04.00.142</t>
  </si>
  <si>
    <t>RNr. 01.04.00.143</t>
  </si>
  <si>
    <t>RNr. 01.04.00.144</t>
  </si>
  <si>
    <t>RNr. 01.04.00.145</t>
  </si>
  <si>
    <t>RNr. 01.04.00.146</t>
  </si>
  <si>
    <t>RNr. 01.04.00.148</t>
  </si>
  <si>
    <t>RNr. 01.04.00.149</t>
  </si>
  <si>
    <t>RNr. 01.04.00.150</t>
  </si>
  <si>
    <t>RNr. 01.04.00.151</t>
  </si>
  <si>
    <t>RNr. 01.04.00.154</t>
  </si>
  <si>
    <t>RNr. 01.04.00.155</t>
  </si>
  <si>
    <t>RNr. 01.04.00.156</t>
  </si>
  <si>
    <t>RNr. 01.04.00.157</t>
  </si>
  <si>
    <t>RNr. 01.04.00.158</t>
  </si>
  <si>
    <t>RNr. 01.04.00.159</t>
  </si>
  <si>
    <t>RNr. 01.04.00.160</t>
  </si>
  <si>
    <t>RNr. 01.04.00.162</t>
  </si>
  <si>
    <t>RNr. 01.04.00.163</t>
  </si>
  <si>
    <t>RNr. 01.04.00.164</t>
  </si>
  <si>
    <t>RNr. 01.04.00.168</t>
  </si>
  <si>
    <t>RNr. 01.04.00.169</t>
  </si>
  <si>
    <t>RNr. 01.04.00.170</t>
  </si>
  <si>
    <t>RNr. 01.04.00.200</t>
  </si>
  <si>
    <t>RNr. 01.04.00.201</t>
  </si>
  <si>
    <t>RNr. 01.04.00.202</t>
  </si>
  <si>
    <t>RNr. 01.04.00.801</t>
  </si>
  <si>
    <t>RNr. 01.04.00.802</t>
  </si>
  <si>
    <t>OP 1</t>
  </si>
  <si>
    <t xml:space="preserve">0762x0762x0078 [mm] </t>
  </si>
  <si>
    <t xml:space="preserve">0762x0914x0078 [mm] </t>
  </si>
  <si>
    <t xml:space="preserve">0914x0914x0078 [mm] </t>
  </si>
  <si>
    <t xml:space="preserve">0457x0457x0078 [mm] </t>
  </si>
  <si>
    <t>4 Stk.</t>
  </si>
  <si>
    <t>3 Stk.</t>
  </si>
  <si>
    <r>
      <rPr>
        <sz val="10"/>
        <rFont val="Arial"/>
        <family val="2"/>
      </rPr>
      <t>Büro OP</t>
    </r>
  </si>
  <si>
    <r>
      <rPr>
        <sz val="10"/>
        <rFont val="Arial"/>
        <family val="2"/>
      </rPr>
      <t>Büro CA Anästesie</t>
    </r>
  </si>
  <si>
    <r>
      <rPr>
        <sz val="10"/>
        <rFont val="Arial"/>
        <family val="2"/>
      </rPr>
      <t>Büro Instr. Leitung (2 AP)</t>
    </r>
  </si>
  <si>
    <r>
      <rPr>
        <sz val="10"/>
        <rFont val="Arial"/>
        <family val="2"/>
      </rPr>
      <t>Aufenthalt</t>
    </r>
  </si>
  <si>
    <r>
      <rPr>
        <sz val="10"/>
        <rFont val="Arial"/>
        <family val="2"/>
      </rPr>
      <t>Entsorgung</t>
    </r>
  </si>
  <si>
    <r>
      <rPr>
        <sz val="10"/>
        <rFont val="Arial"/>
        <family val="2"/>
      </rPr>
      <t>Arbeitsraum Anästhesie</t>
    </r>
  </si>
  <si>
    <r>
      <rPr>
        <sz val="10"/>
        <rFont val="Arial"/>
        <family val="2"/>
      </rPr>
      <t>Vorbereitung 7</t>
    </r>
  </si>
  <si>
    <r>
      <rPr>
        <sz val="10"/>
        <rFont val="Arial"/>
        <family val="2"/>
      </rPr>
      <t>Vorbereitung 6</t>
    </r>
  </si>
  <si>
    <r>
      <rPr>
        <sz val="10"/>
        <rFont val="Arial"/>
        <family val="2"/>
      </rPr>
      <t>Vorbereitung 5</t>
    </r>
  </si>
  <si>
    <r>
      <rPr>
        <sz val="10"/>
        <rFont val="Arial"/>
        <family val="2"/>
      </rPr>
      <t>Geräte</t>
    </r>
  </si>
  <si>
    <r>
      <rPr>
        <sz val="10"/>
        <rFont val="Arial"/>
        <family val="2"/>
      </rPr>
      <t>Vorbereitung 4</t>
    </r>
  </si>
  <si>
    <r>
      <rPr>
        <sz val="10"/>
        <rFont val="Arial"/>
        <family val="2"/>
      </rPr>
      <t>Vorbereitung 3</t>
    </r>
  </si>
  <si>
    <r>
      <rPr>
        <sz val="10"/>
        <rFont val="Arial"/>
        <family val="2"/>
      </rPr>
      <t>Vorbereitung 2</t>
    </r>
  </si>
  <si>
    <r>
      <rPr>
        <sz val="10"/>
        <rFont val="Arial"/>
        <family val="2"/>
      </rPr>
      <t>Material Lagerung</t>
    </r>
  </si>
  <si>
    <r>
      <rPr>
        <sz val="10"/>
        <rFont val="Arial"/>
        <family val="2"/>
      </rPr>
      <t>OP 2</t>
    </r>
  </si>
  <si>
    <r>
      <rPr>
        <sz val="10"/>
        <rFont val="Arial"/>
        <family val="2"/>
      </rPr>
      <t>Bettenwarten</t>
    </r>
  </si>
  <si>
    <r>
      <rPr>
        <sz val="10"/>
        <rFont val="Arial"/>
        <family val="2"/>
      </rPr>
      <t>Umbetten ein</t>
    </r>
  </si>
  <si>
    <r>
      <rPr>
        <sz val="10"/>
        <rFont val="Arial"/>
        <family val="2"/>
      </rPr>
      <t>Garderobe Damen</t>
    </r>
  </si>
  <si>
    <r>
      <rPr>
        <sz val="10"/>
        <rFont val="Arial"/>
        <family val="2"/>
      </rPr>
      <t>WC Personal</t>
    </r>
  </si>
  <si>
    <r>
      <rPr>
        <sz val="10"/>
        <rFont val="Arial"/>
        <family val="2"/>
      </rPr>
      <t>WC / Du.</t>
    </r>
  </si>
  <si>
    <r>
      <rPr>
        <sz val="10"/>
        <rFont val="Arial"/>
        <family val="2"/>
      </rPr>
      <t>Schleuse</t>
    </r>
  </si>
  <si>
    <r>
      <rPr>
        <sz val="10"/>
        <rFont val="Arial"/>
        <family val="2"/>
      </rPr>
      <t>Garderobe Herren</t>
    </r>
  </si>
  <si>
    <r>
      <rPr>
        <sz val="10"/>
        <rFont val="Arial"/>
        <family val="2"/>
      </rPr>
      <t>WC / Du./ Garderobe</t>
    </r>
  </si>
  <si>
    <r>
      <rPr>
        <sz val="10"/>
        <rFont val="Arial"/>
        <family val="2"/>
      </rPr>
      <t>Holding Zone</t>
    </r>
  </si>
  <si>
    <r>
      <rPr>
        <sz val="10"/>
        <rFont val="Arial"/>
        <family val="2"/>
      </rPr>
      <t>OP-Leitstelle</t>
    </r>
  </si>
  <si>
    <r>
      <rPr>
        <sz val="10"/>
        <rFont val="Arial"/>
        <family val="2"/>
      </rPr>
      <t>Umbetten aus</t>
    </r>
  </si>
  <si>
    <r>
      <rPr>
        <sz val="10"/>
        <rFont val="Arial"/>
        <family val="2"/>
      </rPr>
      <t>Präp/Schnellschnittr.</t>
    </r>
  </si>
  <si>
    <r>
      <rPr>
        <sz val="10"/>
        <rFont val="Arial"/>
        <family val="2"/>
      </rPr>
      <t>Medizintechnik</t>
    </r>
  </si>
  <si>
    <r>
      <rPr>
        <sz val="10"/>
        <rFont val="Arial"/>
        <family val="2"/>
      </rPr>
      <t>Ausguss</t>
    </r>
  </si>
  <si>
    <r>
      <rPr>
        <sz val="10"/>
        <rFont val="Arial"/>
        <family val="2"/>
      </rPr>
      <t>Material / Geräte</t>
    </r>
  </si>
  <si>
    <r>
      <rPr>
        <sz val="10"/>
        <rFont val="Arial"/>
        <family val="2"/>
      </rPr>
      <t>OP 5</t>
    </r>
  </si>
  <si>
    <t>LAF OP5</t>
  </si>
  <si>
    <r>
      <rPr>
        <sz val="10"/>
        <rFont val="Arial"/>
        <family val="2"/>
      </rPr>
      <t>OP 4</t>
    </r>
  </si>
  <si>
    <t>LAF OP4</t>
  </si>
  <si>
    <r>
      <rPr>
        <sz val="10"/>
        <rFont val="Arial"/>
        <family val="2"/>
      </rPr>
      <t>OP 8</t>
    </r>
  </si>
  <si>
    <t>LAF OP8</t>
  </si>
  <si>
    <r>
      <rPr>
        <sz val="10"/>
        <rFont val="Arial"/>
        <family val="2"/>
      </rPr>
      <t>Flow-Zone 3</t>
    </r>
  </si>
  <si>
    <r>
      <rPr>
        <sz val="10"/>
        <rFont val="Arial"/>
        <family val="2"/>
      </rPr>
      <t>OP 7</t>
    </r>
  </si>
  <si>
    <r>
      <rPr>
        <sz val="10"/>
        <rFont val="Arial"/>
        <family val="2"/>
      </rPr>
      <t>OP 6</t>
    </r>
  </si>
  <si>
    <r>
      <rPr>
        <sz val="10"/>
        <rFont val="Arial"/>
        <family val="2"/>
      </rPr>
      <t>Flow-Zone 2</t>
    </r>
  </si>
  <si>
    <r>
      <rPr>
        <sz val="10"/>
        <rFont val="Arial"/>
        <family val="2"/>
      </rPr>
      <t>OP 3</t>
    </r>
  </si>
  <si>
    <r>
      <rPr>
        <sz val="10"/>
        <rFont val="Arial"/>
        <family val="2"/>
      </rPr>
      <t>Arb.-/Dikt.1</t>
    </r>
  </si>
  <si>
    <r>
      <rPr>
        <sz val="10"/>
        <rFont val="Arial"/>
        <family val="2"/>
      </rPr>
      <t>Sterilkorridor</t>
    </r>
  </si>
  <si>
    <r>
      <rPr>
        <sz val="10"/>
        <rFont val="Arial"/>
        <family val="2"/>
      </rPr>
      <t>Rückstauzone</t>
    </r>
  </si>
  <si>
    <r>
      <rPr>
        <sz val="10"/>
        <rFont val="Arial"/>
        <family val="2"/>
      </rPr>
      <t>OP 1</t>
    </r>
  </si>
  <si>
    <t>LAF OP1</t>
  </si>
  <si>
    <r>
      <rPr>
        <sz val="10"/>
        <rFont val="Arial"/>
        <family val="2"/>
      </rPr>
      <t>Multifunktionsraum</t>
    </r>
  </si>
  <si>
    <r>
      <rPr>
        <sz val="10"/>
        <rFont val="Arial"/>
        <family val="2"/>
      </rPr>
      <t>Vorbereitung 9</t>
    </r>
  </si>
  <si>
    <r>
      <rPr>
        <sz val="10"/>
        <rFont val="Arial"/>
        <family val="2"/>
      </rPr>
      <t>Sterilkorr.</t>
    </r>
  </si>
  <si>
    <r>
      <rPr>
        <sz val="10"/>
        <rFont val="Arial"/>
        <family val="2"/>
      </rPr>
      <t>Büro Anästhesie Pflege Leitung</t>
    </r>
  </si>
  <si>
    <r>
      <rPr>
        <sz val="10"/>
        <rFont val="Arial"/>
        <family val="2"/>
      </rPr>
      <t>Vorbereitung 8</t>
    </r>
  </si>
  <si>
    <r>
      <rPr>
        <sz val="10"/>
        <rFont val="Arial"/>
        <family val="2"/>
      </rPr>
      <t>Flow-Zone 1</t>
    </r>
  </si>
  <si>
    <r>
      <rPr>
        <sz val="10"/>
        <rFont val="Arial"/>
        <family val="2"/>
      </rPr>
      <t>Arb.-/Dikt.2</t>
    </r>
  </si>
  <si>
    <r>
      <rPr>
        <sz val="10"/>
        <rFont val="Arial"/>
        <family val="2"/>
      </rPr>
      <t>St. FF (OP 9)</t>
    </r>
  </si>
  <si>
    <r>
      <rPr>
        <sz val="10"/>
        <rFont val="Arial"/>
        <family val="2"/>
      </rPr>
      <t>St. FF (OP 10)</t>
    </r>
  </si>
  <si>
    <r>
      <rPr>
        <sz val="10"/>
        <rFont val="Arial"/>
        <family val="2"/>
      </rPr>
      <t>Medizintechnik (St.FF Vorbereitung 10)</t>
    </r>
  </si>
  <si>
    <r>
      <rPr>
        <sz val="10"/>
        <rFont val="Arial"/>
        <family val="2"/>
      </rPr>
      <t>Korridor</t>
    </r>
  </si>
  <si>
    <t>innen</t>
  </si>
  <si>
    <t xml:space="preserve">Zuluft-Austrittsgeschwindigkeiten </t>
  </si>
  <si>
    <t>Messwerte (Zuluft-Austrittsgeschwindigkeiten LAF)</t>
  </si>
  <si>
    <r>
      <t>v</t>
    </r>
    <r>
      <rPr>
        <vertAlign val="subscript"/>
        <sz val="7"/>
        <color theme="1"/>
        <rFont val="Arial"/>
        <family val="2"/>
      </rPr>
      <t>Zuluft</t>
    </r>
  </si>
  <si>
    <t>m/s</t>
  </si>
  <si>
    <r>
      <t>v</t>
    </r>
    <r>
      <rPr>
        <vertAlign val="subscript"/>
        <sz val="7"/>
        <color theme="1"/>
        <rFont val="Arial"/>
        <family val="2"/>
      </rPr>
      <t>z1</t>
    </r>
  </si>
  <si>
    <r>
      <t>v</t>
    </r>
    <r>
      <rPr>
        <vertAlign val="subscript"/>
        <sz val="7"/>
        <color theme="1"/>
        <rFont val="Arial"/>
        <family val="2"/>
      </rPr>
      <t>z2</t>
    </r>
  </si>
  <si>
    <r>
      <t>v</t>
    </r>
    <r>
      <rPr>
        <vertAlign val="subscript"/>
        <sz val="7"/>
        <color theme="1"/>
        <rFont val="Arial"/>
        <family val="2"/>
      </rPr>
      <t>z3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</si>
  <si>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</si>
  <si>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</si>
  <si>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</si>
  <si>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</si>
  <si>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z8</t>
    </r>
    <r>
      <rPr>
        <sz val="11"/>
        <color theme="1"/>
        <rFont val="Calibri"/>
        <family val="2"/>
        <scheme val="minor"/>
      </rPr>
      <t/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</si>
  <si>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</si>
  <si>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</si>
  <si>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t xml:space="preserve">Messung Nr. </t>
  </si>
  <si>
    <t>Zuluft-Austrittsgeschwindigkeiten</t>
  </si>
  <si>
    <t>mittlere Zuluft-Austrittsgeschwindigkeiten</t>
  </si>
  <si>
    <t>Ausstromfläche Auslass</t>
  </si>
  <si>
    <r>
      <t>Zuluftvolumenstrom</t>
    </r>
    <r>
      <rPr>
        <vertAlign val="superscript"/>
        <sz val="7"/>
        <color theme="1"/>
        <rFont val="Arial"/>
        <family val="2"/>
      </rPr>
      <t>1)</t>
    </r>
  </si>
  <si>
    <r>
      <t>m</t>
    </r>
    <r>
      <rPr>
        <vertAlign val="superscript"/>
        <sz val="7"/>
        <color theme="1"/>
        <rFont val="Arial"/>
        <family val="2"/>
      </rPr>
      <t>2</t>
    </r>
  </si>
  <si>
    <t>hat einen Zuluftvolumenstrom von</t>
  </si>
  <si>
    <t xml:space="preserve">* Die Zuluft-Austrittsgeschwindigkeiten werden 15 cm unter den LAF, mittels Anemometer gemessen. </t>
  </si>
  <si>
    <r>
      <t xml:space="preserve">Spezifikationsgrenze für mittlere Zuluft-Austrittsgeschwindigkeit </t>
    </r>
    <r>
      <rPr>
        <sz val="7"/>
        <color theme="1"/>
        <rFont val="Arial"/>
        <family val="2"/>
      </rPr>
      <t>:</t>
    </r>
  </si>
  <si>
    <r>
      <t>Spezifikationsgrenze für mittlere Zuluft-Austrittsgeschwindigkeit</t>
    </r>
    <r>
      <rPr>
        <sz val="7"/>
        <color theme="1"/>
        <rFont val="Arial"/>
        <family val="2"/>
      </rPr>
      <t>:</t>
    </r>
  </si>
  <si>
    <r>
      <t>v</t>
    </r>
    <r>
      <rPr>
        <vertAlign val="subscript"/>
        <sz val="7"/>
        <color theme="1"/>
        <rFont val="Arial"/>
        <family val="2"/>
      </rPr>
      <t>z9</t>
    </r>
  </si>
  <si>
    <r>
      <t>v</t>
    </r>
    <r>
      <rPr>
        <vertAlign val="subscript"/>
        <sz val="7"/>
        <color theme="1"/>
        <rFont val="Arial"/>
        <family val="2"/>
      </rPr>
      <t>z10</t>
    </r>
  </si>
  <si>
    <r>
      <t>v</t>
    </r>
    <r>
      <rPr>
        <vertAlign val="subscript"/>
        <sz val="7"/>
        <color theme="1"/>
        <rFont val="Arial"/>
        <family val="2"/>
      </rPr>
      <t>z11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</si>
  <si>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</si>
  <si>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</si>
  <si>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</si>
  <si>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</si>
  <si>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</si>
  <si>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z17</t>
    </r>
  </si>
  <si>
    <r>
      <t>v</t>
    </r>
    <r>
      <rPr>
        <vertAlign val="subscript"/>
        <sz val="7"/>
        <color theme="1"/>
        <rFont val="Arial"/>
        <family val="2"/>
      </rPr>
      <t>z18</t>
    </r>
  </si>
  <si>
    <r>
      <t>v</t>
    </r>
    <r>
      <rPr>
        <vertAlign val="subscript"/>
        <sz val="7"/>
        <color theme="1"/>
        <rFont val="Arial"/>
        <family val="2"/>
      </rPr>
      <t>z19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</si>
  <si>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</si>
  <si>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</si>
  <si>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</si>
  <si>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</si>
  <si>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</si>
  <si>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z25</t>
    </r>
  </si>
  <si>
    <r>
      <t>v</t>
    </r>
    <r>
      <rPr>
        <vertAlign val="subscript"/>
        <sz val="7"/>
        <color theme="1"/>
        <rFont val="Arial"/>
        <family val="2"/>
      </rPr>
      <t>z26</t>
    </r>
  </si>
  <si>
    <r>
      <t>v</t>
    </r>
    <r>
      <rPr>
        <vertAlign val="subscript"/>
        <sz val="7"/>
        <color theme="1"/>
        <rFont val="Arial"/>
        <family val="2"/>
      </rPr>
      <t>z27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</si>
  <si>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</si>
  <si>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</si>
  <si>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</si>
  <si>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</si>
  <si>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</si>
  <si>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z33</t>
    </r>
  </si>
  <si>
    <r>
      <t>v</t>
    </r>
    <r>
      <rPr>
        <vertAlign val="subscript"/>
        <sz val="7"/>
        <color theme="1"/>
        <rFont val="Arial"/>
        <family val="2"/>
      </rPr>
      <t>z34</t>
    </r>
  </si>
  <si>
    <r>
      <t>v</t>
    </r>
    <r>
      <rPr>
        <vertAlign val="subscript"/>
        <sz val="7"/>
        <color theme="1"/>
        <rFont val="Arial"/>
        <family val="2"/>
      </rPr>
      <t>z35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</si>
  <si>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</si>
  <si>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</si>
  <si>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</si>
  <si>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</si>
  <si>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</si>
  <si>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z41</t>
    </r>
  </si>
  <si>
    <r>
      <t>v</t>
    </r>
    <r>
      <rPr>
        <vertAlign val="subscript"/>
        <sz val="7"/>
        <color theme="1"/>
        <rFont val="Arial"/>
        <family val="2"/>
      </rPr>
      <t>z42</t>
    </r>
  </si>
  <si>
    <r>
      <t>v</t>
    </r>
    <r>
      <rPr>
        <vertAlign val="subscript"/>
        <sz val="7"/>
        <color theme="1"/>
        <rFont val="Arial"/>
        <family val="2"/>
      </rPr>
      <t>z43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</si>
  <si>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</si>
  <si>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</si>
  <si>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</si>
  <si>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</si>
  <si>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</si>
  <si>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z49</t>
    </r>
  </si>
  <si>
    <r>
      <t>v</t>
    </r>
    <r>
      <rPr>
        <vertAlign val="subscript"/>
        <sz val="7"/>
        <color theme="1"/>
        <rFont val="Arial"/>
        <family val="2"/>
      </rPr>
      <t>z50</t>
    </r>
  </si>
  <si>
    <r>
      <t>v</t>
    </r>
    <r>
      <rPr>
        <vertAlign val="subscript"/>
        <sz val="7"/>
        <color theme="1"/>
        <rFont val="Arial"/>
        <family val="2"/>
      </rPr>
      <t>z51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</si>
  <si>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</si>
  <si>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</si>
  <si>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</si>
  <si>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</si>
  <si>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</si>
  <si>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z57</t>
    </r>
  </si>
  <si>
    <r>
      <t>v</t>
    </r>
    <r>
      <rPr>
        <vertAlign val="subscript"/>
        <sz val="7"/>
        <color theme="1"/>
        <rFont val="Arial"/>
        <family val="2"/>
      </rPr>
      <t>z58</t>
    </r>
  </si>
  <si>
    <r>
      <t>v</t>
    </r>
    <r>
      <rPr>
        <vertAlign val="subscript"/>
        <sz val="7"/>
        <color theme="1"/>
        <rFont val="Arial"/>
        <family val="2"/>
      </rPr>
      <t>z59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</si>
  <si>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</si>
  <si>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</si>
  <si>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</si>
  <si>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</si>
  <si>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z64</t>
    </r>
    <r>
      <rPr>
        <sz val="11"/>
        <color theme="1"/>
        <rFont val="Calibri"/>
        <family val="2"/>
        <scheme val="minor"/>
      </rPr>
      <t/>
    </r>
  </si>
  <si>
    <t>Insgesamt 64 Prüfpositionen, im Messraster von 30 cm × 30 cm.</t>
  </si>
  <si>
    <t>.</t>
  </si>
  <si>
    <t>Auslassfläche:</t>
  </si>
  <si>
    <t>keine Vorgabe</t>
  </si>
  <si>
    <t>Partikelkonzentration (innerhalb Laminarbereich)</t>
  </si>
  <si>
    <r>
      <t>Messwerte innerhalb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</si>
  <si>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Partikelkonzentration (ausserhalb Laminarbereich)</t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</si>
  <si>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</si>
  <si>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r>
      <t>Messwerte ausserhalb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</si>
  <si>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* gemäss EN ISO 14644-1:2015, Tabelle A.1 - Probenahmeorte, bezogen auf Reinraumflächen</t>
  </si>
  <si>
    <t>Viuelle Prüfung / Strömungvisualisierung</t>
  </si>
  <si>
    <t>Messdatum 1   / aus Rohdaten</t>
  </si>
  <si>
    <t>Messdatum 2 / manuell eingeben</t>
  </si>
  <si>
    <t>Messdatum 3 / manuell eingeben</t>
  </si>
  <si>
    <t>Messdatum 4  / manuell eingeben</t>
  </si>
  <si>
    <t>Messdatum 5  / manuell eingeben</t>
  </si>
  <si>
    <t>Temperatur und Feuchte</t>
  </si>
  <si>
    <t>v-Zuluft</t>
  </si>
  <si>
    <t xml:space="preserve">Recovery </t>
  </si>
  <si>
    <t>Messwerte (Raumlufttemperatur und Raumluftfeuchte)</t>
  </si>
  <si>
    <r>
      <t>hat eine mittlere Raumlöufttemperatur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</si>
  <si>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t>hat einen mittlere Raumluftfeuchte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</si>
  <si>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Raumlufttemperatur</t>
  </si>
  <si>
    <t>Raumluftfeuchte</t>
  </si>
  <si>
    <t>Beurteilungsschallpegel</t>
  </si>
  <si>
    <t>Messwerte (Beurteilungsschallpegel)</t>
  </si>
  <si>
    <t>Prüfbericht erstellt und geprüft:</t>
  </si>
  <si>
    <t>n.a.</t>
  </si>
  <si>
    <t>D2</t>
  </si>
  <si>
    <r>
      <t>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1 - 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64</t>
    </r>
  </si>
  <si>
    <t>ausserhalb Laminarbereich</t>
  </si>
  <si>
    <t>innerhalb Laminarbereich</t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</si>
  <si>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Volumenströme gemessen mit Volumenstromhaube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</si>
  <si>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</si>
  <si>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</si>
  <si>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Gemessener Schallpegel 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
dB(A)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</si>
  <si>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</si>
  <si>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r>
      <rPr>
        <vertAlign val="superscript"/>
        <sz val="8"/>
        <color theme="1"/>
        <rFont val="Arial"/>
        <family val="2"/>
      </rPr>
      <t>2)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</si>
  <si>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Strömungsnachweis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(Normalbetrieb)</t>
    </r>
  </si>
  <si>
    <r>
      <t>Messung</t>
    </r>
    <r>
      <rPr>
        <vertAlign val="superscript"/>
        <sz val="8"/>
        <color theme="1"/>
        <rFont val="Arial"/>
        <family val="2"/>
      </rPr>
      <t>2)</t>
    </r>
  </si>
  <si>
    <r>
      <t>zulässige
Leckströme des Filterdichtsitzes</t>
    </r>
    <r>
      <rPr>
        <vertAlign val="superscript"/>
        <sz val="8"/>
        <color theme="1"/>
        <rFont val="Arial"/>
        <family val="2"/>
      </rPr>
      <t>3)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</si>
  <si>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</si>
  <si>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3)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106 * 1/60* Filterdurchlassgrad * 1/100 * 0.05 (Sicherheitsfaktor)</t>
    </r>
  </si>
  <si>
    <t>Flow-Zone 1</t>
  </si>
  <si>
    <t>Korridor</t>
  </si>
  <si>
    <t>Ausguss</t>
  </si>
  <si>
    <r>
      <t xml:space="preserve">2)  </t>
    </r>
    <r>
      <rPr>
        <sz val="8"/>
        <color theme="1"/>
        <rFont val="Arial"/>
        <family val="2"/>
      </rPr>
      <t>Messposition D2 wird in Auswertung nicht berücksichtigt, da keine Messung möglich ist.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</si>
  <si>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</si>
  <si>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t>Kleinriehenstrasse 30</t>
  </si>
  <si>
    <t>CH-4058 Basel</t>
  </si>
  <si>
    <t>061 685 85 29</t>
  </si>
  <si>
    <t>Volumenströme Zuluft und Abluft</t>
  </si>
  <si>
    <t>5.1</t>
  </si>
  <si>
    <t>5.3</t>
  </si>
  <si>
    <t>5.5</t>
  </si>
  <si>
    <t>CL-OPT-VD-Req.211</t>
  </si>
  <si>
    <t>P. Kniep</t>
  </si>
  <si>
    <t>Requalifizierung</t>
  </si>
  <si>
    <t>vz9</t>
  </si>
  <si>
    <t>vz17</t>
  </si>
  <si>
    <t>vz25</t>
  </si>
  <si>
    <t>vz33</t>
  </si>
  <si>
    <t>vz41</t>
  </si>
  <si>
    <t>vz49</t>
  </si>
  <si>
    <t>vz57</t>
  </si>
  <si>
    <t>vz10</t>
  </si>
  <si>
    <t>vz18</t>
  </si>
  <si>
    <t>vz26</t>
  </si>
  <si>
    <t>vz34</t>
  </si>
  <si>
    <t>vz42</t>
  </si>
  <si>
    <t>vz50</t>
  </si>
  <si>
    <t>vz58</t>
  </si>
  <si>
    <t>vz11</t>
  </si>
  <si>
    <t>vz19</t>
  </si>
  <si>
    <t>vz27</t>
  </si>
  <si>
    <t>vz35</t>
  </si>
  <si>
    <t>vz43</t>
  </si>
  <si>
    <t>vz51</t>
  </si>
  <si>
    <t>vz59</t>
  </si>
  <si>
    <t>vz12</t>
  </si>
  <si>
    <t>vz20</t>
  </si>
  <si>
    <t>vz28</t>
  </si>
  <si>
    <t>vz36</t>
  </si>
  <si>
    <t>vz44</t>
  </si>
  <si>
    <t>vz52</t>
  </si>
  <si>
    <t>vz60</t>
  </si>
  <si>
    <t>vz13</t>
  </si>
  <si>
    <t>vz21</t>
  </si>
  <si>
    <t>vz29</t>
  </si>
  <si>
    <t>vz37</t>
  </si>
  <si>
    <t>vz45</t>
  </si>
  <si>
    <t>vz53</t>
  </si>
  <si>
    <t>vz61</t>
  </si>
  <si>
    <t>vz14</t>
  </si>
  <si>
    <t>vz22</t>
  </si>
  <si>
    <t>vz30</t>
  </si>
  <si>
    <t>vz38</t>
  </si>
  <si>
    <t>vz46</t>
  </si>
  <si>
    <t>vz54</t>
  </si>
  <si>
    <t>vz62</t>
  </si>
  <si>
    <t>vz15</t>
  </si>
  <si>
    <t>vz23</t>
  </si>
  <si>
    <t>vz31</t>
  </si>
  <si>
    <t>vz39</t>
  </si>
  <si>
    <t>vz47</t>
  </si>
  <si>
    <t>vz55</t>
  </si>
  <si>
    <t>vz63</t>
  </si>
  <si>
    <t>vz16</t>
  </si>
  <si>
    <t>vz24</t>
  </si>
  <si>
    <t>vz32</t>
  </si>
  <si>
    <t>vz40</t>
  </si>
  <si>
    <t>vz48</t>
  </si>
  <si>
    <t>vz56</t>
  </si>
  <si>
    <t>vz64</t>
  </si>
  <si>
    <t>Fotodokumentation:</t>
  </si>
  <si>
    <t>siehe Original-Rohdaten Fotodokumentation Strömungsnachweis</t>
  </si>
  <si>
    <t>Fotodokumentation Strömungsnachweis</t>
  </si>
  <si>
    <t>siehe Seite 36</t>
  </si>
  <si>
    <t>Objekt ID: SCS.HO1047</t>
  </si>
  <si>
    <t xml:space="preserve">Original Messgeräteausdrucke (1 Mappe) </t>
  </si>
  <si>
    <t>4 Min.</t>
  </si>
  <si>
    <t>2 Min. bzw. 6 Min.</t>
  </si>
  <si>
    <t>5 Min.</t>
  </si>
  <si>
    <t>M. Bednar</t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</si>
  <si>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</si>
  <si>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</si>
  <si>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 </t>
    </r>
  </si>
  <si>
    <t>B.Berthoud</t>
  </si>
  <si>
    <t>x</t>
  </si>
  <si>
    <t>P.Kniep</t>
  </si>
  <si>
    <t>05./06./07.05.2022</t>
  </si>
  <si>
    <t>Übersicht Prüfmittel, Kalibrierprotokolle sowie Unterschriftenliste Q-TEC AG (separate Dokumente)</t>
  </si>
  <si>
    <t>Kunde</t>
  </si>
  <si>
    <t>Department</t>
  </si>
  <si>
    <t>dynamisch</t>
  </si>
  <si>
    <t>record_data/mess_date_from +mess_date_to</t>
  </si>
  <si>
    <t>rooms/operationsstate</t>
  </si>
  <si>
    <t>rooms/roomname</t>
  </si>
  <si>
    <t>users/name-role</t>
  </si>
  <si>
    <t>rooms/area</t>
  </si>
  <si>
    <t>rooms/area* rooms/hight</t>
  </si>
  <si>
    <t xml:space="preserve">Filterherst </t>
  </si>
  <si>
    <t>Filtertyp</t>
  </si>
  <si>
    <t>fiter/filtermanufactur</t>
  </si>
  <si>
    <t>filter/type</t>
  </si>
  <si>
    <t>filter/class</t>
  </si>
  <si>
    <t>filter/filteramount</t>
  </si>
  <si>
    <t>Grösser</t>
  </si>
  <si>
    <t>filter/wide x hight x deep</t>
  </si>
  <si>
    <t>1F.</t>
  </si>
  <si>
    <t>Fitername = "Filter Nr."+rooms/roomnumber + n to filter/filteramount</t>
  </si>
  <si>
    <t>dymanisch: filter grösser ???? Wie</t>
  </si>
  <si>
    <t>rooms/roomflour.roomnumber</t>
  </si>
  <si>
    <t>from messvalues</t>
  </si>
  <si>
    <t>messdaten r raw</t>
  </si>
  <si>
    <t>messtype/number+ messartshort</t>
  </si>
  <si>
    <t>normParameters/normvalue</t>
  </si>
  <si>
    <t>messtype/number+ messart/short</t>
  </si>
  <si>
    <r>
      <t>1PS</t>
    </r>
    <r>
      <rPr>
        <sz val="12"/>
        <color rgb="FFFF0000"/>
        <rFont val="Arial"/>
        <family val="2"/>
      </rPr>
      <t>.4</t>
    </r>
  </si>
  <si>
    <t>messtype/ number+messart/short</t>
  </si>
  <si>
    <t>Messumfang</t>
  </si>
  <si>
    <t>OP1 inner laminar feld</t>
  </si>
  <si>
    <t>rooms/roomname+object/objecktname</t>
  </si>
  <si>
    <t>rooms/roomname+object/objecktname/messRointtoArea</t>
  </si>
  <si>
    <t>rooms/roomname+object/objecktname+objecktsize</t>
  </si>
  <si>
    <t>ISO5</t>
  </si>
  <si>
    <t>rooms/roomname+object/objecktname+objecktclass</t>
  </si>
  <si>
    <r>
      <t>m</t>
    </r>
    <r>
      <rPr>
        <b/>
        <vertAlign val="superscript"/>
        <sz val="12"/>
        <color theme="1"/>
        <rFont val="Arial"/>
        <family val="2"/>
      </rPr>
      <t>2</t>
    </r>
  </si>
  <si>
    <t>MP + rooms/roomnumber + n to filter/filteramount</t>
  </si>
  <si>
    <t>jeder MP: 5 mess value</t>
  </si>
  <si>
    <t>users/username</t>
  </si>
  <si>
    <r>
      <t>1PS</t>
    </r>
    <r>
      <rPr>
        <sz val="12"/>
        <color rgb="FFFF0000"/>
        <rFont val="Arial"/>
        <family val="2"/>
      </rPr>
      <t>.2</t>
    </r>
  </si>
  <si>
    <r>
      <rPr>
        <sz val="12"/>
        <rFont val="Arial"/>
        <family val="2"/>
      </rPr>
      <t>messPointname: rooms/roomnumber</t>
    </r>
    <r>
      <rPr>
        <sz val="12"/>
        <color rgb="FF7030A0"/>
        <rFont val="Arial"/>
        <family val="2"/>
      </rPr>
      <t>.01</t>
    </r>
  </si>
  <si>
    <r>
      <t>1PS</t>
    </r>
    <r>
      <rPr>
        <sz val="12"/>
        <color rgb="FFFF0000"/>
        <rFont val="Arial"/>
        <family val="2"/>
      </rPr>
      <t>.3</t>
    </r>
  </si>
  <si>
    <t>Raster berechnen</t>
  </si>
  <si>
    <t>Laminar bereich /Raum</t>
  </si>
  <si>
    <t>OP</t>
  </si>
  <si>
    <t>object</t>
  </si>
  <si>
    <t>Luftkozept 1b</t>
  </si>
  <si>
    <t>1.F,</t>
  </si>
  <si>
    <t>PS,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</si>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</sst>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3" formatCode="_ * #,##0.00_ ;_ * \-#,##0.00_ ;_ * &quot;-&quot;??_ ;_ @_ "/>
    <numFmt numFmtId="164" formatCode="_ * #,##0_ ;_ * \-#,##0_ ;_ * &quot;-&quot;??_ ;_ @_ "/>
    <numFmt numFmtId="165" formatCode="####.00&quot; m²&quot;"/>
    <numFmt numFmtId="166" formatCode="&quot;MP&quot;\ ###.00"/>
    <numFmt numFmtId="167" formatCode="&quot;(&quot;@&quot;)&quot;"/>
    <numFmt numFmtId="168" formatCode="&quot;≤&quot;\ #,###,###"/>
    <numFmt numFmtId="169" formatCode="0.0"/>
    <numFmt numFmtId="170" formatCode="####.00&quot; m2&quot;"/>
    <numFmt numFmtId="171" formatCode="0.000"/>
    <numFmt numFmtId="172" formatCode="#,##0.000_ ;\-#,##0.000\ "/>
    <numFmt numFmtId="173" formatCode="&quot;&lt;&quot;\ ##0.000&quot;   &quot;"/>
    <numFmt numFmtId="174" formatCode="0.000&quot;     &quot;"/>
    <numFmt numFmtId="175" formatCode="\ 00000&quot; &quot;&quot;m3/h&quot;"/>
    <numFmt numFmtId="176" formatCode="&quot;≥ &quot;0.00&quot; m/s&quot;"/>
    <numFmt numFmtId="177" formatCode="&quot;   &quot;0.00&quot; °C&quot;"/>
    <numFmt numFmtId="178" formatCode="&quot;Filter Nr. &quot;0.00"/>
    <numFmt numFmtId="179" formatCode="&quot;≥ &quot;\ 0&quot; &quot;&quot;m³/h&quot;"/>
    <numFmt numFmtId="180" formatCode="&quot;≥ &quot;\ 0&quot;     &quot;"/>
    <numFmt numFmtId="181" formatCode="&quot;   &quot;\ 0&quot;&quot;\ &quot;m³/h&quot;"/>
    <numFmt numFmtId="182" formatCode="&quot;≥ &quot;\ 0.00&quot;     &quot;"/>
    <numFmt numFmtId="183" formatCode="&quot;01&quot;\ ######.##"/>
    <numFmt numFmtId="184" formatCode="&quot;BSS-OPT-&quot;@&quot;-FIT&quot;"/>
    <numFmt numFmtId="185" formatCode="&quot;BSS-OPT-&quot;@&quot;-SN&quot;"/>
    <numFmt numFmtId="186" formatCode="&quot;BSS-OPT-&quot;@&quot;-SV&quot;"/>
    <numFmt numFmtId="187" formatCode="&quot;BSS-OPT-&quot;@&quot;-PZ&quot;"/>
    <numFmt numFmtId="188" formatCode="&quot;Abluft Nr. &quot;0.00"/>
    <numFmt numFmtId="189" formatCode="&quot;01&quot;\ ######.00"/>
    <numFmt numFmtId="190" formatCode="&quot;&lt;&quot;\ ##0&quot;   &quot;"/>
    <numFmt numFmtId="191" formatCode="&quot;BSS-OPT-&quot;@&quot;-D&quot;"/>
    <numFmt numFmtId="192" formatCode="&quot;BSS-OPT-&quot;@&quot;-SCH&quot;"/>
    <numFmt numFmtId="193" formatCode="\ ####.#0&quot;      &quot;"/>
    <numFmt numFmtId="194" formatCode="#####&quot;        &quot;"/>
    <numFmt numFmtId="195" formatCode="&quot;&gt;&quot;\ ##&quot;&quot;"/>
    <numFmt numFmtId="196" formatCode="&quot;BSS-OPT-&quot;@&quot;-REC&quot;"/>
    <numFmt numFmtId="197" formatCode="&quot;BSS-OPT-&quot;@&quot;-R.T&amp;F&quot;"/>
    <numFmt numFmtId="198" formatCode="&quot;   &quot;0.00&quot; m/s&quot;"/>
    <numFmt numFmtId="199" formatCode="&quot;CL-OPT-&quot;@&quot;-vZuluft&quot;"/>
    <numFmt numFmtId="200" formatCode="&quot;CL-OPT-&quot;@&quot;-PZ&quot;"/>
    <numFmt numFmtId="201" formatCode="&quot;MP&quot;\ 0.00"/>
    <numFmt numFmtId="202" formatCode="&quot;CL-OPT-&quot;@&quot;-FIT&quot;"/>
    <numFmt numFmtId="203" formatCode="&quot;CL-OPT-&quot;@&quot;-D&quot;"/>
    <numFmt numFmtId="204" formatCode="&quot;CL-OPT-&quot;@&quot;-VS&quot;"/>
    <numFmt numFmtId="205" formatCode="&quot;CL-OPT-&quot;@&quot;-SN&quot;"/>
    <numFmt numFmtId="206" formatCode="&quot;CL-OPT-&quot;@&quot;-TRaum&quot;"/>
    <numFmt numFmtId="207" formatCode="&quot;CL-OPT-&quot;@&quot;-SCH&quot;"/>
    <numFmt numFmtId="208" formatCode="&quot;CL-OPT-&quot;@&quot;-R.T&amp;F&quot;"/>
    <numFmt numFmtId="209" formatCode="\ 0&quot;           &quot;"/>
    <numFmt numFmtId="210" formatCode="0.0000"/>
  </numFmts>
  <fonts count="7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5"/>
      <color theme="1"/>
      <name val="Arial"/>
      <family val="2"/>
    </font>
    <font>
      <u/>
      <sz val="9"/>
      <color theme="1"/>
      <name val="Arial"/>
      <family val="2"/>
    </font>
    <font>
      <sz val="10"/>
      <name val="Frugal Sans"/>
    </font>
    <font>
      <sz val="9"/>
      <name val="Arial"/>
      <family val="2"/>
    </font>
    <font>
      <b/>
      <sz val="7"/>
      <color theme="1"/>
      <name val="Arial"/>
      <family val="2"/>
    </font>
    <font>
      <vertAlign val="superscript"/>
      <sz val="7"/>
      <color theme="1"/>
      <name val="Arial"/>
      <family val="2"/>
    </font>
    <font>
      <sz val="12"/>
      <color theme="1"/>
      <name val="Arial"/>
      <family val="2"/>
    </font>
    <font>
      <vertAlign val="subscript"/>
      <sz val="7"/>
      <color theme="1"/>
      <name val="Arial"/>
      <family val="2"/>
    </font>
    <font>
      <sz val="7"/>
      <name val="Arial"/>
      <family val="2"/>
    </font>
    <font>
      <vertAlign val="superscript"/>
      <sz val="9"/>
      <color theme="1"/>
      <name val="Arial"/>
      <family val="2"/>
    </font>
    <font>
      <b/>
      <sz val="9"/>
      <name val="Arial"/>
      <family val="2"/>
    </font>
    <font>
      <sz val="5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21"/>
      <color theme="1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vertAlign val="subscript"/>
      <sz val="7"/>
      <name val="Arial"/>
      <family val="2"/>
    </font>
    <font>
      <vertAlign val="superscript"/>
      <sz val="7"/>
      <name val="Arial"/>
      <family val="2"/>
    </font>
    <font>
      <vertAlign val="superscript"/>
      <sz val="5"/>
      <color theme="1"/>
      <name val="Arial"/>
      <family val="2"/>
    </font>
    <font>
      <b/>
      <sz val="5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b/>
      <sz val="7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7"/>
      <color theme="1"/>
      <name val="Symbol"/>
      <family val="1"/>
      <charset val="2"/>
    </font>
    <font>
      <vertAlign val="subscript"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7"/>
      <color theme="1"/>
      <name val="Calibri"/>
      <family val="2"/>
    </font>
    <font>
      <sz val="9"/>
      <name val="Calibri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vertAlign val="superscript"/>
      <sz val="10"/>
      <color rgb="FFFF0000"/>
      <name val="Arial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Symbol"/>
      <family val="1"/>
      <charset val="2"/>
    </font>
    <font>
      <vertAlign val="superscript"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7"/>
      <color theme="1"/>
      <name val="Arial"/>
      <family val="2"/>
    </font>
    <font>
      <sz val="6.5"/>
      <name val="Arial"/>
      <family val="2"/>
    </font>
    <font>
      <sz val="6.7"/>
      <color theme="1"/>
      <name val="Arial"/>
      <family val="2"/>
    </font>
    <font>
      <sz val="12"/>
      <color rgb="FF2F2F2F"/>
      <name val="Segoe UI"/>
      <family val="2"/>
    </font>
    <font>
      <sz val="11"/>
      <color rgb="FFFF0000"/>
      <name val="Calibri"/>
      <family val="2"/>
      <scheme val="minor"/>
    </font>
    <font>
      <b/>
      <vertAlign val="superscript"/>
      <sz val="12"/>
      <color theme="1"/>
      <name val="Arial"/>
      <family val="2"/>
    </font>
    <font>
      <sz val="12"/>
      <color rgb="FF7030A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theme="7" tint="0.7999511703848384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 style="hair">
        <color theme="0" tint="-0.24994659260841701"/>
      </left>
      <right/>
      <top style="hair">
        <color theme="0" tint="-0.14996795556505021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2499465926084170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/>
      <bottom/>
      <diagonal/>
    </border>
    <border>
      <left style="hair">
        <color theme="0" tint="-0.24994659260841701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/>
      <top/>
      <bottom style="hair">
        <color theme="0" tint="-0.14993743705557422"/>
      </bottom>
      <diagonal/>
    </border>
    <border>
      <left style="hair">
        <color theme="0" tint="-0.24994659260841701"/>
      </left>
      <right/>
      <top/>
      <bottom style="hair">
        <color theme="0" tint="-0.14993743705557422"/>
      </bottom>
      <diagonal/>
    </border>
    <border>
      <left/>
      <right style="hair">
        <color theme="0" tint="-0.24994659260841701"/>
      </right>
      <top/>
      <bottom style="hair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6795556505021"/>
      </top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hair">
        <color theme="0" tint="-0.149967955565050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 tint="-0.24994659260841701"/>
      </right>
      <top/>
      <bottom style="hair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CC99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thin">
        <color rgb="FF00CC99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36" fillId="0" borderId="0"/>
    <xf numFmtId="0" fontId="4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987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16" fillId="3" borderId="5" xfId="2" applyFont="1" applyFill="1" applyBorder="1" applyAlignment="1" applyProtection="1">
      <alignment vertical="center"/>
      <protection locked="0"/>
    </xf>
    <xf numFmtId="0" fontId="7" fillId="0" borderId="8" xfId="0" applyFont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20" xfId="0" applyFont="1" applyFill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11" fillId="0" borderId="0" xfId="0" applyFont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  <xf numFmtId="0" fontId="16" fillId="3" borderId="0" xfId="2" applyFont="1" applyFill="1" applyAlignment="1" applyProtection="1">
      <alignment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vertical="center"/>
    </xf>
    <xf numFmtId="0" fontId="11" fillId="0" borderId="27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vertical="center"/>
    </xf>
    <xf numFmtId="0" fontId="21" fillId="3" borderId="7" xfId="2" applyFont="1" applyFill="1" applyBorder="1" applyAlignment="1" applyProtection="1">
      <alignment vertical="center"/>
      <protection locked="0"/>
    </xf>
    <xf numFmtId="0" fontId="11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vertical="center"/>
    </xf>
    <xf numFmtId="0" fontId="7" fillId="3" borderId="0" xfId="0" applyFont="1" applyFill="1"/>
    <xf numFmtId="167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  <xf numFmtId="167" fontId="1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8" xfId="0" applyFont="1" applyBorder="1"/>
    <xf numFmtId="0" fontId="7" fillId="0" borderId="8" xfId="0" applyFont="1" applyBorder="1"/>
    <xf numFmtId="0" fontId="7" fillId="0" borderId="11" xfId="0" applyFont="1" applyBorder="1"/>
    <xf numFmtId="2" fontId="7" fillId="0" borderId="0" xfId="0" applyNumberFormat="1" applyFont="1" applyAlignment="1">
      <alignment horizontal="left"/>
    </xf>
    <xf numFmtId="0" fontId="23" fillId="0" borderId="0" xfId="3" applyFont="1" applyAlignment="1">
      <alignment horizontal="left"/>
    </xf>
    <xf numFmtId="0" fontId="8" fillId="2" borderId="32" xfId="0" applyFont="1" applyFill="1" applyBorder="1"/>
    <xf numFmtId="0" fontId="8" fillId="2" borderId="33" xfId="0" applyFont="1" applyFill="1" applyBorder="1"/>
    <xf numFmtId="0" fontId="8" fillId="2" borderId="34" xfId="0" applyFont="1" applyFill="1" applyBorder="1"/>
    <xf numFmtId="0" fontId="8" fillId="2" borderId="35" xfId="0" applyFont="1" applyFill="1" applyBorder="1"/>
    <xf numFmtId="0" fontId="8" fillId="2" borderId="0" xfId="0" applyFont="1" applyFill="1"/>
    <xf numFmtId="0" fontId="8" fillId="2" borderId="36" xfId="0" applyFont="1" applyFill="1" applyBorder="1"/>
    <xf numFmtId="0" fontId="7" fillId="2" borderId="35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2" borderId="35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36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36" xfId="0" applyFont="1" applyFill="1" applyBorder="1" applyAlignment="1">
      <alignment vertical="center"/>
    </xf>
    <xf numFmtId="0" fontId="19" fillId="2" borderId="3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36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9" fillId="2" borderId="35" xfId="0" applyFont="1" applyFill="1" applyBorder="1"/>
    <xf numFmtId="0" fontId="19" fillId="2" borderId="35" xfId="0" applyFont="1" applyFill="1" applyBorder="1" applyAlignment="1">
      <alignment horizontal="centerContinuous" vertical="center"/>
    </xf>
    <xf numFmtId="0" fontId="19" fillId="2" borderId="0" xfId="0" applyFont="1" applyFill="1"/>
    <xf numFmtId="0" fontId="19" fillId="2" borderId="36" xfId="0" applyFont="1" applyFill="1" applyBorder="1"/>
    <xf numFmtId="0" fontId="11" fillId="0" borderId="0" xfId="0" applyFont="1"/>
    <xf numFmtId="0" fontId="11" fillId="3" borderId="11" xfId="0" applyFont="1" applyFill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1" fillId="0" borderId="0" xfId="0" applyFont="1" applyAlignment="1">
      <alignment vertical="top"/>
    </xf>
    <xf numFmtId="0" fontId="7" fillId="3" borderId="16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4" fillId="3" borderId="11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left" vertical="center"/>
    </xf>
    <xf numFmtId="0" fontId="21" fillId="3" borderId="11" xfId="0" applyFont="1" applyFill="1" applyBorder="1" applyAlignment="1">
      <alignment vertical="center"/>
    </xf>
    <xf numFmtId="0" fontId="21" fillId="3" borderId="5" xfId="2" applyFont="1" applyFill="1" applyBorder="1" applyAlignment="1" applyProtection="1">
      <alignment vertical="center"/>
      <protection locked="0"/>
    </xf>
    <xf numFmtId="170" fontId="11" fillId="3" borderId="8" xfId="0" applyNumberFormat="1" applyFont="1" applyFill="1" applyBorder="1" applyAlignment="1">
      <alignment horizontal="left" vertical="center"/>
    </xf>
    <xf numFmtId="170" fontId="24" fillId="3" borderId="8" xfId="0" applyNumberFormat="1" applyFont="1" applyFill="1" applyBorder="1" applyAlignment="1">
      <alignment horizontal="left" vertical="center"/>
    </xf>
    <xf numFmtId="0" fontId="21" fillId="3" borderId="0" xfId="2" applyFont="1" applyFill="1" applyAlignment="1" applyProtection="1">
      <alignment vertical="center"/>
      <protection locked="0"/>
    </xf>
    <xf numFmtId="171" fontId="11" fillId="0" borderId="0" xfId="0" applyNumberFormat="1" applyFont="1" applyAlignment="1">
      <alignment vertical="center"/>
    </xf>
    <xf numFmtId="170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21" fillId="3" borderId="23" xfId="0" applyFont="1" applyFill="1" applyBorder="1" applyAlignment="1">
      <alignment horizontal="center" vertical="center"/>
    </xf>
    <xf numFmtId="174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vertical="center"/>
    </xf>
    <xf numFmtId="174" fontId="35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8" fillId="0" borderId="0" xfId="0" applyFont="1"/>
    <xf numFmtId="0" fontId="18" fillId="0" borderId="0" xfId="0" applyFont="1" applyAlignment="1">
      <alignment vertical="center"/>
    </xf>
    <xf numFmtId="0" fontId="39" fillId="0" borderId="0" xfId="0" applyFont="1"/>
    <xf numFmtId="0" fontId="41" fillId="0" borderId="0" xfId="0" applyFont="1"/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76" fontId="7" fillId="0" borderId="0" xfId="0" applyNumberFormat="1" applyFont="1" applyAlignment="1">
      <alignment vertical="center"/>
    </xf>
    <xf numFmtId="0" fontId="11" fillId="3" borderId="7" xfId="0" applyFont="1" applyFill="1" applyBorder="1" applyAlignment="1">
      <alignment vertical="center"/>
    </xf>
    <xf numFmtId="1" fontId="11" fillId="3" borderId="0" xfId="0" applyNumberFormat="1" applyFont="1" applyFill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/>
    </xf>
    <xf numFmtId="2" fontId="11" fillId="0" borderId="0" xfId="0" applyNumberFormat="1" applyFont="1" applyAlignment="1">
      <alignment horizontal="center" vertical="center"/>
    </xf>
    <xf numFmtId="170" fontId="21" fillId="3" borderId="11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0" borderId="13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9" xfId="0" applyFont="1" applyBorder="1" applyAlignment="1">
      <alignment horizontal="left" vertical="center"/>
    </xf>
    <xf numFmtId="0" fontId="19" fillId="3" borderId="15" xfId="0" applyFont="1" applyFill="1" applyBorder="1" applyAlignment="1">
      <alignment vertical="center"/>
    </xf>
    <xf numFmtId="0" fontId="42" fillId="3" borderId="5" xfId="2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170" fontId="19" fillId="3" borderId="11" xfId="0" applyNumberFormat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43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horizontal="left" vertical="center"/>
    </xf>
    <xf numFmtId="0" fontId="19" fillId="4" borderId="0" xfId="0" applyFont="1" applyFill="1"/>
    <xf numFmtId="0" fontId="19" fillId="4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3" borderId="0" xfId="0" applyFont="1" applyFill="1"/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170" fontId="11" fillId="3" borderId="11" xfId="0" applyNumberFormat="1" applyFont="1" applyFill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center" vertical="center"/>
    </xf>
    <xf numFmtId="170" fontId="11" fillId="3" borderId="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171" fontId="11" fillId="0" borderId="8" xfId="0" applyNumberFormat="1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vertical="center" wrapText="1"/>
    </xf>
    <xf numFmtId="0" fontId="42" fillId="3" borderId="11" xfId="0" applyFont="1" applyFill="1" applyBorder="1" applyAlignment="1">
      <alignment horizontal="left" vertical="center"/>
    </xf>
    <xf numFmtId="179" fontId="7" fillId="0" borderId="3" xfId="0" applyNumberFormat="1" applyFont="1" applyBorder="1" applyAlignment="1">
      <alignment vertical="center"/>
    </xf>
    <xf numFmtId="2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1" fillId="7" borderId="5" xfId="0" applyFont="1" applyFill="1" applyBorder="1" applyAlignment="1">
      <alignment vertical="center" wrapText="1"/>
    </xf>
    <xf numFmtId="0" fontId="19" fillId="7" borderId="5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46" fillId="0" borderId="0" xfId="5"/>
    <xf numFmtId="0" fontId="49" fillId="0" borderId="0" xfId="0" applyFont="1" applyAlignment="1">
      <alignment horizontal="right"/>
    </xf>
    <xf numFmtId="168" fontId="49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182" fontId="11" fillId="0" borderId="3" xfId="0" applyNumberFormat="1" applyFont="1" applyBorder="1" applyAlignment="1">
      <alignment horizontal="center" vertical="center"/>
    </xf>
    <xf numFmtId="0" fontId="7" fillId="0" borderId="3" xfId="0" applyFont="1" applyBorder="1"/>
    <xf numFmtId="0" fontId="11" fillId="0" borderId="0" xfId="0" applyFont="1" applyAlignment="1">
      <alignment horizontal="center" vertical="top" wrapText="1"/>
    </xf>
    <xf numFmtId="182" fontId="1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50" fillId="0" borderId="0" xfId="0" applyFont="1"/>
    <xf numFmtId="0" fontId="50" fillId="0" borderId="0" xfId="0" applyFont="1" applyAlignment="1">
      <alignment vertical="top" wrapText="1"/>
    </xf>
    <xf numFmtId="0" fontId="29" fillId="2" borderId="35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9" fillId="2" borderId="36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7" fillId="0" borderId="0" xfId="1" applyNumberFormat="1" applyFont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" fontId="51" fillId="3" borderId="11" xfId="0" applyNumberFormat="1" applyFont="1" applyFill="1" applyBorder="1" applyAlignment="1">
      <alignment horizontal="right" vertical="center"/>
    </xf>
    <xf numFmtId="0" fontId="19" fillId="4" borderId="1" xfId="0" applyFont="1" applyFill="1" applyBorder="1"/>
    <xf numFmtId="0" fontId="8" fillId="0" borderId="0" xfId="0" applyFont="1" applyAlignment="1">
      <alignment horizontal="right"/>
    </xf>
    <xf numFmtId="0" fontId="29" fillId="3" borderId="0" xfId="0" applyFont="1" applyFill="1"/>
    <xf numFmtId="1" fontId="29" fillId="4" borderId="0" xfId="0" applyNumberFormat="1" applyFont="1" applyFill="1"/>
    <xf numFmtId="0" fontId="19" fillId="0" borderId="1" xfId="0" applyFont="1" applyBorder="1"/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/>
    <xf numFmtId="0" fontId="13" fillId="4" borderId="11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0" fontId="7" fillId="0" borderId="45" xfId="0" applyFont="1" applyBorder="1" applyAlignment="1">
      <alignment vertical="center"/>
    </xf>
    <xf numFmtId="0" fontId="16" fillId="4" borderId="54" xfId="4" applyFont="1" applyFill="1" applyBorder="1" applyAlignment="1">
      <alignment vertical="center"/>
    </xf>
    <xf numFmtId="0" fontId="8" fillId="4" borderId="54" xfId="0" applyFont="1" applyFill="1" applyBorder="1"/>
    <xf numFmtId="0" fontId="7" fillId="4" borderId="54" xfId="0" applyFont="1" applyFill="1" applyBorder="1" applyAlignment="1">
      <alignment vertical="center"/>
    </xf>
    <xf numFmtId="0" fontId="52" fillId="8" borderId="0" xfId="0" applyFont="1" applyFill="1" applyAlignment="1">
      <alignment horizontal="center"/>
    </xf>
    <xf numFmtId="0" fontId="37" fillId="0" borderId="0" xfId="0" applyFont="1"/>
    <xf numFmtId="0" fontId="37" fillId="4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4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56" xfId="0" applyFont="1" applyBorder="1"/>
    <xf numFmtId="0" fontId="7" fillId="0" borderId="1" xfId="0" applyFont="1" applyBorder="1"/>
    <xf numFmtId="0" fontId="10" fillId="0" borderId="1" xfId="0" applyFont="1" applyBorder="1" applyAlignment="1">
      <alignment horizontal="center" vertical="center"/>
    </xf>
    <xf numFmtId="14" fontId="19" fillId="2" borderId="35" xfId="0" applyNumberFormat="1" applyFont="1" applyFill="1" applyBorder="1" applyAlignment="1">
      <alignment vertical="top" wrapText="1"/>
    </xf>
    <xf numFmtId="14" fontId="19" fillId="2" borderId="36" xfId="0" applyNumberFormat="1" applyFont="1" applyFill="1" applyBorder="1" applyAlignment="1">
      <alignment vertical="top" wrapText="1"/>
    </xf>
    <xf numFmtId="14" fontId="19" fillId="2" borderId="37" xfId="0" applyNumberFormat="1" applyFont="1" applyFill="1" applyBorder="1" applyAlignment="1">
      <alignment vertical="top" wrapText="1"/>
    </xf>
    <xf numFmtId="14" fontId="19" fillId="2" borderId="39" xfId="0" applyNumberFormat="1" applyFont="1" applyFill="1" applyBorder="1" applyAlignment="1">
      <alignment vertical="top" wrapText="1"/>
    </xf>
    <xf numFmtId="14" fontId="8" fillId="0" borderId="0" xfId="0" applyNumberFormat="1" applyFont="1"/>
    <xf numFmtId="0" fontId="30" fillId="2" borderId="11" xfId="0" applyFont="1" applyFill="1" applyBorder="1" applyAlignment="1">
      <alignment horizontal="left" vertical="center"/>
    </xf>
    <xf numFmtId="49" fontId="7" fillId="0" borderId="0" xfId="0" applyNumberFormat="1" applyFont="1"/>
    <xf numFmtId="2" fontId="7" fillId="0" borderId="11" xfId="0" applyNumberFormat="1" applyFont="1" applyBorder="1"/>
    <xf numFmtId="0" fontId="53" fillId="0" borderId="0" xfId="0" applyFont="1" applyAlignment="1">
      <alignment vertical="center"/>
    </xf>
    <xf numFmtId="0" fontId="19" fillId="9" borderId="0" xfId="0" applyFont="1" applyFill="1" applyAlignment="1">
      <alignment horizontal="center" vertical="center"/>
    </xf>
    <xf numFmtId="0" fontId="11" fillId="9" borderId="5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7" fillId="3" borderId="57" xfId="0" applyFont="1" applyFill="1" applyBorder="1" applyAlignment="1">
      <alignment horizontal="center" vertical="center"/>
    </xf>
    <xf numFmtId="0" fontId="40" fillId="3" borderId="57" xfId="0" applyFont="1" applyFill="1" applyBorder="1" applyAlignment="1">
      <alignment horizontal="center" vertical="center"/>
    </xf>
    <xf numFmtId="0" fontId="17" fillId="3" borderId="58" xfId="0" applyFont="1" applyFill="1" applyBorder="1" applyAlignment="1">
      <alignment horizontal="center" vertical="center"/>
    </xf>
    <xf numFmtId="0" fontId="17" fillId="3" borderId="59" xfId="0" applyFont="1" applyFill="1" applyBorder="1" applyAlignment="1">
      <alignment horizontal="center" vertical="center"/>
    </xf>
    <xf numFmtId="0" fontId="0" fillId="4" borderId="11" xfId="0" applyFill="1" applyBorder="1"/>
    <xf numFmtId="3" fontId="19" fillId="9" borderId="0" xfId="0" applyNumberFormat="1" applyFont="1" applyFill="1"/>
    <xf numFmtId="2" fontId="19" fillId="9" borderId="0" xfId="0" applyNumberFormat="1" applyFont="1" applyFill="1" applyAlignment="1">
      <alignment horizontal="center" vertical="center"/>
    </xf>
    <xf numFmtId="0" fontId="50" fillId="0" borderId="1" xfId="0" applyFont="1" applyBorder="1"/>
    <xf numFmtId="0" fontId="29" fillId="0" borderId="1" xfId="0" applyFont="1" applyBorder="1" applyAlignment="1">
      <alignment horizontal="center" vertical="center"/>
    </xf>
    <xf numFmtId="0" fontId="43" fillId="0" borderId="1" xfId="0" applyFont="1" applyBorder="1"/>
    <xf numFmtId="0" fontId="1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0" xfId="0" applyFont="1"/>
    <xf numFmtId="0" fontId="43" fillId="0" borderId="0" xfId="0" applyFont="1"/>
    <xf numFmtId="0" fontId="62" fillId="0" borderId="0" xfId="0" applyFont="1"/>
    <xf numFmtId="178" fontId="11" fillId="3" borderId="0" xfId="0" applyNumberFormat="1" applyFont="1" applyFill="1" applyAlignment="1">
      <alignment horizontal="center" vertical="center" wrapText="1"/>
    </xf>
    <xf numFmtId="173" fontId="11" fillId="0" borderId="0" xfId="0" applyNumberFormat="1" applyFont="1" applyAlignment="1">
      <alignment horizontal="center" vertical="center"/>
    </xf>
    <xf numFmtId="184" fontId="42" fillId="3" borderId="1" xfId="0" applyNumberFormat="1" applyFont="1" applyFill="1" applyBorder="1" applyAlignment="1">
      <alignment vertical="center"/>
    </xf>
    <xf numFmtId="186" fontId="42" fillId="3" borderId="1" xfId="0" applyNumberFormat="1" applyFont="1" applyFill="1" applyBorder="1" applyAlignment="1">
      <alignment vertical="center"/>
    </xf>
    <xf numFmtId="185" fontId="42" fillId="3" borderId="1" xfId="0" applyNumberFormat="1" applyFont="1" applyFill="1" applyBorder="1" applyAlignment="1">
      <alignment vertical="center"/>
    </xf>
    <xf numFmtId="187" fontId="42" fillId="3" borderId="1" xfId="0" applyNumberFormat="1" applyFont="1" applyFill="1" applyBorder="1" applyAlignment="1">
      <alignment vertical="center"/>
    </xf>
    <xf numFmtId="188" fontId="19" fillId="4" borderId="0" xfId="0" applyNumberFormat="1" applyFont="1" applyFill="1" applyAlignment="1">
      <alignment horizontal="center" vertical="center"/>
    </xf>
    <xf numFmtId="188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left"/>
    </xf>
    <xf numFmtId="1" fontId="19" fillId="0" borderId="0" xfId="0" applyNumberFormat="1" applyFont="1"/>
    <xf numFmtId="0" fontId="19" fillId="9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191" fontId="42" fillId="3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92" fontId="42" fillId="3" borderId="1" xfId="0" applyNumberFormat="1" applyFont="1" applyFill="1" applyBorder="1" applyAlignment="1">
      <alignment vertical="center"/>
    </xf>
    <xf numFmtId="178" fontId="19" fillId="0" borderId="0" xfId="0" applyNumberFormat="1" applyFont="1"/>
    <xf numFmtId="178" fontId="11" fillId="3" borderId="0" xfId="0" applyNumberFormat="1" applyFont="1" applyFill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71" fontId="11" fillId="0" borderId="0" xfId="0" applyNumberFormat="1" applyFont="1"/>
    <xf numFmtId="3" fontId="17" fillId="0" borderId="0" xfId="0" applyNumberFormat="1" applyFont="1" applyAlignment="1">
      <alignment vertical="center"/>
    </xf>
    <xf numFmtId="175" fontId="7" fillId="0" borderId="0" xfId="0" applyNumberFormat="1" applyFont="1" applyAlignment="1">
      <alignment vertical="center"/>
    </xf>
    <xf numFmtId="0" fontId="16" fillId="0" borderId="0" xfId="4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58" fillId="0" borderId="0" xfId="0" applyFont="1"/>
    <xf numFmtId="0" fontId="5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4" borderId="54" xfId="0" applyFont="1" applyFill="1" applyBorder="1"/>
    <xf numFmtId="1" fontId="19" fillId="4" borderId="0" xfId="0" applyNumberFormat="1" applyFont="1" applyFill="1"/>
    <xf numFmtId="2" fontId="12" fillId="3" borderId="8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shrinkToFit="1"/>
    </xf>
    <xf numFmtId="0" fontId="19" fillId="7" borderId="0" xfId="0" applyFont="1" applyFill="1" applyAlignment="1">
      <alignment shrinkToFit="1"/>
    </xf>
    <xf numFmtId="169" fontId="19" fillId="0" borderId="0" xfId="0" applyNumberFormat="1" applyFont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0" borderId="40" xfId="0" applyFont="1" applyBorder="1"/>
    <xf numFmtId="196" fontId="19" fillId="0" borderId="53" xfId="0" applyNumberFormat="1" applyFont="1" applyBorder="1"/>
    <xf numFmtId="197" fontId="42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3" borderId="4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0" fontId="30" fillId="0" borderId="0" xfId="0" applyFont="1"/>
    <xf numFmtId="0" fontId="19" fillId="0" borderId="6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26" xfId="0" applyFont="1" applyBorder="1"/>
    <xf numFmtId="0" fontId="19" fillId="0" borderId="75" xfId="0" applyFont="1" applyBorder="1"/>
    <xf numFmtId="0" fontId="19" fillId="0" borderId="76" xfId="0" applyFont="1" applyBorder="1" applyAlignment="1">
      <alignment horizontal="center" vertical="center"/>
    </xf>
    <xf numFmtId="178" fontId="19" fillId="0" borderId="80" xfId="0" applyNumberFormat="1" applyFont="1" applyBorder="1" applyAlignment="1">
      <alignment horizontal="left" vertical="center"/>
    </xf>
    <xf numFmtId="0" fontId="0" fillId="0" borderId="75" xfId="0" applyBorder="1"/>
    <xf numFmtId="0" fontId="19" fillId="0" borderId="81" xfId="0" applyFont="1" applyBorder="1" applyAlignment="1">
      <alignment horizontal="center" vertical="center"/>
    </xf>
    <xf numFmtId="0" fontId="19" fillId="0" borderId="82" xfId="0" applyFont="1" applyBorder="1" applyAlignment="1">
      <alignment horizontal="center" vertical="center"/>
    </xf>
    <xf numFmtId="0" fontId="19" fillId="0" borderId="83" xfId="0" applyFont="1" applyBorder="1" applyAlignment="1">
      <alignment horizontal="center" vertical="center"/>
    </xf>
    <xf numFmtId="178" fontId="19" fillId="4" borderId="80" xfId="0" applyNumberFormat="1" applyFont="1" applyFill="1" applyBorder="1" applyAlignment="1">
      <alignment horizontal="left" vertical="center"/>
    </xf>
    <xf numFmtId="178" fontId="19" fillId="4" borderId="26" xfId="0" applyNumberFormat="1" applyFont="1" applyFill="1" applyBorder="1" applyAlignment="1">
      <alignment horizontal="left" vertical="center"/>
    </xf>
    <xf numFmtId="0" fontId="19" fillId="0" borderId="84" xfId="0" applyFont="1" applyBorder="1"/>
    <xf numFmtId="178" fontId="19" fillId="0" borderId="86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0" borderId="88" xfId="0" applyFont="1" applyFill="1" applyBorder="1" applyAlignment="1">
      <alignment horizontal="left" vertical="top" wrapText="1"/>
    </xf>
    <xf numFmtId="0" fontId="36" fillId="10" borderId="88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/>
    </xf>
    <xf numFmtId="0" fontId="30" fillId="0" borderId="56" xfId="0" applyFont="1" applyBorder="1" applyAlignment="1">
      <alignment horizontal="left" vertical="center"/>
    </xf>
    <xf numFmtId="0" fontId="30" fillId="3" borderId="56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0" xfId="0" applyFont="1" applyAlignment="1">
      <alignment horizontal="center"/>
    </xf>
    <xf numFmtId="170" fontId="42" fillId="3" borderId="11" xfId="0" applyNumberFormat="1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/>
    </xf>
    <xf numFmtId="2" fontId="0" fillId="0" borderId="0" xfId="0" applyNumberFormat="1"/>
    <xf numFmtId="2" fontId="42" fillId="4" borderId="11" xfId="0" applyNumberFormat="1" applyFont="1" applyFill="1" applyBorder="1" applyAlignment="1">
      <alignment horizontal="right" vertical="center"/>
    </xf>
    <xf numFmtId="179" fontId="7" fillId="0" borderId="0" xfId="0" applyNumberFormat="1" applyFont="1" applyAlignment="1">
      <alignment horizontal="center" vertical="center"/>
    </xf>
    <xf numFmtId="0" fontId="37" fillId="3" borderId="0" xfId="0" applyFont="1" applyFill="1"/>
    <xf numFmtId="0" fontId="7" fillId="4" borderId="1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6" fillId="0" borderId="0" xfId="0" applyFont="1"/>
    <xf numFmtId="164" fontId="11" fillId="0" borderId="10" xfId="6" applyNumberFormat="1" applyFont="1" applyBorder="1" applyAlignment="1">
      <alignment vertical="center"/>
    </xf>
    <xf numFmtId="3" fontId="19" fillId="3" borderId="0" xfId="0" applyNumberFormat="1" applyFont="1" applyFill="1"/>
    <xf numFmtId="14" fontId="3" fillId="9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99" fontId="7" fillId="0" borderId="11" xfId="0" applyNumberFormat="1" applyFont="1" applyBorder="1"/>
    <xf numFmtId="202" fontId="7" fillId="0" borderId="8" xfId="0" applyNumberFormat="1" applyFont="1" applyBorder="1"/>
    <xf numFmtId="204" fontId="7" fillId="0" borderId="11" xfId="0" applyNumberFormat="1" applyFont="1" applyBorder="1"/>
    <xf numFmtId="205" fontId="7" fillId="0" borderId="11" xfId="0" applyNumberFormat="1" applyFont="1" applyBorder="1"/>
    <xf numFmtId="206" fontId="7" fillId="0" borderId="11" xfId="0" applyNumberFormat="1" applyFont="1" applyBorder="1"/>
    <xf numFmtId="207" fontId="7" fillId="0" borderId="11" xfId="0" applyNumberFormat="1" applyFont="1" applyBorder="1"/>
    <xf numFmtId="200" fontId="7" fillId="0" borderId="11" xfId="0" applyNumberFormat="1" applyFont="1" applyBorder="1"/>
    <xf numFmtId="203" fontId="7" fillId="0" borderId="11" xfId="0" applyNumberFormat="1" applyFont="1" applyBorder="1"/>
    <xf numFmtId="0" fontId="7" fillId="4" borderId="11" xfId="0" applyFont="1" applyFill="1" applyBorder="1" applyAlignment="1">
      <alignment horizontal="left" vertical="top"/>
    </xf>
    <xf numFmtId="14" fontId="19" fillId="4" borderId="0" xfId="0" applyNumberFormat="1" applyFont="1" applyFill="1"/>
    <xf numFmtId="0" fontId="2" fillId="0" borderId="0" xfId="0" applyFont="1"/>
    <xf numFmtId="0" fontId="18" fillId="0" borderId="0" xfId="0" applyFont="1"/>
    <xf numFmtId="0" fontId="19" fillId="4" borderId="72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19" fillId="4" borderId="67" xfId="0" applyFont="1" applyFill="1" applyBorder="1" applyAlignment="1">
      <alignment horizontal="center" vertical="center"/>
    </xf>
    <xf numFmtId="0" fontId="19" fillId="4" borderId="87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85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0" fontId="19" fillId="4" borderId="79" xfId="0" applyFont="1" applyFill="1" applyBorder="1" applyAlignment="1">
      <alignment horizontal="center" vertical="center"/>
    </xf>
    <xf numFmtId="0" fontId="19" fillId="4" borderId="77" xfId="0" applyFont="1" applyFill="1" applyBorder="1" applyAlignment="1">
      <alignment horizontal="center" vertical="center"/>
    </xf>
    <xf numFmtId="0" fontId="19" fillId="4" borderId="78" xfId="0" applyFont="1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210" fontId="0" fillId="0" borderId="0" xfId="0" applyNumberFormat="1"/>
    <xf numFmtId="169" fontId="7" fillId="0" borderId="0" xfId="0" applyNumberFormat="1" applyFont="1" applyAlignment="1">
      <alignment horizontal="left"/>
    </xf>
    <xf numFmtId="169" fontId="7" fillId="4" borderId="1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Alignment="1">
      <alignment horizontal="left" vertical="center" wrapText="1"/>
    </xf>
    <xf numFmtId="3" fontId="11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 wrapText="1"/>
    </xf>
    <xf numFmtId="0" fontId="10" fillId="0" borderId="3" xfId="0" applyFont="1" applyBorder="1"/>
    <xf numFmtId="0" fontId="7" fillId="0" borderId="0" xfId="4" applyFont="1"/>
    <xf numFmtId="0" fontId="7" fillId="0" borderId="0" xfId="4" applyFont="1" applyAlignment="1">
      <alignment vertical="center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3" fillId="0" borderId="3" xfId="3" applyFont="1" applyBorder="1" applyAlignment="1">
      <alignment horizontal="left"/>
    </xf>
    <xf numFmtId="0" fontId="43" fillId="11" borderId="0" xfId="0" applyFont="1" applyFill="1"/>
    <xf numFmtId="0" fontId="43" fillId="3" borderId="11" xfId="0" applyFont="1" applyFill="1" applyBorder="1" applyAlignment="1">
      <alignment horizontal="left" vertical="center"/>
    </xf>
    <xf numFmtId="3" fontId="43" fillId="9" borderId="0" xfId="0" applyNumberFormat="1" applyFont="1" applyFill="1"/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83" fontId="19" fillId="0" borderId="1" xfId="0" applyNumberFormat="1" applyFont="1" applyBorder="1" applyAlignment="1">
      <alignment horizontal="center" vertical="center"/>
    </xf>
    <xf numFmtId="189" fontId="19" fillId="3" borderId="1" xfId="0" applyNumberFormat="1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37" fillId="2" borderId="35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29" fillId="2" borderId="3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3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top" wrapText="1"/>
    </xf>
    <xf numFmtId="14" fontId="4" fillId="2" borderId="0" xfId="0" applyNumberFormat="1" applyFont="1" applyFill="1" applyAlignment="1">
      <alignment horizontal="center" vertical="top" wrapText="1"/>
    </xf>
    <xf numFmtId="14" fontId="4" fillId="2" borderId="38" xfId="0" applyNumberFormat="1" applyFont="1" applyFill="1" applyBorder="1" applyAlignment="1">
      <alignment horizontal="center" vertical="top" wrapText="1"/>
    </xf>
    <xf numFmtId="0" fontId="30" fillId="2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190" fontId="11" fillId="3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1" fillId="3" borderId="2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4" fontId="7" fillId="3" borderId="0" xfId="0" applyNumberFormat="1" applyFont="1" applyFill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59" fillId="3" borderId="41" xfId="0" applyFont="1" applyFill="1" applyBorder="1" applyAlignment="1">
      <alignment horizontal="center" vertical="center" wrapText="1"/>
    </xf>
    <xf numFmtId="0" fontId="59" fillId="3" borderId="42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/>
    </xf>
    <xf numFmtId="0" fontId="12" fillId="0" borderId="23" xfId="0" applyFont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173" fontId="11" fillId="0" borderId="23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180" fontId="12" fillId="0" borderId="23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center" vertical="center" wrapText="1"/>
    </xf>
    <xf numFmtId="0" fontId="59" fillId="3" borderId="6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/>
    </xf>
    <xf numFmtId="182" fontId="12" fillId="0" borderId="23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 vertical="center"/>
    </xf>
    <xf numFmtId="168" fontId="12" fillId="0" borderId="2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3" fontId="12" fillId="2" borderId="23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3" fontId="12" fillId="0" borderId="23" xfId="6" applyNumberFormat="1" applyFont="1" applyBorder="1" applyAlignment="1">
      <alignment horizontal="center" vertical="center"/>
    </xf>
    <xf numFmtId="3" fontId="12" fillId="0" borderId="2" xfId="6" applyNumberFormat="1" applyFont="1" applyBorder="1" applyAlignment="1">
      <alignment horizontal="center" vertical="center"/>
    </xf>
    <xf numFmtId="3" fontId="12" fillId="0" borderId="3" xfId="6" applyNumberFormat="1" applyFont="1" applyBorder="1" applyAlignment="1">
      <alignment horizontal="center" vertical="center"/>
    </xf>
    <xf numFmtId="3" fontId="12" fillId="0" borderId="4" xfId="6" applyNumberFormat="1" applyFont="1" applyBorder="1" applyAlignment="1">
      <alignment horizontal="center" vertical="center"/>
    </xf>
    <xf numFmtId="3" fontId="12" fillId="0" borderId="5" xfId="6" applyNumberFormat="1" applyFont="1" applyBorder="1" applyAlignment="1">
      <alignment horizontal="center" vertical="center"/>
    </xf>
    <xf numFmtId="3" fontId="12" fillId="0" borderId="0" xfId="6" applyNumberFormat="1" applyFont="1" applyBorder="1" applyAlignment="1">
      <alignment horizontal="center" vertical="center"/>
    </xf>
    <xf numFmtId="3" fontId="12" fillId="0" borderId="6" xfId="6" applyNumberFormat="1" applyFont="1" applyBorder="1" applyAlignment="1">
      <alignment horizontal="center" vertical="center"/>
    </xf>
    <xf numFmtId="3" fontId="12" fillId="0" borderId="7" xfId="6" applyNumberFormat="1" applyFont="1" applyBorder="1" applyAlignment="1">
      <alignment horizontal="center" vertical="center"/>
    </xf>
    <xf numFmtId="3" fontId="12" fillId="0" borderId="8" xfId="6" applyNumberFormat="1" applyFont="1" applyBorder="1" applyAlignment="1">
      <alignment horizontal="center" vertical="center"/>
    </xf>
    <xf numFmtId="3" fontId="12" fillId="0" borderId="9" xfId="6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3" borderId="2" xfId="0" applyFont="1" applyFill="1" applyBorder="1" applyAlignment="1">
      <alignment horizontal="center" vertical="center" wrapText="1"/>
    </xf>
    <xf numFmtId="0" fontId="59" fillId="3" borderId="3" xfId="0" applyFont="1" applyFill="1" applyBorder="1" applyAlignment="1">
      <alignment horizontal="center" vertical="center" wrapText="1"/>
    </xf>
    <xf numFmtId="0" fontId="59" fillId="3" borderId="4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178" fontId="7" fillId="3" borderId="23" xfId="0" applyNumberFormat="1" applyFont="1" applyFill="1" applyBorder="1" applyAlignment="1">
      <alignment horizontal="center" vertical="center" wrapText="1"/>
    </xf>
    <xf numFmtId="178" fontId="7" fillId="3" borderId="23" xfId="0" applyNumberFormat="1" applyFont="1" applyFill="1" applyBorder="1" applyAlignment="1">
      <alignment horizontal="left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4" fontId="7" fillId="3" borderId="0" xfId="0" applyNumberFormat="1" applyFont="1" applyFill="1" applyAlignment="1">
      <alignment horizontal="left" vertical="center" shrinkToFit="1"/>
    </xf>
    <xf numFmtId="202" fontId="7" fillId="0" borderId="55" xfId="0" applyNumberFormat="1" applyFont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3" fontId="11" fillId="0" borderId="23" xfId="0" applyNumberFormat="1" applyFont="1" applyBorder="1" applyAlignment="1">
      <alignment horizontal="center" vertical="center"/>
    </xf>
    <xf numFmtId="3" fontId="11" fillId="3" borderId="23" xfId="0" applyNumberFormat="1" applyFont="1" applyFill="1" applyBorder="1" applyAlignment="1">
      <alignment horizontal="center" vertical="center"/>
    </xf>
    <xf numFmtId="172" fontId="11" fillId="2" borderId="23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173" fontId="11" fillId="3" borderId="23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11" xfId="0" applyNumberFormat="1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172" fontId="11" fillId="2" borderId="10" xfId="0" applyNumberFormat="1" applyFont="1" applyFill="1" applyBorder="1" applyAlignment="1">
      <alignment horizontal="center" vertical="center"/>
    </xf>
    <xf numFmtId="172" fontId="11" fillId="2" borderId="11" xfId="0" applyNumberFormat="1" applyFont="1" applyFill="1" applyBorder="1" applyAlignment="1">
      <alignment horizontal="center" vertical="center"/>
    </xf>
    <xf numFmtId="172" fontId="11" fillId="2" borderId="12" xfId="0" applyNumberFormat="1" applyFont="1" applyFill="1" applyBorder="1" applyAlignment="1">
      <alignment horizontal="center" vertical="center"/>
    </xf>
    <xf numFmtId="0" fontId="64" fillId="0" borderId="11" xfId="0" applyFont="1" applyBorder="1" applyAlignment="1">
      <alignment horizontal="left" vertical="center"/>
    </xf>
    <xf numFmtId="173" fontId="11" fillId="3" borderId="2" xfId="0" applyNumberFormat="1" applyFont="1" applyFill="1" applyBorder="1" applyAlignment="1">
      <alignment horizontal="center" vertical="center"/>
    </xf>
    <xf numFmtId="173" fontId="11" fillId="3" borderId="3" xfId="0" applyNumberFormat="1" applyFont="1" applyFill="1" applyBorder="1" applyAlignment="1">
      <alignment horizontal="center" vertical="center"/>
    </xf>
    <xf numFmtId="173" fontId="11" fillId="3" borderId="4" xfId="0" applyNumberFormat="1" applyFont="1" applyFill="1" applyBorder="1" applyAlignment="1">
      <alignment horizontal="center" vertical="center"/>
    </xf>
    <xf numFmtId="173" fontId="11" fillId="3" borderId="5" xfId="0" applyNumberFormat="1" applyFont="1" applyFill="1" applyBorder="1" applyAlignment="1">
      <alignment horizontal="center" vertical="center"/>
    </xf>
    <xf numFmtId="173" fontId="11" fillId="3" borderId="0" xfId="0" applyNumberFormat="1" applyFont="1" applyFill="1" applyAlignment="1">
      <alignment horizontal="center" vertical="center"/>
    </xf>
    <xf numFmtId="173" fontId="11" fillId="3" borderId="6" xfId="0" applyNumberFormat="1" applyFont="1" applyFill="1" applyBorder="1" applyAlignment="1">
      <alignment horizontal="center" vertical="center"/>
    </xf>
    <xf numFmtId="172" fontId="11" fillId="2" borderId="2" xfId="0" applyNumberFormat="1" applyFont="1" applyFill="1" applyBorder="1" applyAlignment="1">
      <alignment horizontal="center" vertical="center"/>
    </xf>
    <xf numFmtId="172" fontId="11" fillId="2" borderId="3" xfId="0" applyNumberFormat="1" applyFont="1" applyFill="1" applyBorder="1" applyAlignment="1">
      <alignment horizontal="center" vertical="center"/>
    </xf>
    <xf numFmtId="172" fontId="11" fillId="2" borderId="4" xfId="0" applyNumberFormat="1" applyFont="1" applyFill="1" applyBorder="1" applyAlignment="1">
      <alignment horizontal="center" vertical="center"/>
    </xf>
    <xf numFmtId="172" fontId="11" fillId="2" borderId="5" xfId="0" applyNumberFormat="1" applyFont="1" applyFill="1" applyBorder="1" applyAlignment="1">
      <alignment horizontal="center" vertical="center"/>
    </xf>
    <xf numFmtId="172" fontId="11" fillId="2" borderId="0" xfId="0" applyNumberFormat="1" applyFont="1" applyFill="1" applyAlignment="1">
      <alignment horizontal="center" vertical="center"/>
    </xf>
    <xf numFmtId="172" fontId="11" fillId="2" borderId="6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04" fontId="7" fillId="0" borderId="55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2" fontId="11" fillId="3" borderId="23" xfId="0" applyNumberFormat="1" applyFont="1" applyFill="1" applyBorder="1" applyAlignment="1">
      <alignment horizontal="center" vertical="center"/>
    </xf>
    <xf numFmtId="3" fontId="11" fillId="2" borderId="23" xfId="0" applyNumberFormat="1" applyFont="1" applyFill="1" applyBorder="1" applyAlignment="1">
      <alignment horizontal="center" vertical="center"/>
    </xf>
    <xf numFmtId="181" fontId="7" fillId="2" borderId="3" xfId="0" applyNumberFormat="1" applyFont="1" applyFill="1" applyBorder="1" applyAlignment="1">
      <alignment horizontal="center" vertical="center"/>
    </xf>
    <xf numFmtId="181" fontId="7" fillId="2" borderId="4" xfId="0" applyNumberFormat="1" applyFont="1" applyFill="1" applyBorder="1" applyAlignment="1">
      <alignment horizontal="center" vertical="center"/>
    </xf>
    <xf numFmtId="181" fontId="7" fillId="2" borderId="8" xfId="0" applyNumberFormat="1" applyFont="1" applyFill="1" applyBorder="1" applyAlignment="1">
      <alignment horizontal="center" vertical="center"/>
    </xf>
    <xf numFmtId="181" fontId="7" fillId="2" borderId="9" xfId="0" applyNumberFormat="1" applyFont="1" applyFill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/>
    </xf>
    <xf numFmtId="188" fontId="11" fillId="0" borderId="2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1" fillId="0" borderId="46" xfId="0" applyFont="1" applyBorder="1" applyAlignment="1">
      <alignment horizontal="center" vertical="center" wrapText="1"/>
    </xf>
    <xf numFmtId="199" fontId="7" fillId="0" borderId="55" xfId="0" applyNumberFormat="1" applyFont="1" applyBorder="1" applyAlignment="1">
      <alignment horizontal="left" vertic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textRotation="90" wrapText="1"/>
    </xf>
    <xf numFmtId="0" fontId="11" fillId="3" borderId="42" xfId="0" applyFont="1" applyFill="1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wrapText="1"/>
    </xf>
    <xf numFmtId="2" fontId="11" fillId="2" borderId="23" xfId="0" applyNumberFormat="1" applyFont="1" applyFill="1" applyBorder="1" applyAlignment="1">
      <alignment horizontal="center" vertical="center"/>
    </xf>
    <xf numFmtId="2" fontId="11" fillId="2" borderId="10" xfId="0" applyNumberFormat="1" applyFont="1" applyFill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 vertical="center"/>
    </xf>
    <xf numFmtId="2" fontId="11" fillId="2" borderId="91" xfId="0" applyNumberFormat="1" applyFont="1" applyFill="1" applyBorder="1" applyAlignment="1">
      <alignment horizontal="center" vertical="center"/>
    </xf>
    <xf numFmtId="2" fontId="11" fillId="2" borderId="93" xfId="0" applyNumberFormat="1" applyFont="1" applyFill="1" applyBorder="1" applyAlignment="1">
      <alignment horizontal="center" vertical="center"/>
    </xf>
    <xf numFmtId="2" fontId="11" fillId="2" borderId="90" xfId="0" applyNumberFormat="1" applyFont="1" applyFill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2" fontId="11" fillId="2" borderId="95" xfId="0" applyNumberFormat="1" applyFont="1" applyFill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2" fontId="11" fillId="2" borderId="96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2" fontId="11" fillId="2" borderId="23" xfId="0" quotePrefix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198" fontId="10" fillId="2" borderId="3" xfId="0" applyNumberFormat="1" applyFont="1" applyFill="1" applyBorder="1" applyAlignment="1">
      <alignment horizontal="center" vertical="center"/>
    </xf>
    <xf numFmtId="198" fontId="10" fillId="2" borderId="4" xfId="0" applyNumberFormat="1" applyFont="1" applyFill="1" applyBorder="1" applyAlignment="1">
      <alignment horizontal="center" vertical="center"/>
    </xf>
    <xf numFmtId="198" fontId="10" fillId="2" borderId="8" xfId="0" applyNumberFormat="1" applyFont="1" applyFill="1" applyBorder="1" applyAlignment="1">
      <alignment horizontal="center" vertical="center"/>
    </xf>
    <xf numFmtId="198" fontId="10" fillId="2" borderId="9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169" fontId="12" fillId="0" borderId="3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42" xfId="0" applyFont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205" fontId="7" fillId="0" borderId="55" xfId="0" applyNumberFormat="1" applyFont="1" applyBorder="1" applyAlignment="1">
      <alignment horizontal="left" vertical="center"/>
    </xf>
    <xf numFmtId="175" fontId="7" fillId="2" borderId="12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95" fontId="10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209" fontId="7" fillId="0" borderId="2" xfId="0" applyNumberFormat="1" applyFont="1" applyBorder="1" applyAlignment="1">
      <alignment horizontal="center" vertical="center"/>
    </xf>
    <xf numFmtId="209" fontId="7" fillId="0" borderId="3" xfId="0" applyNumberFormat="1" applyFont="1" applyBorder="1" applyAlignment="1">
      <alignment horizontal="center" vertical="center"/>
    </xf>
    <xf numFmtId="209" fontId="7" fillId="0" borderId="4" xfId="0" applyNumberFormat="1" applyFont="1" applyBorder="1" applyAlignment="1">
      <alignment horizontal="center" vertical="center"/>
    </xf>
    <xf numFmtId="209" fontId="7" fillId="0" borderId="5" xfId="0" applyNumberFormat="1" applyFont="1" applyBorder="1" applyAlignment="1">
      <alignment horizontal="center" vertical="center"/>
    </xf>
    <xf numFmtId="209" fontId="7" fillId="0" borderId="0" xfId="0" applyNumberFormat="1" applyFont="1" applyAlignment="1">
      <alignment horizontal="center" vertical="center"/>
    </xf>
    <xf numFmtId="209" fontId="7" fillId="0" borderId="6" xfId="0" applyNumberFormat="1" applyFont="1" applyBorder="1" applyAlignment="1">
      <alignment horizontal="center" vertical="center"/>
    </xf>
    <xf numFmtId="209" fontId="7" fillId="0" borderId="7" xfId="0" applyNumberFormat="1" applyFont="1" applyBorder="1" applyAlignment="1">
      <alignment horizontal="center" vertical="center"/>
    </xf>
    <xf numFmtId="209" fontId="7" fillId="0" borderId="8" xfId="0" applyNumberFormat="1" applyFont="1" applyBorder="1" applyAlignment="1">
      <alignment horizontal="center" vertical="center"/>
    </xf>
    <xf numFmtId="209" fontId="7" fillId="0" borderId="9" xfId="0" applyNumberFormat="1" applyFont="1" applyBorder="1" applyAlignment="1">
      <alignment horizontal="center" vertical="center"/>
    </xf>
    <xf numFmtId="193" fontId="7" fillId="0" borderId="23" xfId="0" applyNumberFormat="1" applyFont="1" applyBorder="1" applyAlignment="1">
      <alignment horizontal="right" vertical="center"/>
    </xf>
    <xf numFmtId="193" fontId="7" fillId="0" borderId="10" xfId="0" applyNumberFormat="1" applyFont="1" applyBorder="1" applyAlignment="1">
      <alignment horizontal="right" vertical="center"/>
    </xf>
    <xf numFmtId="175" fontId="7" fillId="0" borderId="12" xfId="0" applyNumberFormat="1" applyFont="1" applyBorder="1" applyAlignment="1">
      <alignment horizontal="left" vertical="center"/>
    </xf>
    <xf numFmtId="194" fontId="7" fillId="2" borderId="23" xfId="0" applyNumberFormat="1" applyFont="1" applyFill="1" applyBorder="1" applyAlignment="1">
      <alignment horizontal="right" vertical="center"/>
    </xf>
    <xf numFmtId="194" fontId="7" fillId="2" borderId="10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2" fontId="12" fillId="2" borderId="8" xfId="0" applyNumberFormat="1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2" fontId="1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2" fontId="10" fillId="2" borderId="3" xfId="0" applyNumberFormat="1" applyFont="1" applyFill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10" fillId="2" borderId="3" xfId="0" applyFont="1" applyFill="1" applyBorder="1" applyAlignment="1">
      <alignment vertical="center"/>
    </xf>
    <xf numFmtId="0" fontId="55" fillId="0" borderId="8" xfId="0" applyFont="1" applyBorder="1" applyAlignment="1">
      <alignment vertical="center"/>
    </xf>
    <xf numFmtId="169" fontId="10" fillId="2" borderId="3" xfId="0" applyNumberFormat="1" applyFont="1" applyFill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10" fillId="2" borderId="3" xfId="0" applyNumberFormat="1" applyFont="1" applyFill="1" applyBorder="1" applyAlignment="1">
      <alignment horizontal="right" vertical="center"/>
    </xf>
    <xf numFmtId="169" fontId="0" fillId="0" borderId="3" xfId="0" applyNumberFormat="1" applyBorder="1" applyAlignment="1">
      <alignment horizontal="right" vertical="center"/>
    </xf>
    <xf numFmtId="169" fontId="0" fillId="0" borderId="8" xfId="0" applyNumberFormat="1" applyBorder="1" applyAlignment="1">
      <alignment horizontal="right" vertical="center"/>
    </xf>
    <xf numFmtId="169" fontId="12" fillId="3" borderId="2" xfId="0" applyNumberFormat="1" applyFont="1" applyFill="1" applyBorder="1" applyAlignment="1">
      <alignment horizontal="center" vertical="center"/>
    </xf>
    <xf numFmtId="169" fontId="12" fillId="3" borderId="3" xfId="0" applyNumberFormat="1" applyFont="1" applyFill="1" applyBorder="1" applyAlignment="1">
      <alignment horizontal="center" vertical="center"/>
    </xf>
    <xf numFmtId="169" fontId="12" fillId="3" borderId="4" xfId="0" applyNumberFormat="1" applyFont="1" applyFill="1" applyBorder="1" applyAlignment="1">
      <alignment horizontal="center" vertical="center"/>
    </xf>
    <xf numFmtId="169" fontId="12" fillId="3" borderId="7" xfId="0" applyNumberFormat="1" applyFont="1" applyFill="1" applyBorder="1" applyAlignment="1">
      <alignment horizontal="center" vertical="center"/>
    </xf>
    <xf numFmtId="169" fontId="12" fillId="3" borderId="8" xfId="0" applyNumberFormat="1" applyFont="1" applyFill="1" applyBorder="1" applyAlignment="1">
      <alignment horizontal="center" vertical="center"/>
    </xf>
    <xf numFmtId="169" fontId="12" fillId="3" borderId="9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>
      <alignment horizontal="center" vertical="center"/>
    </xf>
    <xf numFmtId="169" fontId="12" fillId="2" borderId="2" xfId="0" applyNumberFormat="1" applyFont="1" applyFill="1" applyBorder="1" applyAlignment="1">
      <alignment horizontal="center" vertical="center"/>
    </xf>
    <xf numFmtId="169" fontId="12" fillId="2" borderId="3" xfId="0" applyNumberFormat="1" applyFont="1" applyFill="1" applyBorder="1" applyAlignment="1">
      <alignment horizontal="center" vertical="center"/>
    </xf>
    <xf numFmtId="169" fontId="12" fillId="2" borderId="4" xfId="0" applyNumberFormat="1" applyFont="1" applyFill="1" applyBorder="1" applyAlignment="1">
      <alignment horizontal="center" vertical="center"/>
    </xf>
    <xf numFmtId="169" fontId="12" fillId="2" borderId="7" xfId="0" applyNumberFormat="1" applyFont="1" applyFill="1" applyBorder="1" applyAlignment="1">
      <alignment horizontal="center" vertical="center"/>
    </xf>
    <xf numFmtId="169" fontId="12" fillId="2" borderId="8" xfId="0" applyNumberFormat="1" applyFont="1" applyFill="1" applyBorder="1" applyAlignment="1">
      <alignment horizontal="center" vertical="center"/>
    </xf>
    <xf numFmtId="169" fontId="12" fillId="2" borderId="9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58" fillId="0" borderId="5" xfId="0" applyFont="1" applyBorder="1" applyAlignment="1">
      <alignment horizontal="center" textRotation="90"/>
    </xf>
    <xf numFmtId="0" fontId="58" fillId="0" borderId="6" xfId="0" applyFont="1" applyBorder="1" applyAlignment="1">
      <alignment horizontal="center" textRotation="90"/>
    </xf>
    <xf numFmtId="0" fontId="58" fillId="0" borderId="7" xfId="0" applyFont="1" applyBorder="1" applyAlignment="1">
      <alignment horizontal="center" textRotation="90"/>
    </xf>
    <xf numFmtId="0" fontId="58" fillId="0" borderId="9" xfId="0" applyFont="1" applyBorder="1" applyAlignment="1">
      <alignment horizontal="center" textRotation="90"/>
    </xf>
    <xf numFmtId="208" fontId="7" fillId="0" borderId="55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8" fontId="12" fillId="0" borderId="6" xfId="0" applyNumberFormat="1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8" fontId="12" fillId="0" borderId="8" xfId="0" applyNumberFormat="1" applyFont="1" applyBorder="1" applyAlignment="1">
      <alignment horizontal="center" vertical="center"/>
    </xf>
    <xf numFmtId="168" fontId="12" fillId="0" borderId="9" xfId="0" applyNumberFormat="1" applyFont="1" applyBorder="1" applyAlignment="1">
      <alignment horizontal="center" vertical="center"/>
    </xf>
    <xf numFmtId="207" fontId="7" fillId="0" borderId="55" xfId="0" applyNumberFormat="1" applyFont="1" applyBorder="1" applyAlignment="1">
      <alignment horizontal="left" vertical="center"/>
    </xf>
    <xf numFmtId="200" fontId="7" fillId="0" borderId="55" xfId="0" applyNumberFormat="1" applyFont="1" applyBorder="1" applyAlignment="1">
      <alignment horizontal="left" vertical="center"/>
    </xf>
    <xf numFmtId="165" fontId="11" fillId="3" borderId="11" xfId="0" applyNumberFormat="1" applyFont="1" applyFill="1" applyBorder="1" applyAlignment="1">
      <alignment horizontal="left" vertical="center"/>
    </xf>
    <xf numFmtId="166" fontId="7" fillId="3" borderId="23" xfId="0" applyNumberFormat="1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3" fontId="11" fillId="3" borderId="5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65" fillId="2" borderId="3" xfId="0" applyFont="1" applyFill="1" applyBorder="1" applyAlignment="1">
      <alignment horizontal="left" vertical="center"/>
    </xf>
    <xf numFmtId="0" fontId="65" fillId="2" borderId="4" xfId="0" applyFont="1" applyFill="1" applyBorder="1" applyAlignment="1">
      <alignment horizontal="left" vertical="center"/>
    </xf>
    <xf numFmtId="0" fontId="65" fillId="2" borderId="8" xfId="0" applyFont="1" applyFill="1" applyBorder="1" applyAlignment="1">
      <alignment horizontal="left" vertical="center"/>
    </xf>
    <xf numFmtId="0" fontId="65" fillId="2" borderId="9" xfId="0" applyFont="1" applyFill="1" applyBorder="1" applyAlignment="1">
      <alignment horizontal="left" vertical="center"/>
    </xf>
    <xf numFmtId="3" fontId="10" fillId="2" borderId="2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201" fontId="7" fillId="3" borderId="23" xfId="0" applyNumberFormat="1" applyFont="1" applyFill="1" applyBorder="1" applyAlignment="1">
      <alignment horizontal="left" vertical="center"/>
    </xf>
    <xf numFmtId="202" fontId="7" fillId="0" borderId="20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203" fontId="7" fillId="0" borderId="20" xfId="0" applyNumberFormat="1" applyFont="1" applyBorder="1" applyAlignment="1">
      <alignment horizontal="left" vertical="center"/>
    </xf>
    <xf numFmtId="204" fontId="7" fillId="0" borderId="20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99" fontId="7" fillId="0" borderId="20" xfId="0" applyNumberFormat="1" applyFont="1" applyBorder="1" applyAlignment="1">
      <alignment horizontal="left" vertical="center"/>
    </xf>
    <xf numFmtId="205" fontId="7" fillId="0" borderId="20" xfId="0" applyNumberFormat="1" applyFont="1" applyBorder="1" applyAlignment="1">
      <alignment horizontal="left" vertical="center"/>
    </xf>
    <xf numFmtId="208" fontId="7" fillId="0" borderId="20" xfId="0" applyNumberFormat="1" applyFont="1" applyBorder="1" applyAlignment="1">
      <alignment horizontal="left" vertical="center"/>
    </xf>
    <xf numFmtId="207" fontId="7" fillId="0" borderId="2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00" fontId="7" fillId="0" borderId="20" xfId="0" applyNumberFormat="1" applyFont="1" applyBorder="1" applyAlignment="1">
      <alignment horizontal="left" vertical="center"/>
    </xf>
    <xf numFmtId="0" fontId="12" fillId="4" borderId="23" xfId="0" applyFont="1" applyFill="1" applyBorder="1" applyAlignment="1">
      <alignment horizontal="center" vertical="center"/>
    </xf>
    <xf numFmtId="190" fontId="12" fillId="3" borderId="23" xfId="0" applyNumberFormat="1" applyFont="1" applyFill="1" applyBorder="1" applyAlignment="1">
      <alignment horizontal="center" vertical="center"/>
    </xf>
    <xf numFmtId="178" fontId="7" fillId="0" borderId="23" xfId="0" applyNumberFormat="1" applyFont="1" applyBorder="1" applyAlignment="1">
      <alignment horizontal="left" vertical="center"/>
    </xf>
    <xf numFmtId="14" fontId="7" fillId="4" borderId="11" xfId="0" applyNumberFormat="1" applyFont="1" applyFill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88" fontId="12" fillId="0" borderId="23" xfId="0" applyNumberFormat="1" applyFont="1" applyBorder="1" applyAlignment="1">
      <alignment horizontal="center" vertical="center"/>
    </xf>
    <xf numFmtId="1" fontId="12" fillId="4" borderId="23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textRotation="90" wrapText="1"/>
    </xf>
    <xf numFmtId="2" fontId="11" fillId="4" borderId="23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2" fontId="11" fillId="4" borderId="41" xfId="0" applyNumberFormat="1" applyFont="1" applyFill="1" applyBorder="1" applyAlignment="1">
      <alignment horizontal="center" vertical="center"/>
    </xf>
    <xf numFmtId="2" fontId="11" fillId="4" borderId="97" xfId="0" applyNumberFormat="1" applyFont="1" applyFill="1" applyBorder="1" applyAlignment="1">
      <alignment horizontal="center" vertical="center"/>
    </xf>
    <xf numFmtId="2" fontId="11" fillId="4" borderId="46" xfId="0" applyNumberFormat="1" applyFont="1" applyFill="1" applyBorder="1" applyAlignment="1">
      <alignment horizontal="center" vertical="center"/>
    </xf>
    <xf numFmtId="2" fontId="11" fillId="4" borderId="90" xfId="0" applyNumberFormat="1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2" fontId="11" fillId="4" borderId="98" xfId="0" applyNumberFormat="1" applyFont="1" applyFill="1" applyBorder="1" applyAlignment="1">
      <alignment horizontal="center" vertical="center"/>
    </xf>
    <xf numFmtId="2" fontId="11" fillId="4" borderId="91" xfId="0" applyNumberFormat="1" applyFont="1" applyFill="1" applyBorder="1" applyAlignment="1">
      <alignment horizontal="center" vertical="center"/>
    </xf>
    <xf numFmtId="2" fontId="11" fillId="4" borderId="93" xfId="0" applyNumberFormat="1" applyFont="1" applyFill="1" applyBorder="1" applyAlignment="1">
      <alignment horizontal="center" vertical="center"/>
    </xf>
    <xf numFmtId="2" fontId="11" fillId="4" borderId="95" xfId="0" applyNumberFormat="1" applyFont="1" applyFill="1" applyBorder="1" applyAlignment="1">
      <alignment horizontal="center" vertical="center"/>
    </xf>
    <xf numFmtId="2" fontId="11" fillId="4" borderId="96" xfId="0" applyNumberFormat="1" applyFont="1" applyFill="1" applyBorder="1" applyAlignment="1">
      <alignment horizontal="center" vertical="center"/>
    </xf>
    <xf numFmtId="0" fontId="11" fillId="0" borderId="23" xfId="0" quotePrefix="1" applyFont="1" applyBorder="1" applyAlignment="1">
      <alignment horizontal="center" vertical="center"/>
    </xf>
    <xf numFmtId="198" fontId="10" fillId="4" borderId="3" xfId="0" applyNumberFormat="1" applyFont="1" applyFill="1" applyBorder="1" applyAlignment="1">
      <alignment horizontal="center" vertical="center"/>
    </xf>
    <xf numFmtId="198" fontId="10" fillId="4" borderId="4" xfId="0" applyNumberFormat="1" applyFont="1" applyFill="1" applyBorder="1" applyAlignment="1">
      <alignment horizontal="center" vertical="center"/>
    </xf>
    <xf numFmtId="198" fontId="10" fillId="4" borderId="8" xfId="0" applyNumberFormat="1" applyFont="1" applyFill="1" applyBorder="1" applyAlignment="1">
      <alignment horizontal="center" vertical="center"/>
    </xf>
    <xf numFmtId="198" fontId="10" fillId="4" borderId="9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wrapText="1"/>
    </xf>
    <xf numFmtId="2" fontId="12" fillId="4" borderId="2" xfId="0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2" fontId="12" fillId="4" borderId="8" xfId="0" applyNumberFormat="1" applyFont="1" applyFill="1" applyBorder="1" applyAlignment="1">
      <alignment horizontal="center" vertical="center"/>
    </xf>
    <xf numFmtId="2" fontId="12" fillId="4" borderId="9" xfId="0" applyNumberFormat="1" applyFont="1" applyFill="1" applyBorder="1" applyAlignment="1">
      <alignment horizontal="center" vertical="center"/>
    </xf>
    <xf numFmtId="169" fontId="10" fillId="4" borderId="3" xfId="0" applyNumberFormat="1" applyFont="1" applyFill="1" applyBorder="1" applyAlignment="1">
      <alignment horizontal="center" vertical="center"/>
    </xf>
    <xf numFmtId="169" fontId="10" fillId="4" borderId="8" xfId="0" applyNumberFormat="1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69" fontId="12" fillId="4" borderId="2" xfId="0" applyNumberFormat="1" applyFont="1" applyFill="1" applyBorder="1" applyAlignment="1">
      <alignment horizontal="center" vertical="center"/>
    </xf>
    <xf numFmtId="169" fontId="12" fillId="4" borderId="3" xfId="0" applyNumberFormat="1" applyFont="1" applyFill="1" applyBorder="1" applyAlignment="1">
      <alignment horizontal="center" vertical="center"/>
    </xf>
    <xf numFmtId="169" fontId="12" fillId="4" borderId="4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169" fontId="12" fillId="4" borderId="8" xfId="0" applyNumberFormat="1" applyFont="1" applyFill="1" applyBorder="1" applyAlignment="1">
      <alignment horizontal="center" vertical="center"/>
    </xf>
    <xf numFmtId="169" fontId="12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168" fontId="11" fillId="0" borderId="3" xfId="0" applyNumberFormat="1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50" fillId="11" borderId="0" xfId="0" applyFont="1" applyFill="1" applyAlignment="1">
      <alignment vertical="center"/>
    </xf>
    <xf numFmtId="0" fontId="67" fillId="11" borderId="0" xfId="0" applyFont="1" applyFill="1"/>
    <xf numFmtId="0" fontId="29" fillId="0" borderId="0" xfId="0" applyFont="1"/>
    <xf numFmtId="0" fontId="51" fillId="0" borderId="0" xfId="0" applyFont="1"/>
    <xf numFmtId="170" fontId="42" fillId="0" borderId="11" xfId="0" applyNumberFormat="1" applyFont="1" applyFill="1" applyBorder="1" applyAlignment="1">
      <alignment horizontal="left" vertical="center"/>
    </xf>
    <xf numFmtId="0" fontId="50" fillId="0" borderId="99" xfId="0" applyFont="1" applyBorder="1" applyAlignment="1">
      <alignment horizontal="center" vertical="center"/>
    </xf>
    <xf numFmtId="0" fontId="43" fillId="0" borderId="99" xfId="0" applyFont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19" fillId="0" borderId="100" xfId="0" applyFont="1" applyBorder="1" applyAlignment="1">
      <alignment horizontal="center"/>
    </xf>
    <xf numFmtId="0" fontId="19" fillId="0" borderId="101" xfId="0" applyFont="1" applyBorder="1" applyAlignment="1">
      <alignment horizontal="center"/>
    </xf>
    <xf numFmtId="0" fontId="19" fillId="0" borderId="102" xfId="0" applyFont="1" applyBorder="1"/>
  </cellXfs>
  <cellStyles count="7">
    <cellStyle name="Komma" xfId="1" builtinId="3"/>
    <cellStyle name="Komma 2" xfId="6" xr:uid="{ED45F836-A2A9-4B93-BE2F-2E9184C5ABD6}"/>
    <cellStyle name="Link" xfId="5" builtinId="8"/>
    <cellStyle name="Standard" xfId="0" builtinId="0"/>
    <cellStyle name="Standard 2" xfId="4" xr:uid="{68EE32BF-B2E4-44C2-9105-270D8CE64057}"/>
    <cellStyle name="Standard_FO 5.051  Seitenregister" xfId="3" xr:uid="{E7231FB9-49ED-4D47-B8CE-87F1FB644ABB}"/>
    <cellStyle name="Standard_FO 5.321 PR-AW-1  10.20.60" xfId="2" xr:uid="{891FE7BF-7F8E-4105-8020-0277BAE5658E}"/>
  </cellStyles>
  <dxfs count="7">
    <dxf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CC99"/>
      <color rgb="FF009999"/>
      <color rgb="FF0000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g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6.tiff"/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217424</xdr:colOff>
      <xdr:row>27</xdr:row>
      <xdr:rowOff>6201</xdr:rowOff>
    </xdr:from>
    <xdr:ext cx="2448363" cy="292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CH" sz="9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β</m:t>
                    </m:r>
                    <m:r>
                      <a:rPr lang="de-CH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9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Luftvolumenstr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ö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me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eines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Raumes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kumimoji="0" lang="de-CH" sz="9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a:rPr kumimoji="0" lang="de-CH" sz="900" b="0" i="0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) </m:t>
                            </m:r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Raumvolumen</m:t>
                        </m:r>
                        <m:r>
                          <a:rPr lang="de-CH" sz="900" b="0" i="0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de-CH" sz="9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de-CH" sz="900" b="0" i="0" baseline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2F0A5B8-9C81-4A3C-886B-5AF372541ACE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r>
                <a:rPr lang="de-CH" sz="900" i="0">
                  <a:latin typeface="Cambria Math" panose="02040503050406030204" pitchFamily="18" charset="0"/>
                </a:rPr>
                <a:t>=(∑</a:t>
              </a:r>
              <a:r>
                <a:rPr lang="de-CH" sz="900" b="0" i="0">
                  <a:latin typeface="Cambria Math" panose="02040503050406030204" pitchFamily="18" charset="0"/>
                </a:rPr>
                <a:t>▒〖Luftvolumenströme eines Raumes (</a:t>
              </a:r>
              <a:r>
                <a:rPr kumimoji="0" lang="de-CH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kumimoji="0" lang="de-CH" sz="900" b="0" i="0" u="none" strike="noStrike" kern="0" cap="none" spc="0" normalizeH="0" baseline="30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900" b="0" i="0">
                  <a:latin typeface="Cambria Math" panose="02040503050406030204" pitchFamily="18" charset="0"/>
                </a:rPr>
                <a:t>/h) 〗)/(Raumvolumen (m</a:t>
              </a:r>
              <a:r>
                <a:rPr lang="de-CH" sz="900" b="0" i="0" baseline="30000">
                  <a:latin typeface="Cambria Math" panose="02040503050406030204" pitchFamily="18" charset="0"/>
                </a:rPr>
                <a:t>3</a:t>
              </a:r>
              <a:r>
                <a:rPr lang="de-CH" sz="900" b="0" i="0" baseline="0">
                  <a:latin typeface="Cambria Math" panose="02040503050406030204" pitchFamily="18" charset="0"/>
                </a:rPr>
                <a:t>))</a:t>
              </a:r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0833" name="Check Box 1" hidden="1">
              <a:extLst>
                <a:ext uri="{63B3BB69-23CF-44E3-9099-C40C66FF867C}">
                  <a14:compatExt spid="_x0000_s120833"/>
                </a:ext>
                <a:ext uri="{FF2B5EF4-FFF2-40B4-BE49-F238E27FC236}">
                  <a16:creationId xmlns:a16="http://schemas.microsoft.com/office/drawing/2014/main" id="{00000000-0008-0000-1F00-000001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0834" name="Check Box 2" hidden="1">
              <a:extLst>
                <a:ext uri="{63B3BB69-23CF-44E3-9099-C40C66FF867C}">
                  <a14:compatExt spid="_x0000_s120834"/>
                </a:ext>
                <a:ext uri="{FF2B5EF4-FFF2-40B4-BE49-F238E27FC236}">
                  <a16:creationId xmlns:a16="http://schemas.microsoft.com/office/drawing/2014/main" id="{00000000-0008-0000-1F00-000002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6081" name="Check Box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0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6082" name="Check Box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0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53601" name="Check Box 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21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53602" name="Check Box 2" hidden="1">
              <a:extLst>
                <a:ext uri="{63B3BB69-23CF-44E3-9099-C40C66FF867C}">
                  <a14:compatExt spid="_x0000_s153602"/>
                </a:ext>
                <a:ext uri="{FF2B5EF4-FFF2-40B4-BE49-F238E27FC236}">
                  <a16:creationId xmlns:a16="http://schemas.microsoft.com/office/drawing/2014/main" id="{00000000-0008-0000-2100-000002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22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22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8129" name="Check Box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23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8130" name="Check Box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23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9025" name="Check Box 1" hidden="1">
              <a:extLst>
                <a:ext uri="{63B3BB69-23CF-44E3-9099-C40C66FF867C}">
                  <a14:compatExt spid="_x0000_s129025"/>
                </a:ext>
                <a:ext uri="{FF2B5EF4-FFF2-40B4-BE49-F238E27FC236}">
                  <a16:creationId xmlns:a16="http://schemas.microsoft.com/office/drawing/2014/main" id="{00000000-0008-0000-2400-000001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9026" name="Check Box 2" hidden="1">
              <a:extLst>
                <a:ext uri="{63B3BB69-23CF-44E3-9099-C40C66FF867C}">
                  <a14:compatExt spid="_x0000_s129026"/>
                </a:ext>
                <a:ext uri="{FF2B5EF4-FFF2-40B4-BE49-F238E27FC236}">
                  <a16:creationId xmlns:a16="http://schemas.microsoft.com/office/drawing/2014/main" id="{00000000-0008-0000-2400-000002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108857</xdr:colOff>
          <xdr:row>6</xdr:row>
          <xdr:rowOff>48986</xdr:rowOff>
        </xdr:to>
        <xdr:sp macro="" textlink="">
          <xdr:nvSpPr>
            <xdr:cNvPr id="129027" name="Check Box 3" hidden="1">
              <a:extLst>
                <a:ext uri="{63B3BB69-23CF-44E3-9099-C40C66FF867C}">
                  <a14:compatExt spid="_x0000_s129027"/>
                </a:ext>
                <a:ext uri="{FF2B5EF4-FFF2-40B4-BE49-F238E27FC236}">
                  <a16:creationId xmlns:a16="http://schemas.microsoft.com/office/drawing/2014/main" id="{00000000-0008-0000-2400-000003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228600</xdr:colOff>
          <xdr:row>6</xdr:row>
          <xdr:rowOff>48986</xdr:rowOff>
        </xdr:to>
        <xdr:sp macro="" textlink="">
          <xdr:nvSpPr>
            <xdr:cNvPr id="129028" name="Check Box 4" hidden="1">
              <a:extLst>
                <a:ext uri="{63B3BB69-23CF-44E3-9099-C40C66FF867C}">
                  <a14:compatExt spid="_x0000_s129028"/>
                </a:ext>
                <a:ext uri="{FF2B5EF4-FFF2-40B4-BE49-F238E27FC236}">
                  <a16:creationId xmlns:a16="http://schemas.microsoft.com/office/drawing/2014/main" id="{00000000-0008-0000-2400-000004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83232</xdr:colOff>
      <xdr:row>19</xdr:row>
      <xdr:rowOff>54714</xdr:rowOff>
    </xdr:from>
    <xdr:to>
      <xdr:col>11</xdr:col>
      <xdr:colOff>27743</xdr:colOff>
      <xdr:row>34</xdr:row>
      <xdr:rowOff>83233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7" t="25039" r="31409"/>
        <a:stretch/>
      </xdr:blipFill>
      <xdr:spPr>
        <a:xfrm rot="5400000">
          <a:off x="438874" y="2565820"/>
          <a:ext cx="2284926" cy="2996210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212694</xdr:colOff>
      <xdr:row>19</xdr:row>
      <xdr:rowOff>55493</xdr:rowOff>
    </xdr:from>
    <xdr:to>
      <xdr:col>23</xdr:col>
      <xdr:colOff>92476</xdr:colOff>
      <xdr:row>34</xdr:row>
      <xdr:rowOff>110974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97" t="33707" r="18425" b="-303"/>
        <a:stretch/>
      </xdr:blipFill>
      <xdr:spPr>
        <a:xfrm rot="5400000">
          <a:off x="3851617" y="2612444"/>
          <a:ext cx="2311888" cy="293148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79201" name="Check Box 1" hidden="1">
              <a:extLst>
                <a:ext uri="{63B3BB69-23CF-44E3-9099-C40C66FF867C}">
                  <a14:compatExt spid="_x0000_s179201"/>
                </a:ext>
                <a:ext uri="{FF2B5EF4-FFF2-40B4-BE49-F238E27FC236}">
                  <a16:creationId xmlns:a16="http://schemas.microsoft.com/office/drawing/2014/main" id="{00000000-0008-0000-2500-000001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79202" name="Check Box 2" hidden="1">
              <a:extLst>
                <a:ext uri="{63B3BB69-23CF-44E3-9099-C40C66FF867C}">
                  <a14:compatExt spid="_x0000_s179202"/>
                </a:ext>
                <a:ext uri="{FF2B5EF4-FFF2-40B4-BE49-F238E27FC236}">
                  <a16:creationId xmlns:a16="http://schemas.microsoft.com/office/drawing/2014/main" id="{00000000-0008-0000-2500-000002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258931</xdr:colOff>
      <xdr:row>32</xdr:row>
      <xdr:rowOff>27744</xdr:rowOff>
    </xdr:from>
    <xdr:to>
      <xdr:col>5</xdr:col>
      <xdr:colOff>150026</xdr:colOff>
      <xdr:row>34</xdr:row>
      <xdr:rowOff>24664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00000000-0008-0000-2500-000019000000}"/>
            </a:ext>
          </a:extLst>
        </xdr:cNvPr>
        <xdr:cNvSpPr txBox="1"/>
      </xdr:nvSpPr>
      <xdr:spPr>
        <a:xfrm>
          <a:off x="1091213" y="4854977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0</xdr:col>
      <xdr:colOff>194198</xdr:colOff>
      <xdr:row>35</xdr:row>
      <xdr:rowOff>9246</xdr:rowOff>
    </xdr:from>
    <xdr:to>
      <xdr:col>7</xdr:col>
      <xdr:colOff>140771</xdr:colOff>
      <xdr:row>39</xdr:row>
      <xdr:rowOff>27741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00000000-0008-0000-2500-00001F000000}"/>
            </a:ext>
          </a:extLst>
        </xdr:cNvPr>
        <xdr:cNvSpPr txBox="1"/>
      </xdr:nvSpPr>
      <xdr:spPr>
        <a:xfrm>
          <a:off x="194198" y="5280363"/>
          <a:ext cx="1888563" cy="61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Flowzone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 sz="1100"/>
            <a:t>          RNr. 01.04.00.169 )</a:t>
          </a:r>
        </a:p>
      </xdr:txBody>
    </xdr:sp>
    <xdr:clientData/>
  </xdr:twoCellAnchor>
  <xdr:twoCellAnchor>
    <xdr:from>
      <xdr:col>13</xdr:col>
      <xdr:colOff>175704</xdr:colOff>
      <xdr:row>35</xdr:row>
      <xdr:rowOff>83227</xdr:rowOff>
    </xdr:from>
    <xdr:to>
      <xdr:col>20</xdr:col>
      <xdr:colOff>122276</xdr:colOff>
      <xdr:row>39</xdr:row>
      <xdr:rowOff>147959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0000000-0008-0000-2500-000020000000}"/>
            </a:ext>
          </a:extLst>
        </xdr:cNvPr>
        <xdr:cNvSpPr txBox="1"/>
      </xdr:nvSpPr>
      <xdr:spPr>
        <a:xfrm>
          <a:off x="3782257" y="5354344"/>
          <a:ext cx="1888563" cy="65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S03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/>
            <a:t> </a:t>
          </a:r>
          <a:r>
            <a:rPr lang="de-CH" sz="1100"/>
            <a:t>         RNr. 01.04.00.158 )</a:t>
          </a:r>
        </a:p>
      </xdr:txBody>
    </xdr:sp>
    <xdr:clientData/>
  </xdr:twoCellAnchor>
  <xdr:twoCellAnchor>
    <xdr:from>
      <xdr:col>0</xdr:col>
      <xdr:colOff>110972</xdr:colOff>
      <xdr:row>57</xdr:row>
      <xdr:rowOff>27744</xdr:rowOff>
    </xdr:from>
    <xdr:to>
      <xdr:col>7</xdr:col>
      <xdr:colOff>57545</xdr:colOff>
      <xdr:row>63</xdr:row>
      <xdr:rowOff>45034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0000000-0008-0000-2500-000021000000}"/>
            </a:ext>
          </a:extLst>
        </xdr:cNvPr>
        <xdr:cNvSpPr txBox="1"/>
      </xdr:nvSpPr>
      <xdr:spPr>
        <a:xfrm>
          <a:off x="110972" y="8554006"/>
          <a:ext cx="1888563" cy="683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S42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   </a:t>
          </a:r>
          <a:r>
            <a:rPr lang="de-CH"/>
            <a:t> </a:t>
          </a:r>
          <a:r>
            <a:rPr lang="de-CH" sz="1100"/>
            <a:t>    RNr. 01.04.00.158 )</a:t>
          </a:r>
        </a:p>
      </xdr:txBody>
    </xdr:sp>
    <xdr:clientData/>
  </xdr:twoCellAnchor>
  <xdr:twoCellAnchor editAs="oneCell">
    <xdr:from>
      <xdr:col>0</xdr:col>
      <xdr:colOff>27744</xdr:colOff>
      <xdr:row>39</xdr:row>
      <xdr:rowOff>36998</xdr:rowOff>
    </xdr:from>
    <xdr:to>
      <xdr:col>10</xdr:col>
      <xdr:colOff>268178</xdr:colOff>
      <xdr:row>56</xdr:row>
      <xdr:rowOff>89382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28" t="15505" r="19448"/>
        <a:stretch/>
      </xdr:blipFill>
      <xdr:spPr>
        <a:xfrm rot="5400000">
          <a:off x="251235" y="5676468"/>
          <a:ext cx="2567724" cy="301470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1083</xdr:colOff>
      <xdr:row>9</xdr:row>
      <xdr:rowOff>34688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CxnSpPr/>
      </xdr:nvCxnSpPr>
      <xdr:spPr>
        <a:xfrm flipV="1">
          <a:off x="5548544" y="998738"/>
          <a:ext cx="1083" cy="47857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258936</xdr:colOff>
      <xdr:row>31</xdr:row>
      <xdr:rowOff>64733</xdr:rowOff>
    </xdr:from>
    <xdr:to>
      <xdr:col>8</xdr:col>
      <xdr:colOff>221942</xdr:colOff>
      <xdr:row>33</xdr:row>
      <xdr:rowOff>126984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00000000-0008-0000-2500-000026000000}"/>
            </a:ext>
          </a:extLst>
        </xdr:cNvPr>
        <xdr:cNvCxnSpPr/>
      </xdr:nvCxnSpPr>
      <xdr:spPr>
        <a:xfrm flipV="1">
          <a:off x="2200926" y="4744005"/>
          <a:ext cx="240433" cy="3581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138714</xdr:colOff>
      <xdr:row>23</xdr:row>
      <xdr:rowOff>120226</xdr:rowOff>
    </xdr:from>
    <xdr:to>
      <xdr:col>18</xdr:col>
      <xdr:colOff>94271</xdr:colOff>
      <xdr:row>27</xdr:row>
      <xdr:rowOff>18495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00000000-0008-0000-2500-000027000000}"/>
            </a:ext>
          </a:extLst>
        </xdr:cNvPr>
        <xdr:cNvCxnSpPr/>
      </xdr:nvCxnSpPr>
      <xdr:spPr>
        <a:xfrm flipV="1">
          <a:off x="4854976" y="3569571"/>
          <a:ext cx="232984" cy="5363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129474</xdr:rowOff>
    </xdr:from>
    <xdr:to>
      <xdr:col>5</xdr:col>
      <xdr:colOff>131263</xdr:colOff>
      <xdr:row>52</xdr:row>
      <xdr:rowOff>138714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00000000-0008-0000-2500-000028000000}"/>
            </a:ext>
          </a:extLst>
        </xdr:cNvPr>
        <xdr:cNvCxnSpPr/>
      </xdr:nvCxnSpPr>
      <xdr:spPr>
        <a:xfrm flipV="1">
          <a:off x="1109709" y="7472047"/>
          <a:ext cx="408690" cy="4531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83228</xdr:colOff>
      <xdr:row>49</xdr:row>
      <xdr:rowOff>101731</xdr:rowOff>
    </xdr:from>
    <xdr:to>
      <xdr:col>4</xdr:col>
      <xdr:colOff>93126</xdr:colOff>
      <xdr:row>52</xdr:row>
      <xdr:rowOff>36991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00000000-0008-0000-2500-000029000000}"/>
            </a:ext>
          </a:extLst>
        </xdr:cNvPr>
        <xdr:cNvCxnSpPr/>
      </xdr:nvCxnSpPr>
      <xdr:spPr>
        <a:xfrm flipV="1">
          <a:off x="915510" y="7444304"/>
          <a:ext cx="287325" cy="37914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110971</xdr:colOff>
      <xdr:row>23</xdr:row>
      <xdr:rowOff>120226</xdr:rowOff>
    </xdr:from>
    <xdr:to>
      <xdr:col>17</xdr:col>
      <xdr:colOff>28392</xdr:colOff>
      <xdr:row>26</xdr:row>
      <xdr:rowOff>73981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000000-0008-0000-2500-00002A000000}"/>
            </a:ext>
          </a:extLst>
        </xdr:cNvPr>
        <xdr:cNvCxnSpPr/>
      </xdr:nvCxnSpPr>
      <xdr:spPr>
        <a:xfrm flipV="1">
          <a:off x="4549806" y="3569571"/>
          <a:ext cx="194848" cy="4438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120218</xdr:colOff>
      <xdr:row>31</xdr:row>
      <xdr:rowOff>82457</xdr:rowOff>
    </xdr:from>
    <xdr:to>
      <xdr:col>3</xdr:col>
      <xdr:colOff>250337</xdr:colOff>
      <xdr:row>33</xdr:row>
      <xdr:rowOff>73981</xdr:rowOff>
    </xdr:to>
    <xdr:cxnSp macro="">
      <xdr:nvCxnSpPr>
        <xdr:cNvPr id="43" name="Gerade Verbindung mit Pfeil 42">
          <a:extLst>
            <a:ext uri="{FF2B5EF4-FFF2-40B4-BE49-F238E27FC236}">
              <a16:creationId xmlns:a16="http://schemas.microsoft.com/office/drawing/2014/main" id="{00000000-0008-0000-2500-00002B000000}"/>
            </a:ext>
          </a:extLst>
        </xdr:cNvPr>
        <xdr:cNvCxnSpPr/>
      </xdr:nvCxnSpPr>
      <xdr:spPr>
        <a:xfrm flipV="1">
          <a:off x="952500" y="4761729"/>
          <a:ext cx="130119" cy="2874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110975</xdr:colOff>
      <xdr:row>32</xdr:row>
      <xdr:rowOff>17725</xdr:rowOff>
    </xdr:from>
    <xdr:to>
      <xdr:col>10</xdr:col>
      <xdr:colOff>205368</xdr:colOff>
      <xdr:row>34</xdr:row>
      <xdr:rowOff>13656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0000000-0008-0000-2500-00002C000000}"/>
            </a:ext>
          </a:extLst>
        </xdr:cNvPr>
        <xdr:cNvSpPr txBox="1"/>
      </xdr:nvSpPr>
      <xdr:spPr>
        <a:xfrm>
          <a:off x="2607820" y="4844958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15</xdr:col>
      <xdr:colOff>18495</xdr:colOff>
      <xdr:row>29</xdr:row>
      <xdr:rowOff>138721</xdr:rowOff>
    </xdr:from>
    <xdr:to>
      <xdr:col>16</xdr:col>
      <xdr:colOff>187017</xdr:colOff>
      <xdr:row>31</xdr:row>
      <xdr:rowOff>135641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0000000-0008-0000-2500-00002D000000}"/>
            </a:ext>
          </a:extLst>
        </xdr:cNvPr>
        <xdr:cNvSpPr txBox="1"/>
      </xdr:nvSpPr>
      <xdr:spPr>
        <a:xfrm>
          <a:off x="4179903" y="4522071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19</xdr:col>
      <xdr:colOff>203445</xdr:colOff>
      <xdr:row>24</xdr:row>
      <xdr:rowOff>55493</xdr:rowOff>
    </xdr:from>
    <xdr:to>
      <xdr:col>21</xdr:col>
      <xdr:colOff>20411</xdr:colOff>
      <xdr:row>26</xdr:row>
      <xdr:rowOff>51424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0000000-0008-0000-2500-00002E000000}"/>
            </a:ext>
          </a:extLst>
        </xdr:cNvPr>
        <xdr:cNvSpPr txBox="1"/>
      </xdr:nvSpPr>
      <xdr:spPr>
        <a:xfrm>
          <a:off x="5474562" y="3699037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2</xdr:col>
      <xdr:colOff>73982</xdr:colOff>
      <xdr:row>53</xdr:row>
      <xdr:rowOff>83237</xdr:rowOff>
    </xdr:from>
    <xdr:to>
      <xdr:col>3</xdr:col>
      <xdr:colOff>168374</xdr:colOff>
      <xdr:row>55</xdr:row>
      <xdr:rowOff>79167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2500-000031000000}"/>
            </a:ext>
          </a:extLst>
        </xdr:cNvPr>
        <xdr:cNvSpPr txBox="1"/>
      </xdr:nvSpPr>
      <xdr:spPr>
        <a:xfrm>
          <a:off x="628836" y="8017654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</xdr:col>
      <xdr:colOff>180143</xdr:colOff>
      <xdr:row>50</xdr:row>
      <xdr:rowOff>69180</xdr:rowOff>
    </xdr:from>
    <xdr:to>
      <xdr:col>3</xdr:col>
      <xdr:colOff>71237</xdr:colOff>
      <xdr:row>52</xdr:row>
      <xdr:rowOff>66100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00000000-0008-0000-2500-000032000000}"/>
            </a:ext>
          </a:extLst>
        </xdr:cNvPr>
        <xdr:cNvSpPr txBox="1"/>
      </xdr:nvSpPr>
      <xdr:spPr>
        <a:xfrm>
          <a:off x="457570" y="7559714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138715</xdr:colOff>
      <xdr:row>10</xdr:row>
      <xdr:rowOff>70766</xdr:rowOff>
    </xdr:from>
    <xdr:to>
      <xdr:col>22</xdr:col>
      <xdr:colOff>261067</xdr:colOff>
      <xdr:row>49</xdr:row>
      <xdr:rowOff>9248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2" y="1661349"/>
          <a:ext cx="5948323" cy="5487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84399</xdr:colOff>
      <xdr:row>10</xdr:row>
      <xdr:rowOff>120569</xdr:rowOff>
    </xdr:from>
    <xdr:to>
      <xdr:col>22</xdr:col>
      <xdr:colOff>209209</xdr:colOff>
      <xdr:row>47</xdr:row>
      <xdr:rowOff>97563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709" y="1784430"/>
          <a:ext cx="5948323" cy="5487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58317</xdr:colOff>
      <xdr:row>11</xdr:row>
      <xdr:rowOff>0</xdr:rowOff>
    </xdr:from>
    <xdr:to>
      <xdr:col>23</xdr:col>
      <xdr:colOff>19497</xdr:colOff>
      <xdr:row>47</xdr:row>
      <xdr:rowOff>121923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460" y="1807806"/>
          <a:ext cx="5948323" cy="5487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194199</xdr:colOff>
      <xdr:row>9</xdr:row>
      <xdr:rowOff>129467</xdr:rowOff>
    </xdr:from>
    <xdr:to>
      <xdr:col>21</xdr:col>
      <xdr:colOff>131149</xdr:colOff>
      <xdr:row>48</xdr:row>
      <xdr:rowOff>146505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1" t="25323" r="33447" b="2758"/>
        <a:stretch/>
      </xdr:blipFill>
      <xdr:spPr bwMode="auto">
        <a:xfrm>
          <a:off x="749053" y="1572088"/>
          <a:ext cx="5208067" cy="5565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268180</xdr:colOff>
      <xdr:row>10</xdr:row>
      <xdr:rowOff>91582</xdr:rowOff>
    </xdr:from>
    <xdr:to>
      <xdr:col>21</xdr:col>
      <xdr:colOff>221942</xdr:colOff>
      <xdr:row>49</xdr:row>
      <xdr:rowOff>23935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607" y="1682165"/>
          <a:ext cx="5502306" cy="5480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73980</xdr:colOff>
      <xdr:row>11</xdr:row>
      <xdr:rowOff>18495</xdr:rowOff>
    </xdr:from>
    <xdr:to>
      <xdr:col>22</xdr:col>
      <xdr:colOff>219438</xdr:colOff>
      <xdr:row>48</xdr:row>
      <xdr:rowOff>23017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07" y="1757039"/>
          <a:ext cx="5971429" cy="5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122464</xdr:colOff>
      <xdr:row>11</xdr:row>
      <xdr:rowOff>40822</xdr:rowOff>
    </xdr:from>
    <xdr:to>
      <xdr:col>22</xdr:col>
      <xdr:colOff>255083</xdr:colOff>
      <xdr:row>46</xdr:row>
      <xdr:rowOff>144929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07" y="1796143"/>
          <a:ext cx="5847619" cy="53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138714</xdr:colOff>
      <xdr:row>11</xdr:row>
      <xdr:rowOff>36990</xdr:rowOff>
    </xdr:from>
    <xdr:to>
      <xdr:col>22</xdr:col>
      <xdr:colOff>150838</xdr:colOff>
      <xdr:row>48</xdr:row>
      <xdr:rowOff>51036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1" y="1775534"/>
          <a:ext cx="5838095" cy="5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BV-20.51.52.60-DES_Version%2001_15-06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BV-20.51.52.60-DES_Version%2001.1%2027_04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Kunden\Dottikon%20Exclusive%20Synthesis%20AG\Protokolle\Protokolle_Freigabe%20DES\BV-20.51.52.60-DES\Freigabe\BV-20.51.52.60-DES_Version%2001_15-06-2020_Blan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Archiv\Vorlage73%20(version%201)%20f&#252;r%20Dottikon.xl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Archiv\Volrlage%20Quali%20OPs_Version%2001%20(version%202)%20(version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Kunden\St.%20Claraspital%20AG\Protokolle\_Neubau\Vorlagen\BV-Q-LK1a-CL_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>
        <row r="1">
          <cell r="X1">
            <v>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DATA_RK"/>
      <sheetName val="Tabelle8"/>
      <sheetName val="Seitenregister_"/>
      <sheetName val="RD Vorlage vLuft"/>
      <sheetName val="LW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 PK (2)"/>
      <sheetName val="FIT Filter lanzen"/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Rec"/>
      <sheetName val="FIT CG scanning (2)"/>
      <sheetName val="FIT (2)"/>
      <sheetName val="FIT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/>
      <sheetData sheetId="2"/>
      <sheetData sheetId="3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FIT Filter lanzen"/>
      <sheetName val="FIT CG scanning (2)"/>
      <sheetName val="FIT (2)"/>
      <sheetName val="FIT"/>
      <sheetName val="Rec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>
        <row r="3">
          <cell r="BL3" t="str">
            <v>Abteilung:</v>
          </cell>
        </row>
        <row r="14">
          <cell r="A14" t="str">
            <v>Ansprechsperson:</v>
          </cell>
        </row>
        <row r="15">
          <cell r="A15" t="str">
            <v>Abteilung: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B2">
            <v>133509</v>
          </cell>
        </row>
        <row r="3">
          <cell r="AB3">
            <v>21082</v>
          </cell>
        </row>
        <row r="4">
          <cell r="AB4">
            <v>7572</v>
          </cell>
        </row>
        <row r="5">
          <cell r="AB5">
            <v>6609</v>
          </cell>
        </row>
        <row r="6">
          <cell r="AB6">
            <v>6411</v>
          </cell>
        </row>
        <row r="7">
          <cell r="AB7">
            <v>6242</v>
          </cell>
        </row>
        <row r="8">
          <cell r="AB8">
            <v>5690</v>
          </cell>
        </row>
        <row r="9">
          <cell r="AB9">
            <v>5064</v>
          </cell>
        </row>
        <row r="10">
          <cell r="AB10">
            <v>4741</v>
          </cell>
        </row>
        <row r="11">
          <cell r="AB11">
            <v>4411</v>
          </cell>
        </row>
        <row r="12">
          <cell r="AB12">
            <v>3899</v>
          </cell>
        </row>
        <row r="13">
          <cell r="AB13">
            <v>3713</v>
          </cell>
        </row>
        <row r="14">
          <cell r="AB14">
            <v>4352</v>
          </cell>
        </row>
        <row r="15">
          <cell r="AB15">
            <v>6477</v>
          </cell>
        </row>
        <row r="16">
          <cell r="AB16">
            <v>3434</v>
          </cell>
        </row>
        <row r="17">
          <cell r="AB17">
            <v>3140</v>
          </cell>
        </row>
        <row r="18">
          <cell r="AB18">
            <v>3032</v>
          </cell>
        </row>
        <row r="19">
          <cell r="AB19">
            <v>2588</v>
          </cell>
        </row>
        <row r="20">
          <cell r="D20">
            <v>133509</v>
          </cell>
          <cell r="L20">
            <v>2606</v>
          </cell>
          <cell r="T20">
            <v>1720</v>
          </cell>
          <cell r="AA20">
            <v>21</v>
          </cell>
          <cell r="AB20">
            <v>3274</v>
          </cell>
        </row>
        <row r="21">
          <cell r="D21">
            <v>21082</v>
          </cell>
          <cell r="L21">
            <v>2597</v>
          </cell>
          <cell r="T21">
            <v>1679</v>
          </cell>
          <cell r="AA21">
            <v>22</v>
          </cell>
          <cell r="AB21">
            <v>4338</v>
          </cell>
        </row>
        <row r="22">
          <cell r="D22">
            <v>7572</v>
          </cell>
          <cell r="L22">
            <v>2418</v>
          </cell>
          <cell r="T22">
            <v>1583</v>
          </cell>
          <cell r="AA22">
            <v>23</v>
          </cell>
          <cell r="AB22">
            <v>2606</v>
          </cell>
        </row>
        <row r="23">
          <cell r="D23">
            <v>6609</v>
          </cell>
          <cell r="L23">
            <v>2087</v>
          </cell>
          <cell r="T23">
            <v>1580</v>
          </cell>
          <cell r="AA23">
            <v>24</v>
          </cell>
          <cell r="AB23">
            <v>2597</v>
          </cell>
        </row>
        <row r="24">
          <cell r="D24">
            <v>6411</v>
          </cell>
          <cell r="L24">
            <v>2138</v>
          </cell>
          <cell r="T24">
            <v>1446</v>
          </cell>
          <cell r="AA24">
            <v>25</v>
          </cell>
          <cell r="AB24">
            <v>2418</v>
          </cell>
        </row>
        <row r="25">
          <cell r="D25">
            <v>6242</v>
          </cell>
          <cell r="L25">
            <v>2149</v>
          </cell>
          <cell r="T25">
            <v>1312</v>
          </cell>
          <cell r="AA25">
            <v>26</v>
          </cell>
          <cell r="AB25">
            <v>2087</v>
          </cell>
        </row>
        <row r="26">
          <cell r="D26">
            <v>5690</v>
          </cell>
          <cell r="L26">
            <v>2105</v>
          </cell>
          <cell r="T26">
            <v>1178</v>
          </cell>
          <cell r="AA26">
            <v>27</v>
          </cell>
          <cell r="AB26">
            <v>2138</v>
          </cell>
        </row>
        <row r="27">
          <cell r="D27">
            <v>5064</v>
          </cell>
          <cell r="L27">
            <v>3812</v>
          </cell>
          <cell r="T27">
            <v>1044</v>
          </cell>
          <cell r="AA27">
            <v>28</v>
          </cell>
          <cell r="AB27">
            <v>2149</v>
          </cell>
        </row>
        <row r="28">
          <cell r="D28">
            <v>4741</v>
          </cell>
          <cell r="L28">
            <v>3083</v>
          </cell>
          <cell r="T28">
            <v>910</v>
          </cell>
          <cell r="AA28">
            <v>29</v>
          </cell>
          <cell r="AB28">
            <v>2105</v>
          </cell>
        </row>
        <row r="29">
          <cell r="D29">
            <v>4411</v>
          </cell>
          <cell r="L29">
            <v>1942</v>
          </cell>
          <cell r="T29">
            <v>776</v>
          </cell>
          <cell r="AA29">
            <v>30</v>
          </cell>
          <cell r="AB29">
            <v>3812</v>
          </cell>
        </row>
        <row r="30">
          <cell r="D30">
            <v>3899</v>
          </cell>
          <cell r="L30">
            <v>1923</v>
          </cell>
          <cell r="T30">
            <v>642</v>
          </cell>
          <cell r="AA30">
            <v>31</v>
          </cell>
          <cell r="AB30">
            <v>3083</v>
          </cell>
        </row>
        <row r="31">
          <cell r="D31">
            <v>3713</v>
          </cell>
          <cell r="L31">
            <v>1891</v>
          </cell>
          <cell r="T31">
            <v>508</v>
          </cell>
          <cell r="AA31">
            <v>32</v>
          </cell>
          <cell r="AB31">
            <v>1942</v>
          </cell>
        </row>
        <row r="32">
          <cell r="D32">
            <v>4352</v>
          </cell>
          <cell r="L32">
            <v>1888</v>
          </cell>
          <cell r="T32"/>
          <cell r="AA32">
            <v>33</v>
          </cell>
          <cell r="AB32">
            <v>1923</v>
          </cell>
        </row>
        <row r="33">
          <cell r="D33">
            <v>6477</v>
          </cell>
          <cell r="L33">
            <v>1824</v>
          </cell>
          <cell r="T33"/>
          <cell r="AA33">
            <v>34</v>
          </cell>
          <cell r="AB33">
            <v>1891</v>
          </cell>
        </row>
        <row r="34">
          <cell r="D34">
            <v>3434</v>
          </cell>
          <cell r="L34">
            <v>1931</v>
          </cell>
          <cell r="T34"/>
          <cell r="AA34">
            <v>35</v>
          </cell>
          <cell r="AB34">
            <v>1888</v>
          </cell>
        </row>
        <row r="35">
          <cell r="D35">
            <v>3140</v>
          </cell>
          <cell r="L35">
            <v>1805</v>
          </cell>
          <cell r="T35"/>
          <cell r="AA35">
            <v>36</v>
          </cell>
          <cell r="AB35">
            <v>1824</v>
          </cell>
        </row>
        <row r="36">
          <cell r="D36">
            <v>3032</v>
          </cell>
          <cell r="L36">
            <v>1822</v>
          </cell>
          <cell r="T36"/>
          <cell r="AA36">
            <v>37</v>
          </cell>
          <cell r="AB36">
            <v>1931</v>
          </cell>
        </row>
        <row r="37">
          <cell r="D37">
            <v>2588</v>
          </cell>
          <cell r="L37">
            <v>1721</v>
          </cell>
          <cell r="T37"/>
          <cell r="AA37">
            <v>38</v>
          </cell>
          <cell r="AB37">
            <v>1805</v>
          </cell>
        </row>
        <row r="38">
          <cell r="D38">
            <v>3274</v>
          </cell>
          <cell r="L38">
            <v>1827</v>
          </cell>
          <cell r="T38"/>
          <cell r="AA38">
            <v>39</v>
          </cell>
          <cell r="AB38">
            <v>1822</v>
          </cell>
        </row>
        <row r="39">
          <cell r="D39">
            <v>4338</v>
          </cell>
          <cell r="L39">
            <v>3289</v>
          </cell>
          <cell r="T39"/>
          <cell r="AA39">
            <v>40</v>
          </cell>
          <cell r="AB39">
            <v>1721</v>
          </cell>
        </row>
        <row r="40">
          <cell r="D40">
            <v>2606</v>
          </cell>
          <cell r="L40">
            <v>1988</v>
          </cell>
          <cell r="T40"/>
          <cell r="AA40">
            <v>41</v>
          </cell>
          <cell r="AB40">
            <v>1827</v>
          </cell>
        </row>
        <row r="41">
          <cell r="D41">
            <v>2597</v>
          </cell>
          <cell r="L41">
            <v>1663</v>
          </cell>
          <cell r="T41"/>
          <cell r="AA41">
            <v>42</v>
          </cell>
          <cell r="AB41">
            <v>3289</v>
          </cell>
        </row>
        <row r="42">
          <cell r="AA42">
            <v>43</v>
          </cell>
          <cell r="AB42">
            <v>1988</v>
          </cell>
        </row>
        <row r="43">
          <cell r="AA43">
            <v>44</v>
          </cell>
          <cell r="AB43">
            <v>1663</v>
          </cell>
        </row>
        <row r="44">
          <cell r="AA44">
            <v>45</v>
          </cell>
          <cell r="AB44">
            <v>1720</v>
          </cell>
        </row>
        <row r="45">
          <cell r="AA45">
            <v>46</v>
          </cell>
          <cell r="AB45">
            <v>1679</v>
          </cell>
        </row>
        <row r="46">
          <cell r="AA46">
            <v>47</v>
          </cell>
          <cell r="AB46">
            <v>1583</v>
          </cell>
        </row>
        <row r="47">
          <cell r="AA47">
            <v>48</v>
          </cell>
          <cell r="AB47">
            <v>1580</v>
          </cell>
        </row>
        <row r="48">
          <cell r="AA48">
            <v>50</v>
          </cell>
          <cell r="AB48">
            <v>1446</v>
          </cell>
        </row>
        <row r="49">
          <cell r="AA49">
            <v>51</v>
          </cell>
          <cell r="AB49">
            <v>1312</v>
          </cell>
        </row>
        <row r="50">
          <cell r="AA50">
            <v>52</v>
          </cell>
          <cell r="AB50">
            <v>1178</v>
          </cell>
        </row>
        <row r="51">
          <cell r="AA51">
            <v>53</v>
          </cell>
          <cell r="AB51">
            <v>1044</v>
          </cell>
        </row>
        <row r="52">
          <cell r="AA52">
            <v>54</v>
          </cell>
          <cell r="AB52">
            <v>910</v>
          </cell>
        </row>
        <row r="53">
          <cell r="AA53">
            <v>55</v>
          </cell>
          <cell r="AB53">
            <v>776</v>
          </cell>
        </row>
        <row r="54">
          <cell r="AA54">
            <v>56</v>
          </cell>
          <cell r="AB54">
            <v>642</v>
          </cell>
        </row>
        <row r="55">
          <cell r="AA55">
            <v>57</v>
          </cell>
          <cell r="AB55">
            <v>508</v>
          </cell>
        </row>
        <row r="58">
          <cell r="AA58"/>
          <cell r="AB58"/>
        </row>
        <row r="59">
          <cell r="AA59"/>
          <cell r="AB59"/>
        </row>
        <row r="60">
          <cell r="AA60"/>
          <cell r="AB60"/>
        </row>
        <row r="61">
          <cell r="AA61"/>
          <cell r="AB61"/>
        </row>
        <row r="62">
          <cell r="AA62"/>
          <cell r="AB62"/>
        </row>
        <row r="63">
          <cell r="AA63"/>
          <cell r="AB63"/>
        </row>
        <row r="64">
          <cell r="AA64"/>
          <cell r="AB64"/>
        </row>
        <row r="65">
          <cell r="AA65"/>
          <cell r="AB65"/>
        </row>
        <row r="66">
          <cell r="AA66"/>
          <cell r="AB66"/>
        </row>
        <row r="67">
          <cell r="AA67"/>
          <cell r="AB67"/>
        </row>
        <row r="68">
          <cell r="AA68"/>
          <cell r="AB68"/>
        </row>
        <row r="69">
          <cell r="AA69"/>
          <cell r="AB69"/>
        </row>
        <row r="70">
          <cell r="AA70"/>
          <cell r="AB70"/>
        </row>
        <row r="71">
          <cell r="AA71"/>
          <cell r="AB71"/>
        </row>
        <row r="72">
          <cell r="AA72"/>
          <cell r="AB72"/>
        </row>
        <row r="73">
          <cell r="AA73"/>
          <cell r="AB73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_"/>
      <sheetName val="Titelblatt_"/>
      <sheetName val="Seitenregister"/>
      <sheetName val="A Strömungsvis. "/>
      <sheetName val="A Dichtsitz"/>
      <sheetName val="A FIT"/>
      <sheetName val="A Volumenströme"/>
      <sheetName val="A Strömungsnachw."/>
      <sheetName val="A vZuluft+TU"/>
      <sheetName val="A Temp._Feuchte"/>
      <sheetName val="A Behaglichkeit"/>
      <sheetName val="A Schutzgrad"/>
      <sheetName val="A PK"/>
      <sheetName val="P Strömungsvisualis"/>
      <sheetName val="P Dichtsitz"/>
      <sheetName val="P FIT_1"/>
      <sheetName val="P FIT_2"/>
      <sheetName val="P FIT_3"/>
      <sheetName val="P FIT_4"/>
      <sheetName val="P FIT_5"/>
      <sheetName val="P FIT_6"/>
      <sheetName val="P Volumenströme"/>
      <sheetName val="P STrömungsnachw."/>
      <sheetName val="P vZuluft"/>
      <sheetName val="P TU"/>
      <sheetName val="P T Zuluft"/>
      <sheetName val="P T Raumluft"/>
      <sheetName val="P Temperaturdiff."/>
      <sheetName val="P T&amp;F Behag."/>
      <sheetName val="P Schall Behag."/>
      <sheetName val="P SG"/>
      <sheetName val="P PK_I"/>
      <sheetName val="P PK_A"/>
      <sheetName val="Z FIT"/>
      <sheetName val="Z Dichtsitz"/>
      <sheetName val="Z Volumenströme"/>
      <sheetName val="Z Strömungsnachweis"/>
      <sheetName val="Z Vzuluft"/>
      <sheetName val="Z TU"/>
      <sheetName val="Z Tzuluft"/>
      <sheetName val="Z TRaum"/>
      <sheetName val="Z T&amp;F Behag."/>
      <sheetName val="Z Schall Behag."/>
      <sheetName val="Z Schutzgrad_Innen"/>
      <sheetName val="Z Schutzgrad_Aussen (2)"/>
      <sheetName val="Z PZ"/>
      <sheetName val="RD Strömungsvisualis"/>
      <sheetName val="RD Dichtsitz"/>
      <sheetName val="RD Volumenströme"/>
      <sheetName val="RD Strömungsnachw."/>
      <sheetName val="RD vZuluft"/>
      <sheetName val="RD TU"/>
      <sheetName val="RD T Zuluft"/>
      <sheetName val="RD T Raumluft "/>
      <sheetName val="RD Begaglichkeit"/>
    </sheetNames>
    <sheetDataSet>
      <sheetData sheetId="0">
        <row r="2">
          <cell r="AD2" t="str">
            <v>Büro OP</v>
          </cell>
          <cell r="AM2"/>
          <cell r="AN2">
            <v>0.1</v>
          </cell>
          <cell r="AO2">
            <v>0.2</v>
          </cell>
          <cell r="AP2">
            <v>0.3</v>
          </cell>
          <cell r="AQ2">
            <v>0.5</v>
          </cell>
          <cell r="AR2">
            <v>1</v>
          </cell>
          <cell r="AS2">
            <v>5</v>
          </cell>
          <cell r="AT2"/>
          <cell r="AU2"/>
          <cell r="AV2"/>
          <cell r="AW2"/>
        </row>
        <row r="3">
          <cell r="B3" t="str">
            <v>HRS Real Estate AG</v>
          </cell>
          <cell r="AM3" t="str">
            <v>ISO 5</v>
          </cell>
          <cell r="AN3">
            <v>100000</v>
          </cell>
          <cell r="AO3">
            <v>23700</v>
          </cell>
          <cell r="AP3">
            <v>10200</v>
          </cell>
          <cell r="AQ3">
            <v>3520</v>
          </cell>
          <cell r="AR3">
            <v>832</v>
          </cell>
          <cell r="AS3">
            <v>29</v>
          </cell>
          <cell r="AT3"/>
          <cell r="AU3" t="str">
            <v>ISO Klasse 5 gemäss EN ISO 14644-1:2015</v>
          </cell>
          <cell r="AV3"/>
          <cell r="AW3"/>
        </row>
        <row r="4">
          <cell r="AM4" t="str">
            <v>ISO 6</v>
          </cell>
          <cell r="AN4">
            <v>1000000</v>
          </cell>
          <cell r="AO4">
            <v>237000</v>
          </cell>
          <cell r="AP4">
            <v>102000</v>
          </cell>
          <cell r="AQ4">
            <v>35200</v>
          </cell>
          <cell r="AR4">
            <v>8320</v>
          </cell>
          <cell r="AS4">
            <v>293</v>
          </cell>
          <cell r="AT4"/>
          <cell r="AU4" t="str">
            <v>ISO Klasse 6 gemäss EN ISO 14644-1:2015</v>
          </cell>
          <cell r="AV4"/>
          <cell r="AW4"/>
        </row>
        <row r="5">
          <cell r="B5" t="str">
            <v>St. Claraspital Basel, Neubau Hirzbrunnen</v>
          </cell>
          <cell r="AM5" t="str">
            <v>ISO 7</v>
          </cell>
          <cell r="AN5"/>
          <cell r="AO5"/>
          <cell r="AP5"/>
          <cell r="AQ5">
            <v>352000</v>
          </cell>
          <cell r="AR5">
            <v>83200</v>
          </cell>
          <cell r="AS5">
            <v>2930</v>
          </cell>
          <cell r="AT5"/>
          <cell r="AU5" t="str">
            <v>ISO Klasse 7 gemäss EN ISO 14644-1:2015</v>
          </cell>
          <cell r="AV5"/>
          <cell r="AW5"/>
        </row>
        <row r="6">
          <cell r="B6" t="str">
            <v>Operationsabteilung</v>
          </cell>
          <cell r="AM6" t="str">
            <v>ISO 8</v>
          </cell>
          <cell r="AN6"/>
          <cell r="AO6"/>
          <cell r="AP6"/>
          <cell r="AQ6">
            <v>3520000</v>
          </cell>
          <cell r="AR6">
            <v>832000</v>
          </cell>
          <cell r="AS6">
            <v>29300</v>
          </cell>
          <cell r="AT6"/>
          <cell r="AU6" t="str">
            <v>ISO Klasse 8 gemäss EN ISO 14644-1:2015</v>
          </cell>
          <cell r="AV6"/>
          <cell r="AW6"/>
        </row>
        <row r="7">
          <cell r="AM7" t="str">
            <v>ISO 9</v>
          </cell>
          <cell r="AN7"/>
          <cell r="AO7"/>
          <cell r="AP7"/>
          <cell r="AQ7">
            <v>35200000</v>
          </cell>
          <cell r="AR7"/>
          <cell r="AS7">
            <v>293000</v>
          </cell>
          <cell r="AT7"/>
          <cell r="AU7" t="str">
            <v>ISO Klasse 9 gemäss EN ISO 14644-1:2015</v>
          </cell>
          <cell r="AV7"/>
          <cell r="AW7"/>
        </row>
        <row r="9">
          <cell r="E9">
            <v>46.47</v>
          </cell>
        </row>
        <row r="104">
          <cell r="Z104" t="str">
            <v>ISO 5</v>
          </cell>
        </row>
        <row r="139">
          <cell r="Z139" t="str">
            <v>ISO 7</v>
          </cell>
        </row>
      </sheetData>
      <sheetData sheetId="1"/>
      <sheetData sheetId="2">
        <row r="1">
          <cell r="X1">
            <v>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3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6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8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0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vmlDrawing" Target="../drawings/vmlDrawing42.v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vmlDrawing" Target="../drawings/vmlDrawing44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vmlDrawing" Target="../drawings/vmlDrawing4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CFA-3445-4278-B3F9-A7D7773C4D77}">
  <sheetPr codeName="Tabelle3">
    <tabColor rgb="FFFF0000"/>
    <pageSetUpPr fitToPage="1"/>
  </sheetPr>
  <dimension ref="A1:BJ244"/>
  <sheetViews>
    <sheetView topLeftCell="A3" zoomScale="58" zoomScaleNormal="58" zoomScaleSheetLayoutView="82" workbookViewId="0">
      <selection activeCell="B6" sqref="B6"/>
    </sheetView>
  </sheetViews>
  <sheetFormatPr baseColWidth="10" defaultColWidth="10.84375" defaultRowHeight="15"/>
  <cols>
    <col min="1" max="1" width="65.765625" style="150" bestFit="1" customWidth="1"/>
    <col min="2" max="2" width="29.15234375" style="150" customWidth="1"/>
    <col min="3" max="3" width="19" style="150" customWidth="1"/>
    <col min="4" max="4" width="22.84375" style="150" customWidth="1"/>
    <col min="5" max="5" width="25.4609375" style="150" customWidth="1"/>
    <col min="6" max="6" width="39.53515625" style="150" customWidth="1"/>
    <col min="7" max="7" width="32.53515625" style="150" bestFit="1" customWidth="1"/>
    <col min="8" max="8" width="19.53515625" style="150" customWidth="1"/>
    <col min="9" max="9" width="39.765625" style="150" bestFit="1" customWidth="1"/>
    <col min="10" max="10" width="50.61328125" style="150" bestFit="1" customWidth="1"/>
    <col min="11" max="19" width="19.53515625" style="150" customWidth="1"/>
    <col min="20" max="28" width="15.15234375" style="150" customWidth="1"/>
    <col min="29" max="34" width="20.4609375" style="150" customWidth="1"/>
    <col min="35" max="51" width="10.84375" style="150"/>
    <col min="52" max="52" width="11.84375" style="150" bestFit="1" customWidth="1"/>
    <col min="53" max="59" width="10.84375" style="150"/>
    <col min="60" max="60" width="11.84375" style="235" bestFit="1" customWidth="1"/>
    <col min="61" max="62" width="10.84375" style="150"/>
    <col min="63" max="63" width="13.15234375" style="150" customWidth="1"/>
    <col min="64" max="16384" width="10.84375" style="150"/>
  </cols>
  <sheetData>
    <row r="1" spans="1:62">
      <c r="G1" s="237">
        <v>1</v>
      </c>
      <c r="H1" s="237">
        <v>3</v>
      </c>
      <c r="I1" s="237">
        <v>3</v>
      </c>
      <c r="J1" s="150">
        <v>4</v>
      </c>
      <c r="K1" s="237">
        <v>5</v>
      </c>
      <c r="L1" s="150">
        <v>6</v>
      </c>
      <c r="M1" s="150">
        <v>2</v>
      </c>
      <c r="N1" s="150">
        <v>8</v>
      </c>
      <c r="O1" s="237">
        <v>9</v>
      </c>
      <c r="P1" s="237">
        <v>9</v>
      </c>
      <c r="Q1" s="237">
        <v>11</v>
      </c>
      <c r="R1" s="150">
        <v>12</v>
      </c>
      <c r="S1" s="237">
        <v>13</v>
      </c>
      <c r="AC1" s="344" t="s">
        <v>169</v>
      </c>
      <c r="AD1" s="344" t="s">
        <v>91</v>
      </c>
      <c r="AE1" s="344" t="s">
        <v>345</v>
      </c>
      <c r="AF1" s="345" t="s">
        <v>5</v>
      </c>
      <c r="AG1" s="345" t="s">
        <v>6</v>
      </c>
      <c r="AH1" s="328"/>
    </row>
    <row r="2" spans="1:62" ht="15.65" customHeight="1">
      <c r="F2" s="323" t="s">
        <v>170</v>
      </c>
      <c r="G2" s="150" t="s">
        <v>726</v>
      </c>
      <c r="H2" s="232" t="s">
        <v>168</v>
      </c>
      <c r="I2" s="238" t="s">
        <v>120</v>
      </c>
      <c r="J2" s="232" t="s">
        <v>152</v>
      </c>
      <c r="K2" s="238"/>
      <c r="L2" s="238"/>
      <c r="M2" s="238"/>
      <c r="N2" s="238" t="s">
        <v>589</v>
      </c>
      <c r="O2" s="232" t="s">
        <v>587</v>
      </c>
      <c r="P2" s="233" t="s">
        <v>156</v>
      </c>
      <c r="Q2" s="233" t="s">
        <v>588</v>
      </c>
      <c r="R2" s="238" t="s">
        <v>166</v>
      </c>
      <c r="S2" s="232" t="s">
        <v>581</v>
      </c>
      <c r="AC2" s="346">
        <v>1</v>
      </c>
      <c r="AD2" s="347" t="s">
        <v>433</v>
      </c>
      <c r="AE2" s="348" t="s">
        <v>364</v>
      </c>
      <c r="AF2" s="349">
        <v>19.04</v>
      </c>
      <c r="AG2" s="349">
        <v>67.38</v>
      </c>
      <c r="AH2" s="328"/>
      <c r="AM2" s="2"/>
      <c r="AN2" s="2">
        <v>0.1</v>
      </c>
      <c r="AO2" s="2">
        <v>0.2</v>
      </c>
      <c r="AP2" s="2">
        <v>0.3</v>
      </c>
      <c r="AQ2" s="2">
        <v>0.5</v>
      </c>
      <c r="AR2" s="2">
        <v>1</v>
      </c>
      <c r="AS2" s="2">
        <v>5</v>
      </c>
      <c r="AT2" s="2"/>
      <c r="AU2" s="2"/>
      <c r="AV2" s="2"/>
      <c r="AW2" s="2"/>
    </row>
    <row r="3" spans="1:62" ht="15.65" customHeight="1">
      <c r="A3" s="151" t="s">
        <v>1</v>
      </c>
      <c r="B3" s="168" t="s">
        <v>703</v>
      </c>
      <c r="D3" s="150" t="s">
        <v>619</v>
      </c>
      <c r="E3" s="150" t="s">
        <v>620</v>
      </c>
      <c r="F3" s="234" t="s">
        <v>582</v>
      </c>
      <c r="G3" s="269" t="s">
        <v>725</v>
      </c>
      <c r="H3" s="368">
        <v>44688</v>
      </c>
      <c r="I3" s="368">
        <v>44688</v>
      </c>
      <c r="J3" s="368">
        <v>44688</v>
      </c>
      <c r="K3" s="368"/>
      <c r="L3" s="368"/>
      <c r="M3" s="368"/>
      <c r="N3" s="368"/>
      <c r="O3" s="368">
        <f>'RD T&amp;F'!R5</f>
        <v>44686</v>
      </c>
      <c r="P3" s="368">
        <f>'RD Schall'!R5</f>
        <v>44688</v>
      </c>
      <c r="Q3" s="368">
        <v>44688</v>
      </c>
      <c r="R3" s="368">
        <v>44687</v>
      </c>
      <c r="S3" s="368"/>
      <c r="AC3" s="346">
        <v>2</v>
      </c>
      <c r="AD3" s="347" t="s">
        <v>433</v>
      </c>
      <c r="AE3" s="348" t="s">
        <v>365</v>
      </c>
      <c r="AF3" s="349">
        <v>19.34</v>
      </c>
      <c r="AG3" s="349">
        <v>68.459999999999994</v>
      </c>
      <c r="AH3" s="328"/>
      <c r="AM3" s="1" t="s">
        <v>138</v>
      </c>
      <c r="AN3" s="106">
        <v>100000</v>
      </c>
      <c r="AO3" s="106">
        <v>23700</v>
      </c>
      <c r="AP3" s="106">
        <v>10200</v>
      </c>
      <c r="AQ3" s="106">
        <v>3520</v>
      </c>
      <c r="AR3" s="106">
        <v>832</v>
      </c>
      <c r="AS3" s="106">
        <v>29</v>
      </c>
      <c r="AT3" s="2"/>
      <c r="AU3" s="1" t="s">
        <v>143</v>
      </c>
      <c r="AV3" s="2"/>
      <c r="AW3" s="2"/>
      <c r="BD3" s="150" t="s">
        <v>4</v>
      </c>
      <c r="BJ3" s="150" t="s">
        <v>227</v>
      </c>
    </row>
    <row r="4" spans="1:62" ht="15" customHeight="1">
      <c r="A4" s="152" t="str">
        <f>'[5]Eingabe 1'!A14</f>
        <v>Ansprechsperson:</v>
      </c>
      <c r="B4" s="168"/>
      <c r="F4" s="234" t="s">
        <v>583</v>
      </c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W4" s="150" t="s">
        <v>207</v>
      </c>
      <c r="AC4" s="346">
        <v>3</v>
      </c>
      <c r="AD4" s="347" t="s">
        <v>434</v>
      </c>
      <c r="AE4" s="348" t="s">
        <v>366</v>
      </c>
      <c r="AF4" s="349">
        <v>17.09</v>
      </c>
      <c r="AG4" s="349">
        <v>60.5</v>
      </c>
      <c r="AH4" s="328"/>
      <c r="AM4" s="1" t="s">
        <v>141</v>
      </c>
      <c r="AN4" s="106">
        <v>1000000</v>
      </c>
      <c r="AO4" s="106">
        <v>237000</v>
      </c>
      <c r="AP4" s="106">
        <v>102000</v>
      </c>
      <c r="AQ4" s="106">
        <v>35200</v>
      </c>
      <c r="AR4" s="106">
        <v>8320</v>
      </c>
      <c r="AS4" s="106">
        <v>293</v>
      </c>
      <c r="AT4" s="2"/>
      <c r="AU4" s="1" t="s">
        <v>144</v>
      </c>
      <c r="AV4" s="2"/>
      <c r="AW4" s="2"/>
      <c r="BD4" s="252">
        <v>111</v>
      </c>
      <c r="BJ4" s="150" t="s">
        <v>228</v>
      </c>
    </row>
    <row r="5" spans="1:62" ht="24.9">
      <c r="A5" s="150" t="s">
        <v>97</v>
      </c>
      <c r="B5" s="167" t="s">
        <v>747</v>
      </c>
      <c r="F5" s="234" t="s">
        <v>584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W5" s="150" t="s">
        <v>208</v>
      </c>
      <c r="AC5" s="346">
        <v>4</v>
      </c>
      <c r="AD5" s="347" t="s">
        <v>435</v>
      </c>
      <c r="AE5" s="348" t="s">
        <v>367</v>
      </c>
      <c r="AF5" s="349">
        <v>12.8</v>
      </c>
      <c r="AG5" s="349">
        <v>45.29</v>
      </c>
      <c r="AH5" s="328"/>
      <c r="AM5" s="1" t="s">
        <v>78</v>
      </c>
      <c r="AN5" s="106"/>
      <c r="AO5" s="106"/>
      <c r="AP5" s="106"/>
      <c r="AQ5" s="106">
        <v>352000</v>
      </c>
      <c r="AR5" s="106">
        <v>83200</v>
      </c>
      <c r="AS5" s="106">
        <v>2930</v>
      </c>
      <c r="AT5" s="2"/>
      <c r="AU5" s="1" t="s">
        <v>145</v>
      </c>
      <c r="AV5" s="2"/>
      <c r="AW5" s="2"/>
      <c r="BB5" s="150">
        <v>2</v>
      </c>
      <c r="BD5" s="252">
        <v>112</v>
      </c>
      <c r="BJ5" s="150" t="s">
        <v>229</v>
      </c>
    </row>
    <row r="6" spans="1:62">
      <c r="A6" s="152" t="str">
        <f>'[5]Eingabe 1'!A15</f>
        <v>Abteilung:</v>
      </c>
      <c r="B6" s="168" t="s">
        <v>704</v>
      </c>
      <c r="C6" s="170" t="s">
        <v>708</v>
      </c>
      <c r="F6" s="234" t="s">
        <v>585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AC6" s="346">
        <v>5</v>
      </c>
      <c r="AD6" s="347" t="s">
        <v>436</v>
      </c>
      <c r="AE6" s="348" t="s">
        <v>368</v>
      </c>
      <c r="AF6" s="349">
        <v>31.17</v>
      </c>
      <c r="AG6" s="349">
        <v>110.32</v>
      </c>
      <c r="AH6" s="328"/>
      <c r="AM6" s="1" t="s">
        <v>3</v>
      </c>
      <c r="AN6" s="106"/>
      <c r="AO6" s="106"/>
      <c r="AP6" s="106"/>
      <c r="AQ6" s="106">
        <v>3520000</v>
      </c>
      <c r="AR6" s="106">
        <v>832000</v>
      </c>
      <c r="AS6" s="106">
        <v>29300</v>
      </c>
      <c r="AT6" s="2"/>
      <c r="AU6" s="1" t="s">
        <v>146</v>
      </c>
      <c r="AV6" s="2"/>
      <c r="AW6" s="2"/>
      <c r="BB6" s="150">
        <v>5</v>
      </c>
      <c r="BD6" s="252">
        <v>113</v>
      </c>
      <c r="BJ6" s="150" t="s">
        <v>230</v>
      </c>
    </row>
    <row r="7" spans="1:62">
      <c r="A7" s="153" t="s">
        <v>2</v>
      </c>
      <c r="B7" s="169" t="s">
        <v>426</v>
      </c>
      <c r="C7" s="170" t="s">
        <v>723</v>
      </c>
      <c r="D7" s="150" t="str">
        <f>CONCATENATE(B7,"   ",C6)</f>
        <v>OP 1   rooms/roomname</v>
      </c>
      <c r="F7" s="234" t="s">
        <v>586</v>
      </c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AC7" s="346">
        <v>6</v>
      </c>
      <c r="AD7" s="347" t="s">
        <v>437</v>
      </c>
      <c r="AE7" s="348" t="s">
        <v>369</v>
      </c>
      <c r="AF7" s="349">
        <v>21.39</v>
      </c>
      <c r="AG7" s="349">
        <v>75.7</v>
      </c>
      <c r="AH7" s="328"/>
      <c r="AM7" s="1" t="s">
        <v>142</v>
      </c>
      <c r="AN7" s="106"/>
      <c r="AO7" s="106"/>
      <c r="AP7" s="106"/>
      <c r="AQ7" s="106">
        <v>35200000</v>
      </c>
      <c r="AR7" s="106"/>
      <c r="AS7" s="106">
        <v>293000</v>
      </c>
      <c r="AT7" s="2"/>
      <c r="AU7" s="1" t="s">
        <v>147</v>
      </c>
      <c r="AV7" s="2"/>
      <c r="AW7" s="2"/>
      <c r="BB7" s="150">
        <v>4</v>
      </c>
      <c r="BD7" s="252">
        <v>114</v>
      </c>
      <c r="BJ7" s="150" t="s">
        <v>231</v>
      </c>
    </row>
    <row r="8" spans="1:62" ht="15" customHeight="1">
      <c r="A8" s="154" t="s">
        <v>11</v>
      </c>
      <c r="B8" s="168" t="s">
        <v>705</v>
      </c>
      <c r="F8" s="239" t="s">
        <v>171</v>
      </c>
      <c r="G8" s="370" t="e">
        <f t="shared" ref="G8:S8" si="0">IF(G3=0,"",(_xlfn.TEXTJOIN("",,_xlfn.TEXTJOIN("/",,IF(G3=0,,(TEXT((SMALL(G3:G7,COUNTIF(G3:G7,"="&amp;MIN(G3:G7))+((COUNTA(G3:G7)-(COUNTA(G3:G7))+0)))),"TT.MM."))),IF(G4=0,,(TEXT((SMALL(G3:G7,COUNTIF(G3:G7,"="&amp;MIN(G3:G7))+((COUNTA(G3:G7)-(COUNTA(G3:G7))+1)))),"TT.MM."))),IF(G5=0,,(TEXT((SMALL(G3:G7,COUNTIF(G3:G7,"="&amp;MIN(G3:G7))+((COUNTA(G3:G7)-(COUNTA(G3:G7))+2)))),"TT.MM."))),IF(G6=0,,(TEXT((SMALL(G3:G7,COUNTIF(G3:G7,"="&amp;MIN(G3:G7))+((COUNTA(G3:G7)-(COUNTA(G3:G7))+3)))),"TT.MM."))),IF(G7=0,,(TEXT((SMALL(G3:G7,COUNTIF(G3:G7,"="&amp;MIN(G3:G7))+((COUNTA(G3:G7)-(COUNTA(G3:G7))+4)))),"TT.MM.")))),(TEXT(G3,"JJJJ")))))</f>
        <v>#NUM!</v>
      </c>
      <c r="H8" s="370" t="str">
        <f t="shared" si="0"/>
        <v>07.05.2022</v>
      </c>
      <c r="I8" s="370" t="str">
        <f t="shared" si="0"/>
        <v>07.05.2022</v>
      </c>
      <c r="J8" s="370" t="str">
        <f t="shared" si="0"/>
        <v>07.05.2022</v>
      </c>
      <c r="K8" s="370" t="str">
        <f t="shared" si="0"/>
        <v/>
      </c>
      <c r="L8" s="370" t="str">
        <f t="shared" si="0"/>
        <v/>
      </c>
      <c r="M8" s="370" t="str">
        <f t="shared" si="0"/>
        <v/>
      </c>
      <c r="N8" s="370" t="str">
        <f t="shared" si="0"/>
        <v/>
      </c>
      <c r="O8" s="370" t="str">
        <f t="shared" si="0"/>
        <v>05.05.2022</v>
      </c>
      <c r="P8" s="370" t="str">
        <f t="shared" si="0"/>
        <v>07.05.2022</v>
      </c>
      <c r="Q8" s="370" t="str">
        <f t="shared" si="0"/>
        <v>07.05.2022</v>
      </c>
      <c r="R8" s="370" t="str">
        <f t="shared" si="0"/>
        <v>06.05.2022</v>
      </c>
      <c r="S8" s="370" t="str">
        <f t="shared" si="0"/>
        <v/>
      </c>
      <c r="AC8" s="346">
        <v>7</v>
      </c>
      <c r="AD8" s="347" t="s">
        <v>438</v>
      </c>
      <c r="AE8" s="348" t="s">
        <v>370</v>
      </c>
      <c r="AF8" s="349">
        <v>18.39</v>
      </c>
      <c r="AG8" s="349">
        <v>65.08</v>
      </c>
      <c r="AH8" s="328"/>
      <c r="AZ8" s="185">
        <f>SMALL(BB4:BB11,1)</f>
        <v>2</v>
      </c>
      <c r="BB8" s="150">
        <v>8</v>
      </c>
      <c r="BD8" s="252">
        <v>115</v>
      </c>
      <c r="BJ8" s="150" t="s">
        <v>232</v>
      </c>
    </row>
    <row r="9" spans="1:62">
      <c r="A9" s="155" t="s">
        <v>12</v>
      </c>
      <c r="B9" s="168" t="s">
        <v>706</v>
      </c>
      <c r="D9" s="150" t="s">
        <v>148</v>
      </c>
      <c r="E9" s="174" t="s">
        <v>710</v>
      </c>
      <c r="F9" s="10"/>
      <c r="G9" s="10"/>
      <c r="H9" s="10"/>
      <c r="I9" s="10"/>
      <c r="J9" s="10"/>
      <c r="K9" s="10"/>
      <c r="L9" s="10"/>
      <c r="M9" s="10"/>
      <c r="AC9" s="346">
        <v>8</v>
      </c>
      <c r="AD9" s="347" t="s">
        <v>439</v>
      </c>
      <c r="AE9" s="348" t="s">
        <v>371</v>
      </c>
      <c r="AF9" s="349">
        <v>19.29</v>
      </c>
      <c r="AG9" s="349">
        <v>68.27</v>
      </c>
      <c r="AH9" s="328"/>
      <c r="BB9" s="150">
        <v>9</v>
      </c>
      <c r="BD9" s="252">
        <v>116</v>
      </c>
      <c r="BJ9" s="150" t="s">
        <v>233</v>
      </c>
    </row>
    <row r="10" spans="1:62">
      <c r="A10" s="156" t="s">
        <v>13</v>
      </c>
      <c r="B10" s="168" t="s">
        <v>707</v>
      </c>
      <c r="D10" s="150" t="s">
        <v>6</v>
      </c>
      <c r="E10" s="316" t="s">
        <v>711</v>
      </c>
      <c r="H10" s="244"/>
      <c r="I10" s="10"/>
      <c r="J10" s="10"/>
      <c r="K10" s="244"/>
      <c r="L10" s="10"/>
      <c r="M10" s="10"/>
      <c r="Y10" s="187" t="s">
        <v>346</v>
      </c>
      <c r="AC10" s="346">
        <v>9</v>
      </c>
      <c r="AD10" s="347" t="s">
        <v>440</v>
      </c>
      <c r="AE10" s="348" t="s">
        <v>372</v>
      </c>
      <c r="AF10" s="349">
        <v>18.07</v>
      </c>
      <c r="AG10" s="349">
        <v>63.95</v>
      </c>
      <c r="AH10" s="328"/>
      <c r="BB10" s="150">
        <v>5</v>
      </c>
      <c r="BD10" s="252" t="s">
        <v>180</v>
      </c>
      <c r="BJ10" s="150" t="s">
        <v>234</v>
      </c>
    </row>
    <row r="11" spans="1:62" ht="15.45">
      <c r="A11" s="172"/>
      <c r="B11" s="173"/>
      <c r="G11" s="10"/>
      <c r="H11" s="10"/>
      <c r="I11" s="10"/>
      <c r="J11" s="10"/>
      <c r="K11" s="10"/>
      <c r="L11"/>
      <c r="M11" s="10"/>
      <c r="AC11" s="346">
        <v>10</v>
      </c>
      <c r="AD11" s="347" t="s">
        <v>441</v>
      </c>
      <c r="AE11" s="348" t="s">
        <v>373</v>
      </c>
      <c r="AF11" s="349">
        <v>19.14</v>
      </c>
      <c r="AG11" s="349">
        <v>67.760000000000005</v>
      </c>
      <c r="AH11" s="328"/>
      <c r="BD11" s="252">
        <v>117</v>
      </c>
      <c r="BJ11" s="150" t="s">
        <v>235</v>
      </c>
    </row>
    <row r="12" spans="1:62" ht="15.45">
      <c r="A12" s="172"/>
      <c r="B12" s="173"/>
      <c r="C12" s="380"/>
      <c r="F12" s="150" t="s">
        <v>167</v>
      </c>
      <c r="G12" s="234" t="s">
        <v>151</v>
      </c>
      <c r="H12" s="412"/>
      <c r="I12" s="413"/>
      <c r="J12" s="244"/>
      <c r="K12" s="10"/>
      <c r="L12"/>
      <c r="M12" s="10"/>
      <c r="AC12" s="346">
        <v>11</v>
      </c>
      <c r="AD12" s="347" t="s">
        <v>442</v>
      </c>
      <c r="AE12" s="348" t="s">
        <v>374</v>
      </c>
      <c r="AF12" s="349">
        <v>27.77</v>
      </c>
      <c r="AG12" s="349">
        <v>98.29</v>
      </c>
      <c r="AH12" s="328"/>
      <c r="BD12" s="252">
        <v>118</v>
      </c>
      <c r="BJ12" s="150" t="s">
        <v>236</v>
      </c>
    </row>
    <row r="13" spans="1:62" ht="15.45">
      <c r="A13" s="172"/>
      <c r="B13" s="173"/>
      <c r="F13" s="263" t="s">
        <v>356</v>
      </c>
      <c r="G13" s="273" t="str">
        <f>B7</f>
        <v>OP 1</v>
      </c>
      <c r="H13" s="10"/>
      <c r="I13" s="10"/>
      <c r="K13" s="10"/>
      <c r="L13"/>
      <c r="M13" s="10"/>
      <c r="Y13" s="150" t="str">
        <f>VLOOKUP(Y10,Eingabe_!$AD$2:$AG$40,2)</f>
        <v>RNr. 01.04.00.102</v>
      </c>
      <c r="AC13" s="346">
        <v>12</v>
      </c>
      <c r="AD13" s="347" t="s">
        <v>438</v>
      </c>
      <c r="AE13" s="348" t="s">
        <v>375</v>
      </c>
      <c r="AF13" s="349">
        <v>19.739999999999998</v>
      </c>
      <c r="AG13" s="349">
        <v>69.86</v>
      </c>
      <c r="AH13" s="328"/>
      <c r="BD13" s="252">
        <v>119</v>
      </c>
      <c r="BJ13" s="150" t="s">
        <v>237</v>
      </c>
    </row>
    <row r="14" spans="1:62" ht="19.399999999999999" customHeight="1">
      <c r="A14" s="150" t="s">
        <v>101</v>
      </c>
      <c r="B14" s="187" t="s">
        <v>698</v>
      </c>
      <c r="C14" s="150" t="s">
        <v>709</v>
      </c>
      <c r="E14" s="152"/>
      <c r="F14" s="263" t="s">
        <v>306</v>
      </c>
      <c r="G14" s="286" t="str">
        <f>B7</f>
        <v>OP 1</v>
      </c>
      <c r="H14" s="10"/>
      <c r="I14" s="10"/>
      <c r="J14" s="10"/>
      <c r="K14" s="10"/>
      <c r="L14"/>
      <c r="M14" s="10"/>
      <c r="AC14" s="346">
        <v>13</v>
      </c>
      <c r="AD14" s="347" t="s">
        <v>443</v>
      </c>
      <c r="AE14" s="348" t="s">
        <v>376</v>
      </c>
      <c r="AF14" s="349">
        <v>19.809999999999999</v>
      </c>
      <c r="AG14" s="349">
        <v>70.13</v>
      </c>
      <c r="AH14" s="328"/>
      <c r="BD14" s="252">
        <v>121</v>
      </c>
      <c r="BJ14" s="150" t="s">
        <v>238</v>
      </c>
    </row>
    <row r="15" spans="1:62" ht="19.399999999999999" customHeight="1">
      <c r="A15" s="150" t="s">
        <v>44</v>
      </c>
      <c r="B15" s="187" t="s">
        <v>627</v>
      </c>
      <c r="C15" s="150" t="s">
        <v>709</v>
      </c>
      <c r="E15" s="171"/>
      <c r="F15" s="264" t="s">
        <v>150</v>
      </c>
      <c r="G15" s="274" t="str">
        <f>B7</f>
        <v>OP 1</v>
      </c>
      <c r="I15" s="170"/>
      <c r="K15" s="1"/>
      <c r="L15"/>
      <c r="AC15" s="346">
        <v>14</v>
      </c>
      <c r="AD15" s="347" t="s">
        <v>444</v>
      </c>
      <c r="AE15" s="348" t="s">
        <v>377</v>
      </c>
      <c r="AF15" s="349">
        <v>22.33</v>
      </c>
      <c r="AG15" s="349">
        <v>79.03</v>
      </c>
      <c r="AH15" s="328"/>
      <c r="BD15" s="252">
        <v>122</v>
      </c>
      <c r="BJ15" s="150" t="s">
        <v>239</v>
      </c>
    </row>
    <row r="16" spans="1:62" ht="19.399999999999999" customHeight="1">
      <c r="A16" s="150" t="s">
        <v>26</v>
      </c>
      <c r="B16" s="187" t="s">
        <v>45</v>
      </c>
      <c r="C16" s="150" t="s">
        <v>709</v>
      </c>
      <c r="E16" s="171"/>
      <c r="F16" s="263" t="s">
        <v>120</v>
      </c>
      <c r="G16" s="275" t="str">
        <f>B7</f>
        <v>OP 1</v>
      </c>
      <c r="I16" s="170"/>
      <c r="L16"/>
      <c r="AC16" s="346">
        <v>15</v>
      </c>
      <c r="AD16" s="347" t="s">
        <v>445</v>
      </c>
      <c r="AE16" s="348" t="s">
        <v>378</v>
      </c>
      <c r="AF16" s="349">
        <v>23.27</v>
      </c>
      <c r="AG16" s="349">
        <v>82.36</v>
      </c>
      <c r="AH16" s="328"/>
      <c r="BD16" s="252">
        <v>123</v>
      </c>
      <c r="BJ16" s="150" t="s">
        <v>240</v>
      </c>
    </row>
    <row r="17" spans="1:62" ht="15.45">
      <c r="E17" s="171"/>
      <c r="F17" s="263" t="s">
        <v>357</v>
      </c>
      <c r="G17" s="321" t="str">
        <f>B7</f>
        <v>OP 1</v>
      </c>
      <c r="I17" s="170"/>
      <c r="L17"/>
      <c r="Y17" s="150" t="str">
        <f>VLOOKUP(Y10,AD2:AG40,2)</f>
        <v>RNr. 01.04.00.102</v>
      </c>
      <c r="AC17" s="346">
        <v>16</v>
      </c>
      <c r="AD17" s="347" t="s">
        <v>446</v>
      </c>
      <c r="AE17" s="348" t="s">
        <v>379</v>
      </c>
      <c r="AF17" s="349">
        <v>6.75</v>
      </c>
      <c r="AG17" s="349">
        <v>23.9</v>
      </c>
      <c r="AH17" s="328"/>
      <c r="BD17" s="252">
        <v>129</v>
      </c>
      <c r="BJ17" s="150" t="s">
        <v>241</v>
      </c>
    </row>
    <row r="18" spans="1:62" ht="15" customHeight="1">
      <c r="A18" s="269"/>
      <c r="B18" s="269"/>
      <c r="E18" s="171"/>
      <c r="F18" s="263" t="s">
        <v>156</v>
      </c>
      <c r="G18" s="288" t="str">
        <f>B7</f>
        <v>OP 1</v>
      </c>
      <c r="I18" s="170"/>
      <c r="L18"/>
      <c r="AC18" s="346">
        <v>17</v>
      </c>
      <c r="AD18" s="347" t="s">
        <v>447</v>
      </c>
      <c r="AE18" s="348" t="s">
        <v>380</v>
      </c>
      <c r="AF18" s="349">
        <v>35.26</v>
      </c>
      <c r="AG18" s="349">
        <v>124.8</v>
      </c>
      <c r="AH18" s="328" t="s">
        <v>298</v>
      </c>
      <c r="BD18" s="252">
        <v>131</v>
      </c>
      <c r="BJ18" s="150" t="s">
        <v>242</v>
      </c>
    </row>
    <row r="19" spans="1:62" ht="15.9" thickBot="1">
      <c r="A19" s="269" t="s">
        <v>176</v>
      </c>
      <c r="B19" s="409" t="s">
        <v>626</v>
      </c>
      <c r="E19" s="171"/>
      <c r="F19" s="319" t="s">
        <v>358</v>
      </c>
      <c r="G19" s="320" t="str">
        <f>B7</f>
        <v>OP 1</v>
      </c>
      <c r="I19" s="170"/>
      <c r="L19"/>
      <c r="U19" s="986" t="s">
        <v>741</v>
      </c>
      <c r="AC19" s="346">
        <v>18</v>
      </c>
      <c r="AD19" s="347" t="s">
        <v>448</v>
      </c>
      <c r="AE19" s="348" t="s">
        <v>381</v>
      </c>
      <c r="AF19" s="349">
        <v>66.56</v>
      </c>
      <c r="AG19" s="349">
        <v>235.6</v>
      </c>
      <c r="AH19" s="328"/>
      <c r="BD19" s="252">
        <v>132</v>
      </c>
      <c r="BJ19" s="150" t="s">
        <v>243</v>
      </c>
    </row>
    <row r="20" spans="1:62" ht="15.45" thickTop="1">
      <c r="E20" s="171"/>
      <c r="F20" s="263" t="s">
        <v>166</v>
      </c>
      <c r="G20" s="276" t="str">
        <f>B7</f>
        <v>OP 1</v>
      </c>
      <c r="I20" s="170"/>
      <c r="U20" s="150" t="s">
        <v>45</v>
      </c>
      <c r="AC20" s="346">
        <v>19</v>
      </c>
      <c r="AD20" s="347" t="s">
        <v>449</v>
      </c>
      <c r="AE20" s="348" t="s">
        <v>382</v>
      </c>
      <c r="AF20" s="349">
        <v>66.400000000000006</v>
      </c>
      <c r="AG20" s="349">
        <v>235.06</v>
      </c>
      <c r="AH20" s="328"/>
      <c r="AJ20" s="150">
        <v>57</v>
      </c>
      <c r="BD20" s="252">
        <v>133</v>
      </c>
      <c r="BJ20" s="150" t="s">
        <v>244</v>
      </c>
    </row>
    <row r="21" spans="1:62" ht="15" customHeight="1">
      <c r="E21" s="171"/>
      <c r="F21"/>
      <c r="G21"/>
      <c r="I21" s="170"/>
      <c r="U21" s="150" t="s">
        <v>698</v>
      </c>
      <c r="AC21" s="346">
        <v>20</v>
      </c>
      <c r="AD21" s="347" t="s">
        <v>446</v>
      </c>
      <c r="AE21" s="348" t="s">
        <v>383</v>
      </c>
      <c r="AF21" s="349">
        <v>20.260000000000002</v>
      </c>
      <c r="AG21" s="349">
        <v>71.7</v>
      </c>
      <c r="AH21" s="328"/>
      <c r="AJ21" s="150">
        <v>4</v>
      </c>
      <c r="BD21" s="253">
        <v>141</v>
      </c>
      <c r="BJ21" s="150" t="s">
        <v>245</v>
      </c>
    </row>
    <row r="22" spans="1:62" ht="15.45">
      <c r="E22" s="171"/>
      <c r="F22"/>
      <c r="G22"/>
      <c r="I22" s="170"/>
      <c r="U22" s="150" t="s">
        <v>46</v>
      </c>
      <c r="AC22" s="346">
        <v>21</v>
      </c>
      <c r="AD22" s="347" t="s">
        <v>450</v>
      </c>
      <c r="AE22" s="348" t="s">
        <v>384</v>
      </c>
      <c r="AF22" s="349">
        <v>56.68</v>
      </c>
      <c r="AG22" s="349">
        <v>190.99</v>
      </c>
      <c r="AH22" s="328"/>
      <c r="AJ22" s="150">
        <f>AJ20*AJ21</f>
        <v>228</v>
      </c>
      <c r="BD22" s="253">
        <v>142</v>
      </c>
      <c r="BJ22" s="150" t="s">
        <v>246</v>
      </c>
    </row>
    <row r="23" spans="1:62" ht="15.45">
      <c r="B23" s="269"/>
      <c r="E23" s="171"/>
      <c r="F23"/>
      <c r="G23"/>
      <c r="I23" s="170"/>
      <c r="U23" s="150" t="s">
        <v>694</v>
      </c>
      <c r="AC23" s="346">
        <v>22</v>
      </c>
      <c r="AD23" s="347" t="s">
        <v>451</v>
      </c>
      <c r="AE23" s="348" t="s">
        <v>385</v>
      </c>
      <c r="AF23" s="349">
        <v>2.4300000000000002</v>
      </c>
      <c r="AG23" s="349">
        <v>8.58</v>
      </c>
      <c r="AH23" s="328"/>
      <c r="BD23" s="253">
        <v>143</v>
      </c>
      <c r="BJ23" s="150" t="s">
        <v>247</v>
      </c>
    </row>
    <row r="24" spans="1:62" ht="15.45">
      <c r="F24"/>
      <c r="G24"/>
      <c r="I24" s="170"/>
      <c r="U24" s="150" t="s">
        <v>627</v>
      </c>
      <c r="AC24" s="346">
        <v>23</v>
      </c>
      <c r="AD24" s="347" t="s">
        <v>452</v>
      </c>
      <c r="AE24" s="348" t="s">
        <v>386</v>
      </c>
      <c r="AF24" s="349">
        <v>15.68</v>
      </c>
      <c r="AG24" s="349">
        <v>52.84</v>
      </c>
      <c r="AH24" s="328"/>
      <c r="BD24" s="253">
        <v>144</v>
      </c>
      <c r="BJ24" s="150" t="s">
        <v>248</v>
      </c>
    </row>
    <row r="25" spans="1:62" ht="15.45">
      <c r="A25" s="2" t="s">
        <v>312</v>
      </c>
      <c r="B25" s="167">
        <f>B4</f>
        <v>0</v>
      </c>
      <c r="C25" s="150" t="s">
        <v>161</v>
      </c>
      <c r="D25" s="167" t="s">
        <v>621</v>
      </c>
      <c r="E25" s="171"/>
      <c r="F25"/>
      <c r="G25"/>
      <c r="I25" s="170"/>
      <c r="AC25" s="346">
        <v>24</v>
      </c>
      <c r="AD25" s="347" t="s">
        <v>453</v>
      </c>
      <c r="AE25" s="348" t="s">
        <v>387</v>
      </c>
      <c r="AF25" s="349">
        <v>29.43</v>
      </c>
      <c r="AG25" s="349">
        <v>100.06</v>
      </c>
      <c r="AH25" s="328"/>
      <c r="BD25" s="253">
        <v>148</v>
      </c>
      <c r="BJ25" s="150" t="s">
        <v>249</v>
      </c>
    </row>
    <row r="26" spans="1:62" ht="15.45">
      <c r="E26" s="171"/>
      <c r="F26"/>
      <c r="G26"/>
      <c r="U26" s="150" t="s">
        <v>98</v>
      </c>
      <c r="AC26" s="346">
        <v>25</v>
      </c>
      <c r="AD26" s="347" t="s">
        <v>454</v>
      </c>
      <c r="AE26" s="348" t="s">
        <v>388</v>
      </c>
      <c r="AF26" s="349">
        <v>34.56</v>
      </c>
      <c r="AG26" s="349">
        <v>122.34</v>
      </c>
      <c r="AH26" s="328"/>
      <c r="BD26" s="253">
        <v>149</v>
      </c>
      <c r="BJ26" s="150" t="s">
        <v>250</v>
      </c>
    </row>
    <row r="27" spans="1:62" ht="15.45">
      <c r="E27" s="171"/>
      <c r="F27"/>
      <c r="G27"/>
      <c r="U27" s="150" t="s">
        <v>57</v>
      </c>
      <c r="AC27" s="346">
        <v>26</v>
      </c>
      <c r="AD27" s="347" t="s">
        <v>455</v>
      </c>
      <c r="AE27" s="348" t="s">
        <v>389</v>
      </c>
      <c r="AF27" s="349">
        <v>13.03</v>
      </c>
      <c r="AG27" s="349">
        <v>43.89</v>
      </c>
      <c r="AH27" s="328"/>
      <c r="BD27" s="253">
        <v>151</v>
      </c>
      <c r="BJ27" s="150" t="s">
        <v>251</v>
      </c>
    </row>
    <row r="28" spans="1:62">
      <c r="E28" s="171"/>
      <c r="AC28" s="346">
        <v>27</v>
      </c>
      <c r="AD28" s="347" t="s">
        <v>451</v>
      </c>
      <c r="AE28" s="348" t="s">
        <v>390</v>
      </c>
      <c r="AF28" s="349">
        <v>2.13</v>
      </c>
      <c r="AG28" s="349">
        <v>7.52</v>
      </c>
      <c r="AH28" s="328"/>
      <c r="BD28" s="253">
        <v>152</v>
      </c>
      <c r="BJ28" s="150" t="s">
        <v>252</v>
      </c>
    </row>
    <row r="29" spans="1:62">
      <c r="A29" s="157"/>
      <c r="U29" s="150" t="s">
        <v>89</v>
      </c>
      <c r="AC29" s="350">
        <v>28</v>
      </c>
      <c r="AD29" s="347" t="s">
        <v>456</v>
      </c>
      <c r="AE29" s="348" t="s">
        <v>391</v>
      </c>
      <c r="AF29" s="351">
        <v>71.540000000000006</v>
      </c>
      <c r="AG29" s="351">
        <v>253.23</v>
      </c>
      <c r="AH29" s="328"/>
      <c r="BD29" s="253">
        <v>153</v>
      </c>
      <c r="BJ29" s="150" t="s">
        <v>253</v>
      </c>
    </row>
    <row r="30" spans="1:62">
      <c r="U30" s="150" t="s">
        <v>114</v>
      </c>
      <c r="AC30" s="352">
        <v>29</v>
      </c>
      <c r="AD30" s="347" t="s">
        <v>457</v>
      </c>
      <c r="AE30" s="348" t="s">
        <v>392</v>
      </c>
      <c r="AF30" s="349">
        <v>10.62</v>
      </c>
      <c r="AG30" s="349">
        <v>37.590000000000003</v>
      </c>
      <c r="AH30" s="328"/>
      <c r="BD30" s="253">
        <v>154</v>
      </c>
      <c r="BJ30" s="150" t="s">
        <v>254</v>
      </c>
    </row>
    <row r="31" spans="1:62">
      <c r="A31" s="186" t="s">
        <v>42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U31" s="150" t="s">
        <v>126</v>
      </c>
      <c r="AC31" s="352">
        <v>30</v>
      </c>
      <c r="AD31" s="347" t="s">
        <v>458</v>
      </c>
      <c r="AE31" s="348" t="s">
        <v>393</v>
      </c>
      <c r="AF31" s="349">
        <v>40.299999999999997</v>
      </c>
      <c r="AG31" s="349">
        <v>142.66</v>
      </c>
      <c r="AH31" s="328"/>
      <c r="BD31" s="253">
        <v>159</v>
      </c>
      <c r="BJ31" s="150" t="s">
        <v>255</v>
      </c>
    </row>
    <row r="32" spans="1:62" ht="30" customHeight="1">
      <c r="A32" s="289"/>
      <c r="B32" s="289" t="s">
        <v>728</v>
      </c>
      <c r="F32" s="150" t="s">
        <v>730</v>
      </c>
      <c r="G32" s="150" t="s">
        <v>729</v>
      </c>
      <c r="U32" s="150" t="s">
        <v>4</v>
      </c>
      <c r="AC32" s="352">
        <v>31</v>
      </c>
      <c r="AD32" s="347" t="s">
        <v>459</v>
      </c>
      <c r="AE32" s="348" t="s">
        <v>394</v>
      </c>
      <c r="AF32" s="349">
        <v>25.43</v>
      </c>
      <c r="AG32" s="349">
        <v>90</v>
      </c>
      <c r="AH32" s="328"/>
      <c r="BD32" s="253">
        <v>161</v>
      </c>
      <c r="BJ32" s="150" t="s">
        <v>256</v>
      </c>
    </row>
    <row r="33" spans="1:62" ht="30.75" customHeight="1">
      <c r="A33" s="206" t="s">
        <v>92</v>
      </c>
      <c r="B33" s="150" t="s">
        <v>720</v>
      </c>
      <c r="D33" s="289">
        <f>MAX(A43:A116)</f>
        <v>158.08999999999992</v>
      </c>
      <c r="F33" s="207" t="s">
        <v>149</v>
      </c>
      <c r="G33" s="207"/>
      <c r="H33" s="150" t="s">
        <v>727</v>
      </c>
      <c r="I33" s="207"/>
      <c r="K33" s="150" t="s">
        <v>735</v>
      </c>
      <c r="O33" s="975" t="s">
        <v>730</v>
      </c>
      <c r="Q33" s="150" t="s">
        <v>742</v>
      </c>
      <c r="AC33" s="352">
        <v>32</v>
      </c>
      <c r="AD33" s="347" t="s">
        <v>460</v>
      </c>
      <c r="AE33" s="348" t="s">
        <v>395</v>
      </c>
      <c r="AF33" s="349">
        <v>6.29</v>
      </c>
      <c r="AG33" s="349">
        <v>22.27</v>
      </c>
      <c r="AH33" s="328"/>
      <c r="BD33" s="253">
        <v>162</v>
      </c>
      <c r="BJ33" s="150" t="s">
        <v>257</v>
      </c>
    </row>
    <row r="34" spans="1:62" ht="18">
      <c r="G34" s="205" t="s">
        <v>155</v>
      </c>
      <c r="H34" s="217" t="s">
        <v>154</v>
      </c>
      <c r="I34" s="10"/>
      <c r="K34" s="979">
        <v>3</v>
      </c>
      <c r="L34" s="978" t="s">
        <v>738</v>
      </c>
      <c r="O34" s="420" t="s">
        <v>156</v>
      </c>
      <c r="P34" s="421"/>
      <c r="Q34" s="421"/>
      <c r="R34" s="422"/>
      <c r="AC34" s="352">
        <v>33</v>
      </c>
      <c r="AD34" s="347" t="s">
        <v>461</v>
      </c>
      <c r="AE34" s="348" t="s">
        <v>396</v>
      </c>
      <c r="AF34" s="349">
        <v>11.28</v>
      </c>
      <c r="AG34" s="349">
        <v>39.909999999999997</v>
      </c>
      <c r="AH34" s="328"/>
      <c r="BD34" s="253">
        <v>163</v>
      </c>
      <c r="BJ34" s="150" t="s">
        <v>258</v>
      </c>
    </row>
    <row r="35" spans="1:62" ht="15.45">
      <c r="D35" s="158"/>
      <c r="F35" s="183" t="s">
        <v>106</v>
      </c>
      <c r="G35" s="367">
        <f>'P Volumenströme'!T15</f>
        <v>5196.1010773310236</v>
      </c>
      <c r="H35" s="215">
        <v>5190</v>
      </c>
      <c r="I35" s="10"/>
      <c r="J35" s="318"/>
      <c r="K35" s="159"/>
      <c r="L35" s="159"/>
      <c r="M35" s="159"/>
      <c r="N35" s="159"/>
      <c r="O35" s="420"/>
      <c r="P35" s="421"/>
      <c r="Q35" s="421"/>
      <c r="R35" s="422"/>
      <c r="AC35" s="352">
        <v>34</v>
      </c>
      <c r="AD35" s="347" t="s">
        <v>461</v>
      </c>
      <c r="AE35" s="348" t="s">
        <v>397</v>
      </c>
      <c r="AF35" s="349">
        <v>9.31</v>
      </c>
      <c r="AG35" s="349">
        <v>32.96</v>
      </c>
      <c r="AH35" s="328"/>
      <c r="BD35" s="253">
        <v>164</v>
      </c>
      <c r="BJ35" s="150" t="s">
        <v>127</v>
      </c>
    </row>
    <row r="36" spans="1:62" ht="15.45">
      <c r="A36" s="150" t="s">
        <v>712</v>
      </c>
      <c r="B36" s="354" t="s">
        <v>714</v>
      </c>
      <c r="C36" s="160"/>
      <c r="D36" s="172"/>
      <c r="F36" s="410" t="s">
        <v>107</v>
      </c>
      <c r="G36" s="411" t="e">
        <f>'RD Volumenströme'!#REF!</f>
        <v>#REF!</v>
      </c>
      <c r="H36" s="218">
        <v>800</v>
      </c>
      <c r="I36" s="10"/>
      <c r="J36" s="161"/>
      <c r="K36" s="162"/>
      <c r="L36" s="163"/>
      <c r="M36" s="163"/>
      <c r="N36" s="163"/>
      <c r="O36" s="423" t="s">
        <v>157</v>
      </c>
      <c r="P36" s="426">
        <f>'RD Schall'!E14</f>
        <v>46.8</v>
      </c>
      <c r="Q36" s="426"/>
      <c r="R36" s="427"/>
      <c r="AC36" s="352">
        <v>35</v>
      </c>
      <c r="AD36" s="347" t="s">
        <v>462</v>
      </c>
      <c r="AE36" s="348" t="s">
        <v>398</v>
      </c>
      <c r="AF36" s="349">
        <v>32</v>
      </c>
      <c r="AG36" s="349">
        <v>113.26</v>
      </c>
      <c r="AH36" s="328"/>
      <c r="BD36" s="252">
        <v>165</v>
      </c>
      <c r="BJ36" s="150" t="s">
        <v>259</v>
      </c>
    </row>
    <row r="37" spans="1:62" ht="15.45">
      <c r="A37" s="150" t="s">
        <v>713</v>
      </c>
      <c r="B37" s="170" t="s">
        <v>715</v>
      </c>
      <c r="C37" s="172"/>
      <c r="D37" s="170"/>
      <c r="F37" s="150" t="s">
        <v>105</v>
      </c>
      <c r="G37" s="257">
        <f>'RD Volumenströme'!T22</f>
        <v>4818</v>
      </c>
      <c r="H37" s="219" t="s">
        <v>574</v>
      </c>
      <c r="I37" s="268" t="s">
        <v>354</v>
      </c>
      <c r="K37" s="150" t="s">
        <v>733</v>
      </c>
      <c r="M37" s="2"/>
      <c r="N37" s="65"/>
      <c r="O37" s="423"/>
      <c r="P37" s="426"/>
      <c r="Q37" s="426"/>
      <c r="R37" s="427"/>
      <c r="S37" s="68"/>
      <c r="T37" s="67"/>
      <c r="U37" s="67"/>
      <c r="V37" s="91"/>
      <c r="W37" s="91"/>
      <c r="X37" s="91"/>
      <c r="Y37" s="91"/>
      <c r="Z37" s="91"/>
      <c r="AB37" s="184"/>
      <c r="AC37" s="352">
        <v>36</v>
      </c>
      <c r="AD37" s="347" t="s">
        <v>463</v>
      </c>
      <c r="AE37" s="348" t="s">
        <v>399</v>
      </c>
      <c r="AF37" s="349">
        <v>40.299999999999997</v>
      </c>
      <c r="AG37" s="349">
        <v>142.63999999999999</v>
      </c>
      <c r="AH37" s="328" t="s">
        <v>464</v>
      </c>
      <c r="BD37" s="252">
        <v>169</v>
      </c>
      <c r="BJ37" s="150" t="s">
        <v>260</v>
      </c>
    </row>
    <row r="38" spans="1:62" ht="15.45">
      <c r="A38" s="160" t="s">
        <v>56</v>
      </c>
      <c r="B38" s="189" t="s">
        <v>57</v>
      </c>
      <c r="C38" s="354" t="s">
        <v>716</v>
      </c>
      <c r="D38" s="160" t="s">
        <v>96</v>
      </c>
      <c r="E38" s="116"/>
      <c r="F38" s="183" t="s">
        <v>573</v>
      </c>
      <c r="G38" s="358">
        <v>6.436369</v>
      </c>
      <c r="H38" s="10"/>
      <c r="I38" s="10"/>
      <c r="K38" s="978" t="s">
        <v>732</v>
      </c>
      <c r="AC38" s="352">
        <v>37</v>
      </c>
      <c r="AD38" s="347" t="s">
        <v>465</v>
      </c>
      <c r="AE38" s="348" t="s">
        <v>400</v>
      </c>
      <c r="AF38" s="349">
        <v>46.47</v>
      </c>
      <c r="AG38" s="349">
        <v>164.49</v>
      </c>
      <c r="AH38" s="328" t="s">
        <v>466</v>
      </c>
      <c r="BD38" s="252">
        <v>171</v>
      </c>
      <c r="BJ38" s="150" t="s">
        <v>261</v>
      </c>
    </row>
    <row r="39" spans="1:62">
      <c r="A39" s="150" t="s">
        <v>317</v>
      </c>
      <c r="B39" s="168">
        <v>9</v>
      </c>
      <c r="C39" s="980" t="s">
        <v>717</v>
      </c>
      <c r="H39" s="10"/>
      <c r="I39" s="10"/>
      <c r="K39" s="150" t="s">
        <v>737</v>
      </c>
      <c r="R39" s="10"/>
      <c r="S39" s="10"/>
      <c r="T39" s="10"/>
      <c r="U39" s="10"/>
      <c r="V39" s="10"/>
      <c r="AC39" s="352">
        <v>38</v>
      </c>
      <c r="AD39" s="347" t="s">
        <v>467</v>
      </c>
      <c r="AE39" s="348" t="s">
        <v>401</v>
      </c>
      <c r="AF39" s="349">
        <v>42.06</v>
      </c>
      <c r="AG39" s="349">
        <v>148.87</v>
      </c>
      <c r="AH39" s="328" t="s">
        <v>468</v>
      </c>
      <c r="BD39" s="252">
        <v>181</v>
      </c>
      <c r="BJ39" s="150" t="s">
        <v>262</v>
      </c>
    </row>
    <row r="40" spans="1:62" ht="32.15" customHeight="1">
      <c r="A40" s="150" t="s">
        <v>48</v>
      </c>
      <c r="B40" s="170" t="str">
        <f>CONCATENATE("Filter Nr. ",A45," - ","Filter Nr. ",(MAX(A45:A76)))</f>
        <v>Filter Nr. 158.01 - Filter Nr. 158.04</v>
      </c>
      <c r="C40" s="354"/>
      <c r="D40" s="183" t="s">
        <v>427</v>
      </c>
      <c r="F40" s="428"/>
      <c r="G40" s="428"/>
      <c r="H40"/>
      <c r="I40" s="304"/>
      <c r="J40" s="975" t="s">
        <v>730</v>
      </c>
      <c r="K40" s="975" t="s">
        <v>736</v>
      </c>
      <c r="L40" s="304"/>
      <c r="M40" s="304"/>
      <c r="N40" s="304"/>
      <c r="O40" s="975" t="s">
        <v>730</v>
      </c>
      <c r="Q40" s="150" t="s">
        <v>744</v>
      </c>
      <c r="R40"/>
      <c r="T40"/>
      <c r="U40"/>
      <c r="V40"/>
      <c r="W40"/>
      <c r="X40"/>
      <c r="Y40"/>
      <c r="Z40"/>
      <c r="AA40"/>
      <c r="AB40"/>
      <c r="AC40" s="352">
        <v>39</v>
      </c>
      <c r="AD40" s="347" t="s">
        <v>469</v>
      </c>
      <c r="AE40" s="348" t="s">
        <v>402</v>
      </c>
      <c r="AF40" s="349">
        <v>38.11</v>
      </c>
      <c r="AG40" s="349">
        <v>134.88999999999999</v>
      </c>
      <c r="AH40" s="328"/>
      <c r="BD40" s="252">
        <v>182</v>
      </c>
      <c r="BJ40" s="150" t="s">
        <v>263</v>
      </c>
    </row>
    <row r="41" spans="1:62" ht="15.65" customHeight="1">
      <c r="A41" s="150" t="s">
        <v>48</v>
      </c>
      <c r="B41" s="170" t="str">
        <f>CONCATENATE("Filter Nr. ",A77," - ","Filter Nr. ",(MAX(A77:A103)))</f>
        <v>Filter Nr. 158.05 - Filter Nr. 158.07</v>
      </c>
      <c r="D41" s="183" t="s">
        <v>428</v>
      </c>
      <c r="F41" s="205"/>
      <c r="G41" s="185"/>
      <c r="H41" s="977" t="s">
        <v>731</v>
      </c>
      <c r="I41" s="976">
        <v>1</v>
      </c>
      <c r="J41" s="259" t="s">
        <v>69</v>
      </c>
      <c r="K41" s="260" t="s">
        <v>490</v>
      </c>
      <c r="L41" s="313" t="s">
        <v>140</v>
      </c>
      <c r="M41" s="201" t="s">
        <v>138</v>
      </c>
      <c r="N41" s="304"/>
      <c r="O41" s="418" t="s">
        <v>119</v>
      </c>
      <c r="P41" s="418"/>
      <c r="Q41" s="418"/>
      <c r="R41" s="418"/>
      <c r="S41" s="418"/>
      <c r="T41" s="418"/>
      <c r="U41"/>
      <c r="V41"/>
      <c r="W41"/>
      <c r="X41"/>
      <c r="Y41"/>
      <c r="Z41"/>
      <c r="AA41"/>
      <c r="AB41"/>
      <c r="AC41" s="352">
        <v>40</v>
      </c>
      <c r="AD41" s="347" t="s">
        <v>470</v>
      </c>
      <c r="AE41" s="348" t="s">
        <v>403</v>
      </c>
      <c r="AF41" s="353">
        <v>50.63</v>
      </c>
      <c r="AG41" s="353">
        <v>179.23</v>
      </c>
      <c r="AH41" s="328" t="s">
        <v>301</v>
      </c>
      <c r="BD41" s="252">
        <v>183</v>
      </c>
      <c r="BJ41" s="150" t="s">
        <v>264</v>
      </c>
    </row>
    <row r="42" spans="1:62" ht="15" customHeight="1">
      <c r="A42" s="150" t="s">
        <v>48</v>
      </c>
      <c r="B42" s="170" t="str">
        <f>CONCATENATE("Filter Nr. ",A104," - ","Filter Nr. ",(MAX(A104:A116)))</f>
        <v>Filter Nr. 158.08 - Filter Nr. 158.09</v>
      </c>
      <c r="C42"/>
      <c r="D42" s="183" t="s">
        <v>429</v>
      </c>
      <c r="E42" s="183" t="s">
        <v>430</v>
      </c>
      <c r="H42"/>
      <c r="I42" s="304"/>
      <c r="J42" s="414" t="s">
        <v>734</v>
      </c>
      <c r="K42" s="419" t="s">
        <v>17</v>
      </c>
      <c r="L42" s="419" t="s">
        <v>18</v>
      </c>
      <c r="M42" s="324"/>
      <c r="N42" s="304"/>
      <c r="O42" s="416" t="s">
        <v>108</v>
      </c>
      <c r="P42" s="416" t="s">
        <v>124</v>
      </c>
      <c r="Q42" s="416" t="s">
        <v>109</v>
      </c>
      <c r="R42" s="416" t="s">
        <v>110</v>
      </c>
      <c r="S42" s="417" t="s">
        <v>125</v>
      </c>
      <c r="T42" s="417"/>
      <c r="U42"/>
      <c r="V42"/>
      <c r="W42"/>
      <c r="X42"/>
      <c r="Y42"/>
      <c r="Z42"/>
      <c r="AA42"/>
      <c r="AB42"/>
      <c r="AC42" s="352">
        <v>41</v>
      </c>
      <c r="AD42" s="347" t="s">
        <v>471</v>
      </c>
      <c r="AE42" s="348" t="s">
        <v>404</v>
      </c>
      <c r="AF42" s="353">
        <v>43.96</v>
      </c>
      <c r="AG42" s="353">
        <v>155.62</v>
      </c>
      <c r="AH42" s="328" t="s">
        <v>300</v>
      </c>
      <c r="BD42" s="252">
        <v>184</v>
      </c>
      <c r="BJ42" s="150" t="s">
        <v>265</v>
      </c>
    </row>
    <row r="43" spans="1:62" ht="15" customHeight="1" thickBot="1">
      <c r="A43"/>
      <c r="B43"/>
      <c r="C43"/>
      <c r="D43"/>
      <c r="E43" s="204"/>
      <c r="F43"/>
      <c r="G43"/>
      <c r="H43"/>
      <c r="I43" s="304"/>
      <c r="J43" s="414"/>
      <c r="K43" s="419"/>
      <c r="L43" s="419"/>
      <c r="M43" s="326"/>
      <c r="N43" s="304"/>
      <c r="O43" s="416"/>
      <c r="P43" s="416"/>
      <c r="Q43" s="416"/>
      <c r="R43" s="416"/>
      <c r="S43" s="202" t="s">
        <v>90</v>
      </c>
      <c r="T43" s="203" t="s">
        <v>86</v>
      </c>
      <c r="U43"/>
      <c r="V43"/>
      <c r="W43"/>
      <c r="X43"/>
      <c r="Y43"/>
      <c r="Z43"/>
      <c r="AA43"/>
      <c r="AB43"/>
      <c r="AC43" s="352">
        <v>42</v>
      </c>
      <c r="AD43" s="347" t="s">
        <v>472</v>
      </c>
      <c r="AE43" s="348" t="s">
        <v>405</v>
      </c>
      <c r="AF43" s="353">
        <v>38.130000000000003</v>
      </c>
      <c r="AG43" s="353">
        <v>134.96</v>
      </c>
      <c r="AH43" s="328"/>
      <c r="BD43" s="252">
        <v>191</v>
      </c>
      <c r="BJ43" s="150" t="s">
        <v>266</v>
      </c>
    </row>
    <row r="44" spans="1:62" ht="16.3" thickTop="1" thickBot="1">
      <c r="A44" s="150" t="s">
        <v>93</v>
      </c>
      <c r="B44" s="204" t="s">
        <v>7</v>
      </c>
      <c r="C44" s="204" t="s">
        <v>94</v>
      </c>
      <c r="D44" s="204" t="s">
        <v>95</v>
      </c>
      <c r="E44" s="150" t="s">
        <v>718</v>
      </c>
      <c r="F44" s="428"/>
      <c r="G44" s="428"/>
      <c r="H44"/>
      <c r="I44" s="982" t="s">
        <v>743</v>
      </c>
      <c r="J44" s="432">
        <v>158.01</v>
      </c>
      <c r="K44" s="361">
        <v>0</v>
      </c>
      <c r="L44" s="983">
        <v>0</v>
      </c>
      <c r="M44" s="984">
        <v>1</v>
      </c>
      <c r="N44" s="304"/>
      <c r="O44" s="187" t="s">
        <v>228</v>
      </c>
      <c r="P44" s="249" t="str">
        <f>'RD Strömungsnachw.'!M14</f>
        <v>n.a.</v>
      </c>
      <c r="Q44" s="314" t="str">
        <f>$B$7</f>
        <v>OP 1</v>
      </c>
      <c r="R44" s="315" t="s">
        <v>614</v>
      </c>
      <c r="S44" s="250" t="str">
        <f>'RD Strömungsnachw.'!$Q$14</f>
        <v>Unterdruck</v>
      </c>
      <c r="T44" s="188" t="s">
        <v>114</v>
      </c>
      <c r="U44"/>
      <c r="V44"/>
      <c r="W44"/>
      <c r="X44"/>
      <c r="Y44"/>
      <c r="Z44"/>
      <c r="AA44"/>
      <c r="AB44"/>
      <c r="AC44" s="352">
        <v>43</v>
      </c>
      <c r="AD44" s="347" t="s">
        <v>473</v>
      </c>
      <c r="AE44" s="348" t="s">
        <v>406</v>
      </c>
      <c r="AF44" s="353">
        <v>45.79</v>
      </c>
      <c r="AG44" s="353">
        <v>162.08000000000001</v>
      </c>
      <c r="AH44" s="328" t="s">
        <v>299</v>
      </c>
      <c r="BD44" s="252">
        <v>192</v>
      </c>
      <c r="BJ44" s="150" t="s">
        <v>267</v>
      </c>
    </row>
    <row r="45" spans="1:62" ht="15.9" thickTop="1">
      <c r="A45" s="340">
        <v>158.01</v>
      </c>
      <c r="B45" s="331" t="s">
        <v>722</v>
      </c>
      <c r="C45" s="383" t="s">
        <v>724</v>
      </c>
      <c r="D45" s="383" t="s">
        <v>724</v>
      </c>
      <c r="E45" s="150" t="s">
        <v>719</v>
      </c>
      <c r="F45"/>
      <c r="G45"/>
      <c r="H45"/>
      <c r="I45" s="981"/>
      <c r="J45" s="432"/>
      <c r="K45" s="361">
        <v>0</v>
      </c>
      <c r="L45" s="361">
        <v>0</v>
      </c>
      <c r="M45" s="324">
        <v>2</v>
      </c>
      <c r="N45" s="304"/>
      <c r="O45" s="187" t="s">
        <v>229</v>
      </c>
      <c r="P45" s="249" t="str">
        <f>'RD Strömungsnachw.'!M$16</f>
        <v>n.a.</v>
      </c>
      <c r="Q45" s="314" t="str">
        <f>$Q$44</f>
        <v>OP 1</v>
      </c>
      <c r="R45" s="315" t="s">
        <v>615</v>
      </c>
      <c r="S45" s="250" t="str">
        <f>IF(R45="-","-",'RD Strömungsnachw.'!$Q$16)</f>
        <v>Überdruck</v>
      </c>
      <c r="T45" s="188" t="s">
        <v>89</v>
      </c>
      <c r="U45"/>
      <c r="V45"/>
      <c r="W45"/>
      <c r="X45"/>
      <c r="Y45"/>
      <c r="Z45"/>
      <c r="AA45"/>
      <c r="AB45"/>
      <c r="AC45" s="352">
        <v>44</v>
      </c>
      <c r="AD45" s="347" t="s">
        <v>474</v>
      </c>
      <c r="AE45" s="348" t="s">
        <v>407</v>
      </c>
      <c r="AF45" s="353">
        <v>9.23</v>
      </c>
      <c r="AG45" s="353">
        <v>32.67</v>
      </c>
      <c r="AH45" s="328"/>
      <c r="BD45" s="252">
        <v>193</v>
      </c>
      <c r="BJ45" s="150" t="s">
        <v>128</v>
      </c>
    </row>
    <row r="46" spans="1:62" ht="15.45">
      <c r="A46" s="341"/>
      <c r="B46" s="204">
        <v>2</v>
      </c>
      <c r="C46" s="385">
        <v>14</v>
      </c>
      <c r="D46" s="386">
        <v>381239</v>
      </c>
      <c r="F46"/>
      <c r="G46">
        <v>2.5369999999999999</v>
      </c>
      <c r="H46"/>
      <c r="I46" s="981"/>
      <c r="J46" s="432"/>
      <c r="K46" s="361">
        <v>0</v>
      </c>
      <c r="L46" s="361">
        <v>0</v>
      </c>
      <c r="M46" s="324">
        <v>3</v>
      </c>
      <c r="N46" s="304"/>
      <c r="O46" s="187" t="s">
        <v>267</v>
      </c>
      <c r="P46" s="249" t="str">
        <f>'RD Strömungsnachw.'!M$18</f>
        <v>n.a.</v>
      </c>
      <c r="Q46" s="314" t="str">
        <f>$Q$44</f>
        <v>OP 1</v>
      </c>
      <c r="R46" s="315" t="s">
        <v>616</v>
      </c>
      <c r="S46" s="250" t="str">
        <f>IF(R46="-","-",'RD Strömungsnachw.'!$Q$18)</f>
        <v>Überdruck</v>
      </c>
      <c r="T46" s="188" t="s">
        <v>89</v>
      </c>
      <c r="U46"/>
      <c r="V46"/>
      <c r="W46"/>
      <c r="X46"/>
      <c r="Y46"/>
      <c r="Z46"/>
      <c r="AA46"/>
      <c r="AB46"/>
      <c r="AC46" s="352">
        <v>45</v>
      </c>
      <c r="AD46" s="347" t="s">
        <v>475</v>
      </c>
      <c r="AE46" s="348" t="s">
        <v>408</v>
      </c>
      <c r="AF46" s="353">
        <v>178.35</v>
      </c>
      <c r="AG46" s="353">
        <v>631.34</v>
      </c>
      <c r="AH46" s="328"/>
      <c r="BD46" s="254">
        <v>199</v>
      </c>
      <c r="BJ46" s="150" t="s">
        <v>268</v>
      </c>
    </row>
    <row r="47" spans="1:62" ht="16.399999999999999" customHeight="1">
      <c r="A47" s="341" t="s">
        <v>721</v>
      </c>
      <c r="B47" s="204">
        <v>3</v>
      </c>
      <c r="C47" s="385">
        <v>8</v>
      </c>
      <c r="D47" s="386">
        <v>432012</v>
      </c>
      <c r="F47"/>
      <c r="G47">
        <v>2.5369999999999999</v>
      </c>
      <c r="H47"/>
      <c r="I47" s="981"/>
      <c r="J47" s="432"/>
      <c r="K47" s="361">
        <v>0</v>
      </c>
      <c r="L47" s="361">
        <v>0</v>
      </c>
      <c r="M47" s="324">
        <v>4</v>
      </c>
      <c r="N47" s="304"/>
      <c r="U47"/>
      <c r="V47"/>
      <c r="W47"/>
      <c r="X47"/>
      <c r="Y47"/>
      <c r="Z47"/>
      <c r="AA47"/>
      <c r="AB47"/>
      <c r="AC47" s="352">
        <v>46</v>
      </c>
      <c r="AD47" s="347" t="s">
        <v>476</v>
      </c>
      <c r="AE47" s="348" t="s">
        <v>409</v>
      </c>
      <c r="AF47" s="353">
        <v>202.06</v>
      </c>
      <c r="AG47" s="353">
        <v>715.29</v>
      </c>
      <c r="AH47" s="328"/>
      <c r="BD47" s="255">
        <v>200</v>
      </c>
      <c r="BJ47" s="150" t="s">
        <v>269</v>
      </c>
    </row>
    <row r="48" spans="1:62" ht="15.9" thickBot="1">
      <c r="A48" s="332"/>
      <c r="B48" s="204">
        <v>4</v>
      </c>
      <c r="C48" s="385">
        <v>14</v>
      </c>
      <c r="D48" s="386">
        <v>407377</v>
      </c>
      <c r="F48"/>
      <c r="G48"/>
      <c r="H48"/>
      <c r="I48" s="981"/>
      <c r="J48" s="432"/>
      <c r="K48" s="361">
        <v>0</v>
      </c>
      <c r="L48" s="361">
        <v>0</v>
      </c>
      <c r="M48" s="985">
        <v>5</v>
      </c>
      <c r="N48" s="304"/>
      <c r="U48"/>
      <c r="V48"/>
      <c r="W48"/>
      <c r="X48"/>
      <c r="Y48"/>
      <c r="Z48"/>
      <c r="AA48"/>
      <c r="AB48"/>
      <c r="AC48" s="352">
        <v>47</v>
      </c>
      <c r="AD48" s="347" t="s">
        <v>451</v>
      </c>
      <c r="AE48" s="348" t="s">
        <v>410</v>
      </c>
      <c r="AF48" s="353">
        <v>1.97</v>
      </c>
      <c r="AG48" s="353">
        <v>6.97</v>
      </c>
      <c r="AH48" s="328"/>
      <c r="BJ48" s="150" t="s">
        <v>270</v>
      </c>
    </row>
    <row r="49" spans="1:62" ht="15" customHeight="1" thickTop="1" thickBot="1">
      <c r="A49" s="332"/>
      <c r="B49" s="204">
        <v>5</v>
      </c>
      <c r="C49" s="385"/>
      <c r="D49" s="386"/>
      <c r="F49"/>
      <c r="G49">
        <f>G46*G47</f>
        <v>6.436369</v>
      </c>
      <c r="H49"/>
      <c r="I49" s="304"/>
      <c r="J49" s="414">
        <f>J44+0.01</f>
        <v>158.01999999999998</v>
      </c>
      <c r="K49" s="361">
        <v>0</v>
      </c>
      <c r="L49" s="361">
        <v>0</v>
      </c>
      <c r="M49" s="984">
        <v>1</v>
      </c>
      <c r="N49" s="304"/>
      <c r="O49" s="415" t="s">
        <v>117</v>
      </c>
      <c r="P49" s="415"/>
      <c r="Q49" s="415"/>
      <c r="R49" s="415"/>
      <c r="S49" s="415"/>
      <c r="T49" s="415"/>
      <c r="U49"/>
      <c r="V49"/>
      <c r="W49"/>
      <c r="X49"/>
      <c r="Y49"/>
      <c r="Z49"/>
      <c r="AA49"/>
      <c r="AB49"/>
      <c r="AC49" s="352">
        <v>48</v>
      </c>
      <c r="AD49" s="347" t="s">
        <v>451</v>
      </c>
      <c r="AE49" s="348" t="s">
        <v>411</v>
      </c>
      <c r="AF49" s="353">
        <v>7.2</v>
      </c>
      <c r="AG49" s="353">
        <v>25.49</v>
      </c>
      <c r="AH49" s="328"/>
      <c r="BJ49" s="150" t="s">
        <v>271</v>
      </c>
    </row>
    <row r="50" spans="1:62" ht="15.9" thickTop="1">
      <c r="A50" s="332"/>
      <c r="B50" s="204">
        <v>6</v>
      </c>
      <c r="C50" s="385"/>
      <c r="D50" s="386"/>
      <c r="F50"/>
      <c r="G50"/>
      <c r="H50"/>
      <c r="I50" s="304"/>
      <c r="J50" s="414"/>
      <c r="K50" s="361">
        <v>0</v>
      </c>
      <c r="L50" s="361">
        <v>0</v>
      </c>
      <c r="M50" s="324">
        <v>2</v>
      </c>
      <c r="N50" s="304"/>
      <c r="O50" s="416" t="s">
        <v>108</v>
      </c>
      <c r="P50" s="416" t="s">
        <v>124</v>
      </c>
      <c r="Q50" s="416" t="s">
        <v>109</v>
      </c>
      <c r="R50" s="416" t="s">
        <v>110</v>
      </c>
      <c r="S50" s="417" t="s">
        <v>125</v>
      </c>
      <c r="T50" s="417"/>
      <c r="U50"/>
      <c r="V50"/>
      <c r="W50"/>
      <c r="X50"/>
      <c r="Y50"/>
      <c r="Z50"/>
      <c r="AA50"/>
      <c r="AB50"/>
      <c r="AC50" s="352">
        <v>49</v>
      </c>
      <c r="AD50" s="347" t="s">
        <v>477</v>
      </c>
      <c r="AE50" s="348" t="s">
        <v>412</v>
      </c>
      <c r="AF50" s="353">
        <v>35.549999999999997</v>
      </c>
      <c r="AG50" s="353">
        <v>125.83</v>
      </c>
      <c r="AH50" s="328" t="s">
        <v>478</v>
      </c>
      <c r="BJ50" s="150" t="s">
        <v>272</v>
      </c>
    </row>
    <row r="51" spans="1:62" ht="15.45">
      <c r="A51" s="332"/>
      <c r="B51" s="204">
        <v>7</v>
      </c>
      <c r="C51" s="385"/>
      <c r="D51" s="386"/>
      <c r="F51"/>
      <c r="G51"/>
      <c r="H51"/>
      <c r="I51" s="304"/>
      <c r="J51" s="414"/>
      <c r="K51" s="361">
        <v>0</v>
      </c>
      <c r="L51" s="361">
        <v>0</v>
      </c>
      <c r="M51" s="324">
        <v>3</v>
      </c>
      <c r="N51" s="304"/>
      <c r="O51" s="416"/>
      <c r="P51" s="416"/>
      <c r="Q51" s="416"/>
      <c r="R51" s="416"/>
      <c r="S51" s="202" t="s">
        <v>90</v>
      </c>
      <c r="T51" s="203" t="s">
        <v>86</v>
      </c>
      <c r="U51"/>
      <c r="V51"/>
      <c r="W51"/>
      <c r="X51"/>
      <c r="Y51"/>
      <c r="Z51"/>
      <c r="AA51"/>
      <c r="AB51"/>
      <c r="AC51" s="352">
        <v>50</v>
      </c>
      <c r="AD51" s="347" t="s">
        <v>479</v>
      </c>
      <c r="AE51" s="348" t="s">
        <v>413</v>
      </c>
      <c r="AF51" s="353">
        <v>12.96</v>
      </c>
      <c r="AG51" s="353">
        <v>45.86</v>
      </c>
      <c r="AH51" s="328"/>
      <c r="BJ51" s="150" t="s">
        <v>273</v>
      </c>
    </row>
    <row r="52" spans="1:62" ht="15.9" thickBot="1">
      <c r="A52" s="342"/>
      <c r="B52" s="330">
        <v>8</v>
      </c>
      <c r="C52" s="389"/>
      <c r="D52" s="390"/>
      <c r="F52"/>
      <c r="G52"/>
      <c r="H52"/>
      <c r="I52" s="304"/>
      <c r="J52" s="414"/>
      <c r="K52" s="361">
        <v>0</v>
      </c>
      <c r="L52" s="361">
        <v>0</v>
      </c>
      <c r="M52" s="324">
        <v>4</v>
      </c>
      <c r="N52" s="304"/>
      <c r="O52" s="150" t="str">
        <f>$O$44</f>
        <v>S 02</v>
      </c>
      <c r="P52" s="317" t="s">
        <v>4</v>
      </c>
      <c r="Q52" s="314" t="str">
        <f>$Q$44</f>
        <v>OP 1</v>
      </c>
      <c r="R52" s="314" t="str">
        <f>$R$44</f>
        <v>Flow-Zone 1</v>
      </c>
      <c r="S52" s="250" t="e">
        <f>'RD Strömungsnachw.'!#REF!</f>
        <v>#REF!</v>
      </c>
      <c r="T52" s="10" t="str">
        <f>T44</f>
        <v>Unterdruck</v>
      </c>
      <c r="U52"/>
      <c r="V52"/>
      <c r="W52"/>
      <c r="X52"/>
      <c r="Y52"/>
      <c r="Z52"/>
      <c r="AA52"/>
      <c r="AB52"/>
      <c r="AC52" s="352">
        <v>51</v>
      </c>
      <c r="AD52" s="347" t="s">
        <v>480</v>
      </c>
      <c r="AE52" s="348" t="s">
        <v>414</v>
      </c>
      <c r="AF52" s="353">
        <v>19.39</v>
      </c>
      <c r="AG52" s="353">
        <v>68.64</v>
      </c>
      <c r="AH52" s="328"/>
      <c r="BJ52" s="150" t="s">
        <v>274</v>
      </c>
    </row>
    <row r="53" spans="1:62" ht="15" customHeight="1" thickBot="1">
      <c r="A53" s="343">
        <f>$A$45+0.01</f>
        <v>158.01999999999998</v>
      </c>
      <c r="B53" s="329">
        <v>1</v>
      </c>
      <c r="C53" s="387">
        <v>8</v>
      </c>
      <c r="D53" s="388">
        <v>402038</v>
      </c>
      <c r="E53" s="150" t="str">
        <f>D40</f>
        <v xml:space="preserve">0762x0762x0078 [mm] </v>
      </c>
      <c r="F53"/>
      <c r="G53"/>
      <c r="H53"/>
      <c r="I53" s="304"/>
      <c r="J53" s="414"/>
      <c r="K53" s="361">
        <v>0</v>
      </c>
      <c r="L53" s="361">
        <v>0</v>
      </c>
      <c r="M53" s="985">
        <v>5</v>
      </c>
      <c r="N53" s="304"/>
      <c r="O53" s="150" t="str">
        <f>IF(O45=0,"",O45)</f>
        <v>S 03</v>
      </c>
      <c r="P53" s="317" t="s">
        <v>4</v>
      </c>
      <c r="Q53" s="314" t="str">
        <f>$Q$44</f>
        <v>OP 1</v>
      </c>
      <c r="R53" s="314" t="str">
        <f>$R$45</f>
        <v>Korridor</v>
      </c>
      <c r="S53" s="251" t="e">
        <f>'RD Strömungsnachw.'!#REF!</f>
        <v>#REF!</v>
      </c>
      <c r="T53" s="10" t="str">
        <f>IF(T45=0,"-",T45)</f>
        <v>Überdruck</v>
      </c>
      <c r="U53"/>
      <c r="V53"/>
      <c r="W53"/>
      <c r="X53"/>
      <c r="Y53"/>
      <c r="Z53"/>
      <c r="AA53"/>
      <c r="AB53"/>
      <c r="AC53" s="352">
        <v>52</v>
      </c>
      <c r="AD53" s="347" t="s">
        <v>461</v>
      </c>
      <c r="AE53" s="348" t="s">
        <v>415</v>
      </c>
      <c r="AF53" s="353">
        <v>5.17</v>
      </c>
      <c r="AG53" s="353">
        <v>18.3</v>
      </c>
      <c r="AH53" s="328"/>
      <c r="BJ53" s="150" t="s">
        <v>275</v>
      </c>
    </row>
    <row r="54" spans="1:62" ht="16.3" thickTop="1" thickBot="1">
      <c r="A54" s="332"/>
      <c r="B54" s="204">
        <v>2</v>
      </c>
      <c r="C54" s="385">
        <v>11</v>
      </c>
      <c r="D54" s="386">
        <v>395610</v>
      </c>
      <c r="F54"/>
      <c r="G54"/>
      <c r="H54"/>
      <c r="I54" s="304"/>
      <c r="J54" s="414">
        <f>J49+0.01</f>
        <v>158.02999999999997</v>
      </c>
      <c r="K54" s="361">
        <v>0</v>
      </c>
      <c r="L54" s="361">
        <v>0</v>
      </c>
      <c r="M54" s="984">
        <v>1</v>
      </c>
      <c r="N54" s="304"/>
      <c r="O54" s="150" t="str">
        <f>IF(O46=0,"",O46)</f>
        <v>S 42</v>
      </c>
      <c r="P54" s="317" t="s">
        <v>4</v>
      </c>
      <c r="Q54" s="314" t="str">
        <f>$Q$44</f>
        <v>OP 1</v>
      </c>
      <c r="R54" s="314" t="str">
        <f>$R$46</f>
        <v>Ausguss</v>
      </c>
      <c r="S54" s="251" t="e">
        <f>'RD Strömungsnachw.'!#REF!</f>
        <v>#REF!</v>
      </c>
      <c r="T54" s="10" t="str">
        <f>IF(T46=0,"-",T46)</f>
        <v>Überdruck</v>
      </c>
      <c r="U54"/>
      <c r="V54"/>
      <c r="W54"/>
      <c r="X54"/>
      <c r="Y54"/>
      <c r="Z54"/>
      <c r="AA54"/>
      <c r="AB54"/>
      <c r="AC54" s="352">
        <v>53</v>
      </c>
      <c r="AD54" s="347" t="s">
        <v>481</v>
      </c>
      <c r="AE54" s="348" t="s">
        <v>416</v>
      </c>
      <c r="AF54" s="353">
        <v>27.6</v>
      </c>
      <c r="AG54" s="353">
        <v>97.7</v>
      </c>
      <c r="AH54" s="328"/>
      <c r="BJ54" s="150" t="s">
        <v>276</v>
      </c>
    </row>
    <row r="55" spans="1:62" ht="18.649999999999999" customHeight="1" thickTop="1">
      <c r="A55" s="332"/>
      <c r="B55" s="204">
        <v>3</v>
      </c>
      <c r="C55" s="385">
        <v>10</v>
      </c>
      <c r="D55" s="386">
        <v>399077</v>
      </c>
      <c r="F55"/>
      <c r="G55"/>
      <c r="H55"/>
      <c r="I55" s="304"/>
      <c r="J55" s="414"/>
      <c r="K55" s="361">
        <v>0</v>
      </c>
      <c r="L55" s="361">
        <v>0</v>
      </c>
      <c r="M55" s="324">
        <v>2</v>
      </c>
      <c r="N55" s="304"/>
      <c r="U55"/>
      <c r="V55"/>
      <c r="W55"/>
      <c r="X55"/>
      <c r="Y55"/>
      <c r="Z55"/>
      <c r="AA55"/>
      <c r="AB55"/>
      <c r="AC55" s="352">
        <v>54</v>
      </c>
      <c r="AD55" s="347" t="s">
        <v>482</v>
      </c>
      <c r="AE55" s="348" t="s">
        <v>417</v>
      </c>
      <c r="AF55" s="353">
        <v>13.18</v>
      </c>
      <c r="AG55" s="353">
        <v>46.64</v>
      </c>
      <c r="AH55" s="328"/>
      <c r="BJ55" s="150" t="s">
        <v>277</v>
      </c>
    </row>
    <row r="56" spans="1:62" ht="15.45">
      <c r="A56" s="332"/>
      <c r="B56" s="204">
        <v>4</v>
      </c>
      <c r="C56" s="385">
        <v>3</v>
      </c>
      <c r="D56" s="386">
        <v>458290</v>
      </c>
      <c r="F56"/>
      <c r="G56"/>
      <c r="H56"/>
      <c r="I56" s="304"/>
      <c r="J56" s="414"/>
      <c r="K56" s="361">
        <v>0</v>
      </c>
      <c r="L56" s="361">
        <v>0</v>
      </c>
      <c r="M56" s="324">
        <v>3</v>
      </c>
      <c r="N56" s="304"/>
      <c r="U56"/>
      <c r="V56"/>
      <c r="W56"/>
      <c r="X56"/>
      <c r="Y56"/>
      <c r="Z56"/>
      <c r="AA56"/>
      <c r="AB56"/>
      <c r="AC56" s="352">
        <v>55</v>
      </c>
      <c r="AD56" s="347" t="s">
        <v>483</v>
      </c>
      <c r="AE56" s="348" t="s">
        <v>418</v>
      </c>
      <c r="AF56" s="353">
        <v>19.329999999999998</v>
      </c>
      <c r="AG56" s="353">
        <v>68.41</v>
      </c>
      <c r="AH56" s="328"/>
      <c r="BJ56" s="150" t="s">
        <v>278</v>
      </c>
    </row>
    <row r="57" spans="1:62" ht="15.45">
      <c r="A57" s="332"/>
      <c r="B57" s="204">
        <v>5</v>
      </c>
      <c r="C57" s="385"/>
      <c r="D57" s="386"/>
      <c r="F57"/>
      <c r="G57"/>
      <c r="H57"/>
      <c r="I57" s="304"/>
      <c r="J57" s="414"/>
      <c r="K57" s="361">
        <v>0</v>
      </c>
      <c r="L57" s="361">
        <v>0</v>
      </c>
      <c r="M57" s="324">
        <v>4</v>
      </c>
      <c r="N57" s="304"/>
      <c r="O57" s="415" t="s">
        <v>115</v>
      </c>
      <c r="P57" s="415"/>
      <c r="Q57" s="415"/>
      <c r="R57" s="415"/>
      <c r="S57" s="415"/>
      <c r="T57" s="415"/>
      <c r="U57"/>
      <c r="V57"/>
      <c r="W57"/>
      <c r="X57"/>
      <c r="Y57"/>
      <c r="Z57"/>
      <c r="AA57"/>
      <c r="AB57"/>
      <c r="AC57" s="352">
        <v>56</v>
      </c>
      <c r="AD57" s="347" t="s">
        <v>484</v>
      </c>
      <c r="AE57" s="348" t="s">
        <v>419</v>
      </c>
      <c r="AF57" s="353">
        <v>23.42</v>
      </c>
      <c r="AG57" s="353">
        <v>82.89</v>
      </c>
      <c r="AH57" s="328"/>
      <c r="BJ57" s="150" t="s">
        <v>279</v>
      </c>
    </row>
    <row r="58" spans="1:62" ht="15.9" thickBot="1">
      <c r="A58" s="332"/>
      <c r="B58" s="204">
        <v>6</v>
      </c>
      <c r="C58" s="385"/>
      <c r="D58" s="386"/>
      <c r="F58"/>
      <c r="G58"/>
      <c r="H58"/>
      <c r="I58" s="304"/>
      <c r="J58" s="414"/>
      <c r="K58" s="361">
        <v>0</v>
      </c>
      <c r="L58" s="361">
        <v>0</v>
      </c>
      <c r="M58" s="985">
        <v>5</v>
      </c>
      <c r="N58" s="304"/>
      <c r="O58" s="416" t="s">
        <v>108</v>
      </c>
      <c r="P58" s="416" t="s">
        <v>124</v>
      </c>
      <c r="Q58" s="416"/>
      <c r="R58" s="416"/>
      <c r="S58" s="417" t="s">
        <v>125</v>
      </c>
      <c r="T58" s="417"/>
      <c r="U58"/>
      <c r="V58"/>
      <c r="W58"/>
      <c r="X58"/>
      <c r="Y58"/>
      <c r="Z58"/>
      <c r="AA58"/>
      <c r="AB58"/>
      <c r="AC58" s="352">
        <v>57</v>
      </c>
      <c r="AD58" s="347" t="s">
        <v>485</v>
      </c>
      <c r="AE58" s="348" t="s">
        <v>420</v>
      </c>
      <c r="AF58" s="353">
        <v>9.16</v>
      </c>
      <c r="AG58" s="353">
        <v>32.409999999999997</v>
      </c>
      <c r="AH58" s="328"/>
      <c r="BJ58" s="150" t="s">
        <v>280</v>
      </c>
    </row>
    <row r="59" spans="1:62" ht="15.9" thickTop="1">
      <c r="A59" s="332"/>
      <c r="B59" s="204">
        <v>7</v>
      </c>
      <c r="C59" s="385"/>
      <c r="D59" s="386"/>
      <c r="F59"/>
      <c r="G59"/>
      <c r="H59"/>
      <c r="I59" s="304"/>
      <c r="J59" t="s">
        <v>739</v>
      </c>
      <c r="K59" t="s">
        <v>740</v>
      </c>
      <c r="L59"/>
      <c r="M59" s="324"/>
      <c r="N59" s="304"/>
      <c r="O59" s="416"/>
      <c r="P59" s="416"/>
      <c r="Q59" s="416"/>
      <c r="R59" s="416"/>
      <c r="S59" s="202" t="s">
        <v>90</v>
      </c>
      <c r="T59" s="203" t="s">
        <v>86</v>
      </c>
      <c r="U59"/>
      <c r="V59"/>
      <c r="W59"/>
      <c r="X59"/>
      <c r="Y59"/>
      <c r="Z59"/>
      <c r="AA59"/>
      <c r="AB59"/>
      <c r="AC59" s="352">
        <v>58</v>
      </c>
      <c r="AD59" s="347" t="s">
        <v>486</v>
      </c>
      <c r="AE59" s="348" t="s">
        <v>421</v>
      </c>
      <c r="AF59" s="353">
        <v>51.94</v>
      </c>
      <c r="AG59" s="353">
        <v>183.87</v>
      </c>
      <c r="AH59" s="328"/>
      <c r="BJ59" s="150" t="s">
        <v>281</v>
      </c>
    </row>
    <row r="60" spans="1:62" ht="15.9" thickBot="1">
      <c r="A60" s="332"/>
      <c r="B60" s="204">
        <v>8</v>
      </c>
      <c r="C60" s="391"/>
      <c r="D60" s="386"/>
      <c r="F60"/>
      <c r="G60"/>
      <c r="H60"/>
      <c r="I60" s="304"/>
      <c r="J60"/>
      <c r="K60"/>
      <c r="L60"/>
      <c r="M60" s="324"/>
      <c r="N60" s="304"/>
      <c r="O60" s="150" t="s">
        <v>116</v>
      </c>
      <c r="P60" s="317" t="s">
        <v>4</v>
      </c>
      <c r="S60" s="250" t="e">
        <f>'RD Strömungsnachw.'!#REF!</f>
        <v>#REF!</v>
      </c>
      <c r="T60" s="268" t="s">
        <v>114</v>
      </c>
      <c r="U60"/>
      <c r="V60"/>
      <c r="W60"/>
      <c r="X60"/>
      <c r="Y60"/>
      <c r="Z60"/>
      <c r="AA60"/>
      <c r="AB60"/>
      <c r="AC60" s="352">
        <v>59</v>
      </c>
      <c r="AD60" s="347" t="s">
        <v>487</v>
      </c>
      <c r="AE60" s="348" t="s">
        <v>422</v>
      </c>
      <c r="AF60" s="353">
        <v>50.92</v>
      </c>
      <c r="AG60" s="353">
        <v>180.26</v>
      </c>
      <c r="AH60" s="328"/>
      <c r="BJ60" s="150" t="s">
        <v>282</v>
      </c>
    </row>
    <row r="61" spans="1:62" ht="20.149999999999999" customHeight="1">
      <c r="A61" s="343">
        <f>$A$53+0.01</f>
        <v>158.02999999999997</v>
      </c>
      <c r="B61" s="331">
        <v>1</v>
      </c>
      <c r="C61" s="383">
        <v>77</v>
      </c>
      <c r="D61" s="383">
        <v>398840</v>
      </c>
      <c r="E61" s="150" t="str">
        <f>D40</f>
        <v xml:space="preserve">0762x0762x0078 [mm] </v>
      </c>
      <c r="F61"/>
      <c r="G61"/>
      <c r="H61"/>
      <c r="I61" s="304"/>
      <c r="J61"/>
      <c r="K61"/>
      <c r="L61"/>
      <c r="M61" s="324"/>
      <c r="N61" s="304"/>
      <c r="O61" t="s">
        <v>599</v>
      </c>
      <c r="P61"/>
      <c r="Q61"/>
      <c r="R61"/>
      <c r="S61" s="250" t="e">
        <f>'RD Strömungsnachw.'!#REF!</f>
        <v>#REF!</v>
      </c>
      <c r="T61" t="s">
        <v>114</v>
      </c>
      <c r="U61"/>
      <c r="V61"/>
      <c r="W61"/>
      <c r="X61"/>
      <c r="Y61"/>
      <c r="Z61"/>
      <c r="AA61"/>
      <c r="AB61"/>
      <c r="AC61" s="352">
        <v>60</v>
      </c>
      <c r="AD61" s="347" t="s">
        <v>488</v>
      </c>
      <c r="AE61" s="348" t="s">
        <v>423</v>
      </c>
      <c r="AF61" s="353">
        <v>19.77</v>
      </c>
      <c r="AG61" s="353">
        <v>69.989999999999995</v>
      </c>
      <c r="AH61" s="328"/>
      <c r="BJ61" s="150" t="s">
        <v>283</v>
      </c>
    </row>
    <row r="62" spans="1:62" ht="15.65" customHeight="1">
      <c r="A62" s="332"/>
      <c r="B62" s="204">
        <v>2</v>
      </c>
      <c r="C62" s="385">
        <v>4</v>
      </c>
      <c r="D62" s="386">
        <v>425996</v>
      </c>
      <c r="F62"/>
      <c r="G62"/>
      <c r="H62"/>
      <c r="I62" s="304"/>
      <c r="J62"/>
      <c r="K62"/>
      <c r="L62"/>
      <c r="M62" s="324"/>
      <c r="N62" s="304"/>
      <c r="U62"/>
      <c r="V62"/>
      <c r="W62"/>
      <c r="X62"/>
      <c r="Y62"/>
      <c r="Z62"/>
      <c r="AA62"/>
      <c r="AB62"/>
      <c r="AC62" s="352">
        <v>61</v>
      </c>
      <c r="AD62" s="347" t="s">
        <v>489</v>
      </c>
      <c r="AE62" s="348" t="s">
        <v>424</v>
      </c>
      <c r="AF62" s="353">
        <v>247.77</v>
      </c>
      <c r="AG62" s="353">
        <v>877.11</v>
      </c>
      <c r="AH62" s="328"/>
      <c r="BJ62" s="150" t="s">
        <v>284</v>
      </c>
    </row>
    <row r="63" spans="1:62" ht="15" customHeight="1">
      <c r="A63" s="332"/>
      <c r="B63" s="204">
        <v>3</v>
      </c>
      <c r="C63" s="385">
        <v>5</v>
      </c>
      <c r="D63" s="386">
        <v>402400</v>
      </c>
      <c r="F63"/>
      <c r="G63"/>
      <c r="H63"/>
      <c r="I63" s="304"/>
      <c r="J63"/>
      <c r="K63"/>
      <c r="L63"/>
      <c r="M63" s="324"/>
      <c r="N63" s="304"/>
      <c r="U63"/>
      <c r="V63"/>
      <c r="W63"/>
      <c r="X63"/>
      <c r="Y63"/>
      <c r="Z63"/>
      <c r="AA63"/>
      <c r="AB63"/>
      <c r="AC63" s="352">
        <v>62</v>
      </c>
      <c r="AD63" s="347" t="s">
        <v>489</v>
      </c>
      <c r="AE63" s="348" t="s">
        <v>425</v>
      </c>
      <c r="AF63" s="353">
        <v>216.33</v>
      </c>
      <c r="AG63" s="353">
        <v>765.79</v>
      </c>
      <c r="AH63" s="328"/>
      <c r="BJ63" s="150" t="s">
        <v>285</v>
      </c>
    </row>
    <row r="64" spans="1:62" ht="15.45">
      <c r="A64" s="332"/>
      <c r="B64" s="204">
        <v>4</v>
      </c>
      <c r="C64" s="385">
        <v>5</v>
      </c>
      <c r="D64" s="386">
        <v>426741</v>
      </c>
      <c r="F64"/>
      <c r="G64"/>
      <c r="H64"/>
      <c r="I64" s="304"/>
      <c r="J64"/>
      <c r="K64"/>
      <c r="L64"/>
      <c r="M64" s="324"/>
      <c r="N64" s="304"/>
      <c r="U64"/>
      <c r="V64"/>
      <c r="W64"/>
      <c r="X64"/>
      <c r="Y64"/>
      <c r="Z64"/>
      <c r="AA64"/>
      <c r="AB64"/>
      <c r="BJ64" s="150" t="s">
        <v>286</v>
      </c>
    </row>
    <row r="65" spans="1:62" ht="15.45">
      <c r="A65" s="332"/>
      <c r="B65" s="204">
        <v>5</v>
      </c>
      <c r="C65" s="385"/>
      <c r="D65" s="386"/>
      <c r="F65"/>
      <c r="G65"/>
      <c r="H65"/>
      <c r="I65" s="304"/>
      <c r="J65"/>
      <c r="K65"/>
      <c r="L65"/>
      <c r="M65" s="324"/>
      <c r="N65" s="304"/>
      <c r="U65"/>
      <c r="V65"/>
      <c r="W65"/>
      <c r="X65"/>
      <c r="Y65"/>
      <c r="Z65"/>
      <c r="AA65"/>
      <c r="AB65"/>
      <c r="BJ65" s="150" t="s">
        <v>287</v>
      </c>
    </row>
    <row r="66" spans="1:62" ht="15.45">
      <c r="A66" s="332"/>
      <c r="B66" s="204">
        <v>6</v>
      </c>
      <c r="C66" s="385"/>
      <c r="D66" s="386"/>
      <c r="F66"/>
      <c r="G66"/>
      <c r="H66"/>
      <c r="I66" s="304"/>
      <c r="J66"/>
      <c r="K66"/>
      <c r="L66"/>
      <c r="M66" s="324"/>
      <c r="N66" s="304"/>
      <c r="U66"/>
      <c r="V66"/>
      <c r="W66"/>
      <c r="X66"/>
      <c r="Y66"/>
      <c r="Z66"/>
      <c r="AA66"/>
      <c r="AB66"/>
      <c r="BJ66" s="150" t="s">
        <v>288</v>
      </c>
    </row>
    <row r="67" spans="1:62" ht="15.45">
      <c r="A67" s="332"/>
      <c r="B67" s="204">
        <v>7</v>
      </c>
      <c r="C67" s="385"/>
      <c r="D67" s="386"/>
      <c r="F67"/>
      <c r="G67"/>
      <c r="H67"/>
      <c r="I67" s="304"/>
      <c r="J67"/>
      <c r="K67"/>
      <c r="L67"/>
      <c r="M67" s="324"/>
      <c r="N67" s="304"/>
      <c r="U67"/>
      <c r="V67"/>
      <c r="W67"/>
      <c r="X67"/>
      <c r="Y67"/>
      <c r="Z67"/>
      <c r="AA67"/>
      <c r="AB67"/>
      <c r="BJ67" s="150" t="s">
        <v>289</v>
      </c>
    </row>
    <row r="68" spans="1:62" ht="15.9" thickBot="1">
      <c r="A68" s="333"/>
      <c r="B68" s="334">
        <v>8</v>
      </c>
      <c r="C68" s="393"/>
      <c r="D68" s="394"/>
      <c r="F68"/>
      <c r="G68"/>
      <c r="H68"/>
      <c r="I68" s="304"/>
      <c r="J68"/>
      <c r="K68"/>
      <c r="L68"/>
      <c r="M68" s="324"/>
      <c r="N68" s="304"/>
      <c r="U68"/>
      <c r="V68"/>
      <c r="W68"/>
      <c r="X68"/>
      <c r="Y68"/>
      <c r="Z68"/>
      <c r="AA68"/>
      <c r="AB68"/>
      <c r="BJ68" s="150" t="s">
        <v>290</v>
      </c>
    </row>
    <row r="69" spans="1:62" ht="15.45">
      <c r="A69" s="343">
        <f>$A$61+0.01</f>
        <v>158.03999999999996</v>
      </c>
      <c r="B69" s="331">
        <v>1</v>
      </c>
      <c r="C69" s="383">
        <v>312</v>
      </c>
      <c r="D69" s="384">
        <v>395479</v>
      </c>
      <c r="F69"/>
      <c r="G69"/>
      <c r="H69"/>
      <c r="I69" s="304"/>
      <c r="L69" s="324"/>
      <c r="M69" s="324"/>
      <c r="N69" s="304"/>
      <c r="U69"/>
      <c r="V69"/>
      <c r="W69"/>
      <c r="X69"/>
      <c r="Y69"/>
      <c r="Z69"/>
      <c r="AA69"/>
      <c r="AB69"/>
      <c r="BJ69" s="150" t="s">
        <v>291</v>
      </c>
    </row>
    <row r="70" spans="1:62" ht="15.45">
      <c r="A70" s="332"/>
      <c r="B70" s="204">
        <v>2</v>
      </c>
      <c r="C70" s="385">
        <v>2</v>
      </c>
      <c r="D70" s="386">
        <v>401771</v>
      </c>
      <c r="F70"/>
      <c r="G70"/>
      <c r="H70"/>
      <c r="I70" s="304"/>
      <c r="L70" s="324"/>
      <c r="M70" s="324"/>
      <c r="N70" s="304"/>
      <c r="O70"/>
      <c r="P70"/>
      <c r="Q70"/>
      <c r="R70"/>
      <c r="T70"/>
      <c r="U70"/>
      <c r="V70"/>
      <c r="W70"/>
      <c r="X70"/>
      <c r="Y70"/>
      <c r="Z70"/>
      <c r="AA70"/>
      <c r="AB70"/>
      <c r="BJ70" s="150" t="s">
        <v>292</v>
      </c>
    </row>
    <row r="71" spans="1:62" ht="15.45">
      <c r="A71" s="332"/>
      <c r="B71" s="204">
        <v>3</v>
      </c>
      <c r="C71" s="385">
        <v>6</v>
      </c>
      <c r="D71" s="386">
        <v>391068</v>
      </c>
      <c r="F71"/>
      <c r="G71"/>
      <c r="H71"/>
      <c r="I71" s="304"/>
      <c r="L71" s="324"/>
      <c r="M71" s="324"/>
      <c r="N71" s="304"/>
      <c r="O71"/>
      <c r="P71"/>
      <c r="Q71"/>
      <c r="R71"/>
      <c r="T71"/>
      <c r="U71"/>
      <c r="V71"/>
      <c r="W71"/>
      <c r="X71"/>
      <c r="Y71"/>
      <c r="Z71"/>
      <c r="AA71"/>
      <c r="AB71"/>
      <c r="BJ71" s="150" t="s">
        <v>293</v>
      </c>
    </row>
    <row r="72" spans="1:62" ht="15" customHeight="1">
      <c r="A72" s="332"/>
      <c r="B72" s="204">
        <v>4</v>
      </c>
      <c r="C72" s="385">
        <v>2</v>
      </c>
      <c r="D72" s="386">
        <v>385644</v>
      </c>
      <c r="F72"/>
      <c r="G72"/>
      <c r="H72"/>
      <c r="I72" s="304"/>
      <c r="L72" s="324"/>
      <c r="M72" s="324"/>
      <c r="N72" s="304"/>
      <c r="O72"/>
      <c r="P72"/>
      <c r="Q72"/>
      <c r="R72"/>
      <c r="T72"/>
      <c r="U72"/>
      <c r="V72"/>
      <c r="W72"/>
      <c r="X72"/>
      <c r="Y72"/>
      <c r="Z72"/>
      <c r="AA72"/>
      <c r="AB72"/>
    </row>
    <row r="73" spans="1:62" ht="15.45">
      <c r="A73" s="332"/>
      <c r="B73" s="204">
        <v>5</v>
      </c>
      <c r="C73" s="385"/>
      <c r="D73" s="386"/>
      <c r="F73"/>
      <c r="G73"/>
      <c r="H73"/>
      <c r="I73" s="304"/>
      <c r="L73" s="324"/>
      <c r="M73" s="324"/>
      <c r="N73" s="304"/>
      <c r="O73"/>
      <c r="P73"/>
      <c r="Q73"/>
      <c r="R73"/>
      <c r="T73"/>
      <c r="U73"/>
      <c r="V73"/>
      <c r="W73"/>
      <c r="X73"/>
      <c r="Y73"/>
      <c r="Z73"/>
      <c r="AA73"/>
      <c r="AB73"/>
    </row>
    <row r="74" spans="1:62" ht="15.45">
      <c r="A74" s="332"/>
      <c r="B74" s="204">
        <v>6</v>
      </c>
      <c r="C74" s="385"/>
      <c r="D74" s="386"/>
      <c r="F74"/>
      <c r="G74"/>
      <c r="H74"/>
      <c r="I74" s="304"/>
      <c r="L74" s="324"/>
      <c r="M74" s="324"/>
      <c r="N74" s="304"/>
      <c r="O74"/>
      <c r="P74"/>
      <c r="Q74"/>
      <c r="R74"/>
      <c r="T74"/>
      <c r="U74"/>
      <c r="V74"/>
      <c r="W74"/>
      <c r="X74"/>
      <c r="Y74"/>
      <c r="Z74"/>
      <c r="AA74"/>
      <c r="AB74"/>
    </row>
    <row r="75" spans="1:62" ht="15.45">
      <c r="A75" s="332"/>
      <c r="B75" s="204">
        <v>7</v>
      </c>
      <c r="C75" s="385"/>
      <c r="D75" s="386"/>
      <c r="F75"/>
      <c r="G75"/>
      <c r="H75"/>
      <c r="I75" s="304"/>
      <c r="L75" s="324"/>
      <c r="M75" s="324"/>
      <c r="N75" s="304"/>
      <c r="O75"/>
      <c r="P75"/>
      <c r="Q75"/>
      <c r="R75"/>
      <c r="T75"/>
      <c r="U75"/>
      <c r="V75"/>
      <c r="W75"/>
      <c r="X75"/>
      <c r="Y75"/>
      <c r="Z75"/>
      <c r="AA75"/>
      <c r="AB75"/>
    </row>
    <row r="76" spans="1:62" ht="15.45">
      <c r="A76" s="332"/>
      <c r="B76" s="204">
        <v>8</v>
      </c>
      <c r="C76" s="391"/>
      <c r="D76" s="392"/>
      <c r="F76"/>
      <c r="G76"/>
      <c r="H76"/>
      <c r="I76" s="304"/>
      <c r="J76" s="261" t="s">
        <v>69</v>
      </c>
      <c r="K76" s="260" t="s">
        <v>80</v>
      </c>
      <c r="L76" s="313" t="s">
        <v>140</v>
      </c>
      <c r="M76" s="201" t="s">
        <v>78</v>
      </c>
      <c r="N76" s="304"/>
      <c r="O76"/>
      <c r="P76"/>
      <c r="Q76"/>
      <c r="R76"/>
      <c r="T76"/>
      <c r="U76"/>
      <c r="V76"/>
      <c r="W76"/>
      <c r="X76"/>
      <c r="Y76"/>
      <c r="Z76"/>
      <c r="AA76"/>
      <c r="AB76"/>
    </row>
    <row r="77" spans="1:62" ht="15.45">
      <c r="A77" s="335">
        <f>A69+0.01</f>
        <v>158.04999999999995</v>
      </c>
      <c r="B77" s="337">
        <v>1</v>
      </c>
      <c r="C77" s="383">
        <v>15</v>
      </c>
      <c r="D77" s="384">
        <v>453328</v>
      </c>
      <c r="F77"/>
      <c r="G77"/>
      <c r="H77"/>
      <c r="I77" s="304"/>
      <c r="J77" s="414" t="s">
        <v>139</v>
      </c>
      <c r="K77" s="419" t="s">
        <v>17</v>
      </c>
      <c r="L77" s="419" t="s">
        <v>18</v>
      </c>
      <c r="M77" s="324"/>
      <c r="N77" s="304"/>
      <c r="O77"/>
      <c r="P77"/>
      <c r="Q77"/>
      <c r="R77"/>
      <c r="T77"/>
      <c r="U77"/>
      <c r="V77"/>
      <c r="W77"/>
      <c r="X77"/>
      <c r="Y77"/>
      <c r="Z77"/>
      <c r="AA77"/>
      <c r="AB77"/>
    </row>
    <row r="78" spans="1:62" ht="15.45">
      <c r="A78" s="332"/>
      <c r="B78" s="338">
        <v>2</v>
      </c>
      <c r="C78" s="385">
        <v>6</v>
      </c>
      <c r="D78" s="386">
        <v>432821</v>
      </c>
      <c r="F78"/>
      <c r="G78"/>
      <c r="H78"/>
      <c r="I78" s="304"/>
      <c r="J78" s="414"/>
      <c r="K78" s="419"/>
      <c r="L78" s="419"/>
      <c r="M78" s="324"/>
      <c r="N78" s="304"/>
      <c r="O78"/>
      <c r="P78"/>
      <c r="Q78"/>
      <c r="R78"/>
      <c r="T78"/>
      <c r="U78"/>
      <c r="V78"/>
      <c r="W78"/>
      <c r="X78"/>
      <c r="Y78"/>
      <c r="Z78"/>
      <c r="AA78"/>
      <c r="AB78"/>
    </row>
    <row r="79" spans="1:62" ht="15.45">
      <c r="A79" s="332"/>
      <c r="B79" s="338">
        <v>3</v>
      </c>
      <c r="C79" s="385">
        <v>8</v>
      </c>
      <c r="D79" s="386">
        <v>434452</v>
      </c>
      <c r="F79"/>
      <c r="G79"/>
      <c r="H79"/>
      <c r="I79" s="304"/>
      <c r="J79" s="431">
        <f>J44+0.1</f>
        <v>158.10999999999999</v>
      </c>
      <c r="K79" s="399">
        <v>2260.2062438197499</v>
      </c>
      <c r="L79" s="399">
        <v>282.52578047746903</v>
      </c>
      <c r="M79" s="324"/>
      <c r="N79" s="304"/>
      <c r="O79"/>
      <c r="P79"/>
      <c r="Q79"/>
      <c r="R79"/>
      <c r="T79"/>
      <c r="U79"/>
      <c r="V79"/>
      <c r="W79"/>
      <c r="X79"/>
      <c r="Y79"/>
      <c r="Z79"/>
      <c r="AA79"/>
      <c r="AB79"/>
    </row>
    <row r="80" spans="1:62" ht="15.45">
      <c r="A80" s="332"/>
      <c r="B80" s="338">
        <v>4</v>
      </c>
      <c r="C80" s="385">
        <v>9</v>
      </c>
      <c r="D80" s="386">
        <v>381789</v>
      </c>
      <c r="F80"/>
      <c r="G80"/>
      <c r="H80"/>
      <c r="I80" s="304"/>
      <c r="J80" s="431"/>
      <c r="K80" s="399">
        <v>353.15722559683599</v>
      </c>
      <c r="L80" s="399">
        <v>141.262890238734</v>
      </c>
      <c r="M80" s="324"/>
      <c r="N80" s="304"/>
      <c r="O80"/>
      <c r="P80"/>
      <c r="Q80"/>
      <c r="R80"/>
      <c r="T80"/>
      <c r="U80"/>
      <c r="V80"/>
      <c r="W80"/>
      <c r="X80"/>
      <c r="Y80"/>
      <c r="Z80"/>
      <c r="AA80"/>
      <c r="AB80"/>
    </row>
    <row r="81" spans="1:32" ht="15.45">
      <c r="A81" s="332"/>
      <c r="B81" s="338">
        <v>5</v>
      </c>
      <c r="C81" s="385">
        <v>12</v>
      </c>
      <c r="D81" s="386">
        <v>362922</v>
      </c>
      <c r="F81"/>
      <c r="G81"/>
      <c r="H81"/>
      <c r="I81" s="304"/>
      <c r="J81" s="431"/>
      <c r="K81" s="399">
        <v>141.262890238734</v>
      </c>
      <c r="L81" s="399">
        <v>70.6314451193671</v>
      </c>
      <c r="M81" s="324"/>
      <c r="N81" s="304"/>
      <c r="O81"/>
      <c r="P81"/>
      <c r="Q81"/>
      <c r="R81"/>
      <c r="T81"/>
      <c r="U81"/>
      <c r="V81"/>
      <c r="W81"/>
      <c r="X81"/>
      <c r="Y81"/>
      <c r="Z81"/>
      <c r="AA81"/>
      <c r="AB81"/>
    </row>
    <row r="82" spans="1:32" ht="15.45">
      <c r="A82" s="332"/>
      <c r="B82" s="338">
        <v>6</v>
      </c>
      <c r="C82" s="385"/>
      <c r="D82" s="386"/>
      <c r="F82"/>
      <c r="G82"/>
      <c r="H82"/>
      <c r="I82" s="304"/>
      <c r="J82" s="414">
        <f>J79+0.01</f>
        <v>158.11999999999998</v>
      </c>
      <c r="K82" s="399">
        <v>3566.8879785280401</v>
      </c>
      <c r="L82" s="399">
        <v>847.577341432406</v>
      </c>
      <c r="M82" s="324"/>
      <c r="N82" s="304"/>
      <c r="T82"/>
      <c r="U82"/>
      <c r="V82"/>
      <c r="W82"/>
      <c r="X82"/>
      <c r="Y82"/>
      <c r="Z82"/>
      <c r="AA82"/>
      <c r="AB82"/>
    </row>
    <row r="83" spans="1:32" ht="15.45">
      <c r="A83" s="332"/>
      <c r="B83" s="338">
        <v>7</v>
      </c>
      <c r="C83" s="385"/>
      <c r="D83" s="386"/>
      <c r="F83"/>
      <c r="G83"/>
      <c r="H83"/>
      <c r="I83" s="304"/>
      <c r="J83" s="414"/>
      <c r="K83" s="399">
        <v>317.84150303715199</v>
      </c>
      <c r="L83" s="399">
        <v>35.3157225596836</v>
      </c>
      <c r="M83" s="324"/>
      <c r="N83" s="304"/>
      <c r="T83"/>
      <c r="U83"/>
      <c r="V83"/>
      <c r="W83"/>
      <c r="X83"/>
      <c r="Y83"/>
      <c r="Z83"/>
      <c r="AA83"/>
      <c r="AB83"/>
    </row>
    <row r="84" spans="1:32" ht="15.45">
      <c r="A84" s="332"/>
      <c r="B84" s="338">
        <v>8</v>
      </c>
      <c r="C84" s="385"/>
      <c r="D84" s="386"/>
      <c r="F84"/>
      <c r="G84"/>
      <c r="H84"/>
      <c r="I84" s="304"/>
      <c r="J84" s="414"/>
      <c r="K84" s="399">
        <v>1024.15595423082</v>
      </c>
      <c r="L84" s="399">
        <v>211.89433535810099</v>
      </c>
      <c r="M84" s="324"/>
      <c r="N84" s="304"/>
      <c r="T84"/>
      <c r="U84"/>
      <c r="V84"/>
      <c r="W84"/>
      <c r="X84"/>
      <c r="Y84"/>
      <c r="Z84"/>
      <c r="AA84"/>
      <c r="AB84"/>
    </row>
    <row r="85" spans="1:32" ht="15.45">
      <c r="A85" s="336"/>
      <c r="B85" s="339">
        <v>9</v>
      </c>
      <c r="C85" s="395"/>
      <c r="D85" s="396"/>
      <c r="F85"/>
      <c r="G85"/>
      <c r="H85"/>
      <c r="I85" s="304"/>
      <c r="J85" s="414">
        <f>J82+0.01</f>
        <v>158.12999999999997</v>
      </c>
      <c r="K85" s="399">
        <v>2719.3106370956302</v>
      </c>
      <c r="L85" s="399">
        <v>494.42011583557002</v>
      </c>
      <c r="M85" s="324"/>
      <c r="N85" s="304"/>
      <c r="T85"/>
      <c r="U85"/>
      <c r="V85"/>
      <c r="W85"/>
      <c r="X85"/>
      <c r="Y85"/>
      <c r="Z85"/>
      <c r="AA85"/>
      <c r="AB85"/>
    </row>
    <row r="86" spans="1:32" ht="15.45">
      <c r="A86" s="335">
        <f>A77+0.01</f>
        <v>158.05999999999995</v>
      </c>
      <c r="B86" s="337">
        <v>1</v>
      </c>
      <c r="C86" s="383">
        <v>12</v>
      </c>
      <c r="D86" s="384">
        <v>475522</v>
      </c>
      <c r="F86"/>
      <c r="G86"/>
      <c r="H86"/>
      <c r="I86" s="304"/>
      <c r="J86" s="414"/>
      <c r="K86" s="399">
        <v>282.52578047746903</v>
      </c>
      <c r="L86" s="399">
        <v>0</v>
      </c>
      <c r="M86" s="324"/>
      <c r="N86" s="304"/>
      <c r="T86"/>
      <c r="U86"/>
      <c r="V86"/>
      <c r="W86"/>
      <c r="X86"/>
      <c r="Y86"/>
      <c r="Z86"/>
      <c r="AA86"/>
      <c r="AB86"/>
    </row>
    <row r="87" spans="1:32" ht="15.45">
      <c r="A87" s="332"/>
      <c r="B87" s="338">
        <v>2</v>
      </c>
      <c r="C87" s="385">
        <v>14</v>
      </c>
      <c r="D87" s="386">
        <v>434080</v>
      </c>
      <c r="F87"/>
      <c r="G87"/>
      <c r="H87"/>
      <c r="I87" s="304"/>
      <c r="J87" s="414"/>
      <c r="K87" s="399">
        <v>1341.9974572679801</v>
      </c>
      <c r="L87" s="399">
        <v>176.57861279841799</v>
      </c>
      <c r="M87" s="324"/>
      <c r="N87" s="304"/>
      <c r="T87"/>
      <c r="U87"/>
      <c r="V87"/>
      <c r="W87"/>
      <c r="X87"/>
      <c r="Y87"/>
      <c r="Z87"/>
      <c r="AA87"/>
      <c r="AB87"/>
    </row>
    <row r="88" spans="1:32" ht="15.45">
      <c r="A88" s="332"/>
      <c r="B88" s="338">
        <v>3</v>
      </c>
      <c r="C88" s="385">
        <v>5</v>
      </c>
      <c r="D88" s="386">
        <v>461195</v>
      </c>
      <c r="F88"/>
      <c r="G88"/>
      <c r="H88"/>
      <c r="I88" s="304"/>
      <c r="J88" s="414">
        <f>J85+0.01</f>
        <v>158.13999999999996</v>
      </c>
      <c r="K88" s="399">
        <v>1236.0502895889199</v>
      </c>
      <c r="L88" s="399">
        <v>282.52578047746903</v>
      </c>
      <c r="M88" s="324"/>
      <c r="N88" s="304"/>
      <c r="T88"/>
      <c r="U88"/>
      <c r="V88"/>
      <c r="W88"/>
      <c r="X88"/>
      <c r="Y88"/>
      <c r="Z88"/>
      <c r="AA88"/>
      <c r="AB88"/>
    </row>
    <row r="89" spans="1:32" ht="15.45">
      <c r="A89" s="332"/>
      <c r="B89" s="338">
        <v>4</v>
      </c>
      <c r="C89" s="385">
        <v>6</v>
      </c>
      <c r="D89" s="386">
        <v>480323</v>
      </c>
      <c r="F89"/>
      <c r="G89"/>
      <c r="H89"/>
      <c r="I89" s="304"/>
      <c r="J89" s="414"/>
      <c r="K89" s="399">
        <v>282.52578047746903</v>
      </c>
      <c r="L89" s="399">
        <v>0</v>
      </c>
      <c r="M89" s="324"/>
      <c r="N89" s="304"/>
      <c r="T89"/>
      <c r="U89"/>
      <c r="V89"/>
      <c r="W89"/>
      <c r="X89"/>
      <c r="Y89"/>
      <c r="Z89"/>
      <c r="AA89"/>
      <c r="AB89"/>
    </row>
    <row r="90" spans="1:32" ht="15.45">
      <c r="A90" s="332"/>
      <c r="B90" s="338">
        <v>5</v>
      </c>
      <c r="C90" s="385">
        <v>16</v>
      </c>
      <c r="D90" s="386">
        <v>461144</v>
      </c>
      <c r="F90"/>
      <c r="G90"/>
      <c r="H90"/>
      <c r="I90" s="304"/>
      <c r="J90" s="414"/>
      <c r="K90" s="399">
        <v>105.94716767905101</v>
      </c>
      <c r="L90" s="399">
        <v>35.3157225596836</v>
      </c>
      <c r="M90" s="324"/>
      <c r="N90" s="304"/>
      <c r="T90"/>
      <c r="U90"/>
      <c r="V90"/>
      <c r="W90"/>
      <c r="X90"/>
      <c r="Y90"/>
      <c r="Z90"/>
      <c r="AA90"/>
      <c r="AB90"/>
    </row>
    <row r="91" spans="1:32" ht="15.45">
      <c r="A91" s="332"/>
      <c r="B91" s="338">
        <v>6</v>
      </c>
      <c r="C91" s="385"/>
      <c r="D91" s="386"/>
      <c r="F91"/>
      <c r="G91"/>
      <c r="H91"/>
      <c r="I91" s="304"/>
      <c r="J91" s="414">
        <f>J88+0.01</f>
        <v>158.14999999999995</v>
      </c>
      <c r="K91" s="399">
        <v>3037.15214013279</v>
      </c>
      <c r="L91" s="399">
        <v>423.788670716203</v>
      </c>
      <c r="M91" s="324"/>
      <c r="N91" s="304"/>
      <c r="T91"/>
      <c r="U91"/>
      <c r="V91"/>
      <c r="W91"/>
      <c r="X91"/>
      <c r="Y91"/>
      <c r="Z91"/>
      <c r="AA91"/>
      <c r="AB91"/>
    </row>
    <row r="92" spans="1:32" ht="15.45">
      <c r="A92" s="332"/>
      <c r="B92" s="338">
        <v>7</v>
      </c>
      <c r="C92" s="385"/>
      <c r="D92" s="386"/>
      <c r="F92"/>
      <c r="G92"/>
      <c r="H92"/>
      <c r="I92" s="304"/>
      <c r="J92" s="414"/>
      <c r="K92" s="399">
        <v>176.57861279841799</v>
      </c>
      <c r="L92" s="399">
        <v>35.3157225596836</v>
      </c>
      <c r="M92" s="324"/>
      <c r="N92" s="304"/>
      <c r="T92"/>
      <c r="U92"/>
      <c r="V92"/>
      <c r="W92"/>
      <c r="X92"/>
      <c r="Y92"/>
      <c r="Z92"/>
      <c r="AA92"/>
      <c r="AB92"/>
    </row>
    <row r="93" spans="1:32" ht="15.45">
      <c r="A93" s="332"/>
      <c r="B93" s="338">
        <v>8</v>
      </c>
      <c r="C93" s="385"/>
      <c r="D93" s="386"/>
      <c r="F93"/>
      <c r="G93"/>
      <c r="H93"/>
      <c r="I93" s="304"/>
      <c r="J93" s="414"/>
      <c r="K93" s="399">
        <v>35.3157225596836</v>
      </c>
      <c r="L93" s="399">
        <v>0</v>
      </c>
      <c r="M93" s="324"/>
      <c r="N93" s="304"/>
      <c r="T93"/>
      <c r="U93"/>
      <c r="V93"/>
      <c r="W93"/>
      <c r="X93"/>
      <c r="Y93"/>
      <c r="Z93"/>
      <c r="AA93"/>
      <c r="AB93"/>
    </row>
    <row r="94" spans="1:32" ht="15.45">
      <c r="A94" s="336"/>
      <c r="B94" s="339">
        <v>9</v>
      </c>
      <c r="C94" s="395"/>
      <c r="D94" s="396"/>
      <c r="F94"/>
      <c r="G94"/>
      <c r="H94"/>
      <c r="I94" s="304"/>
      <c r="J94" s="414">
        <f>J91+0.01</f>
        <v>158.15999999999994</v>
      </c>
      <c r="K94" s="399">
        <v>4944.2011583556996</v>
      </c>
      <c r="L94" s="399">
        <v>741.63017375335505</v>
      </c>
      <c r="M94" s="324"/>
      <c r="N94" s="304"/>
      <c r="T94"/>
      <c r="U94"/>
      <c r="V94"/>
      <c r="W94"/>
      <c r="X94"/>
      <c r="Y94"/>
      <c r="Z94"/>
      <c r="AA94"/>
      <c r="AB94"/>
      <c r="AD94" s="261" t="s">
        <v>69</v>
      </c>
      <c r="AE94" s="260" t="s">
        <v>80</v>
      </c>
      <c r="AF94" s="220" t="s">
        <v>140</v>
      </c>
    </row>
    <row r="95" spans="1:32" ht="27.45" customHeight="1">
      <c r="A95" s="335">
        <f>A86+0.01</f>
        <v>158.06999999999994</v>
      </c>
      <c r="B95" s="337">
        <v>1</v>
      </c>
      <c r="C95" s="383">
        <v>9</v>
      </c>
      <c r="D95" s="384">
        <v>472958</v>
      </c>
      <c r="F95"/>
      <c r="G95"/>
      <c r="H95"/>
      <c r="I95" s="304"/>
      <c r="J95" s="414"/>
      <c r="K95" s="399">
        <v>1871.7332956632299</v>
      </c>
      <c r="L95" s="399">
        <v>211.89433535810099</v>
      </c>
      <c r="M95" s="324"/>
      <c r="N95" s="304"/>
      <c r="T95"/>
      <c r="U95"/>
      <c r="V95"/>
      <c r="W95"/>
      <c r="X95"/>
      <c r="Y95"/>
      <c r="Z95"/>
      <c r="AA95"/>
      <c r="AB95"/>
      <c r="AD95" s="414" t="s">
        <v>139</v>
      </c>
      <c r="AE95" s="419" t="s">
        <v>17</v>
      </c>
      <c r="AF95" s="419" t="s">
        <v>18</v>
      </c>
    </row>
    <row r="96" spans="1:32" ht="15.45">
      <c r="A96" s="332"/>
      <c r="B96" s="338">
        <v>2</v>
      </c>
      <c r="C96" s="385">
        <v>3</v>
      </c>
      <c r="D96" s="386">
        <v>446112</v>
      </c>
      <c r="F96"/>
      <c r="G96"/>
      <c r="H96"/>
      <c r="I96" s="304"/>
      <c r="J96" s="414"/>
      <c r="K96" s="399">
        <v>353.15722559683599</v>
      </c>
      <c r="L96" s="399">
        <v>70.6314451193671</v>
      </c>
      <c r="M96" s="324"/>
      <c r="N96" s="304"/>
      <c r="T96"/>
      <c r="U96"/>
      <c r="V96"/>
      <c r="W96"/>
      <c r="X96"/>
      <c r="Y96"/>
      <c r="Z96"/>
      <c r="AA96"/>
      <c r="AB96"/>
      <c r="AD96" s="414"/>
      <c r="AE96" s="419"/>
      <c r="AF96" s="419"/>
    </row>
    <row r="97" spans="1:32" ht="15.45">
      <c r="A97" s="332"/>
      <c r="B97" s="338">
        <v>3</v>
      </c>
      <c r="C97" s="385">
        <v>3</v>
      </c>
      <c r="D97" s="386">
        <v>404247</v>
      </c>
      <c r="F97"/>
      <c r="G97"/>
      <c r="H97"/>
      <c r="I97" s="304"/>
      <c r="J97" s="414">
        <f>J94+0.01</f>
        <v>158.16999999999993</v>
      </c>
      <c r="K97" s="399">
        <v>2648.67919197627</v>
      </c>
      <c r="L97" s="399">
        <v>565.05156095493703</v>
      </c>
      <c r="M97" s="324"/>
      <c r="N97" s="304"/>
      <c r="T97"/>
      <c r="U97"/>
      <c r="V97"/>
      <c r="W97"/>
      <c r="X97"/>
      <c r="Y97"/>
      <c r="Z97"/>
      <c r="AA97"/>
      <c r="AB97"/>
      <c r="AD97" s="425">
        <f>J44+0.1</f>
        <v>158.10999999999999</v>
      </c>
      <c r="AE97" s="216"/>
      <c r="AF97" s="216"/>
    </row>
    <row r="98" spans="1:32" ht="15.45">
      <c r="A98" s="332"/>
      <c r="B98" s="338">
        <v>4</v>
      </c>
      <c r="C98" s="385">
        <v>5</v>
      </c>
      <c r="D98" s="386">
        <v>387261</v>
      </c>
      <c r="F98"/>
      <c r="G98"/>
      <c r="H98"/>
      <c r="I98" s="304"/>
      <c r="J98" s="414"/>
      <c r="K98" s="399">
        <v>423.788670716203</v>
      </c>
      <c r="L98" s="399">
        <v>70.6314451193671</v>
      </c>
      <c r="M98" s="324"/>
      <c r="N98" s="304"/>
      <c r="T98"/>
      <c r="U98"/>
      <c r="V98"/>
      <c r="W98"/>
      <c r="X98"/>
      <c r="Y98"/>
      <c r="Z98"/>
      <c r="AA98"/>
      <c r="AB98"/>
      <c r="AD98" s="425"/>
      <c r="AE98" s="216"/>
      <c r="AF98" s="216"/>
    </row>
    <row r="99" spans="1:32" ht="15.45">
      <c r="A99" s="332"/>
      <c r="B99" s="338">
        <v>5</v>
      </c>
      <c r="C99" s="385">
        <v>3</v>
      </c>
      <c r="D99" s="386">
        <v>403650</v>
      </c>
      <c r="F99"/>
      <c r="G99"/>
      <c r="H99"/>
      <c r="I99" s="304"/>
      <c r="J99" s="414"/>
      <c r="K99" s="399">
        <v>282.52578047746903</v>
      </c>
      <c r="L99" s="399">
        <v>105.94716767905101</v>
      </c>
      <c r="M99" s="324"/>
      <c r="N99" s="304"/>
      <c r="T99"/>
      <c r="U99"/>
      <c r="V99"/>
      <c r="W99"/>
      <c r="X99"/>
      <c r="Y99"/>
      <c r="Z99"/>
      <c r="AA99"/>
      <c r="AB99"/>
      <c r="AD99" s="425"/>
      <c r="AE99" s="216"/>
      <c r="AF99" s="216"/>
    </row>
    <row r="100" spans="1:32" ht="15.45">
      <c r="A100" s="332"/>
      <c r="B100" s="338">
        <v>6</v>
      </c>
      <c r="C100" s="385"/>
      <c r="D100" s="386"/>
      <c r="F100"/>
      <c r="G100"/>
      <c r="H100"/>
      <c r="I100" s="304"/>
      <c r="J100"/>
      <c r="K100"/>
      <c r="L100"/>
      <c r="M100" s="324"/>
      <c r="N100" s="304"/>
      <c r="T100"/>
      <c r="U100"/>
      <c r="V100"/>
      <c r="W100"/>
      <c r="X100"/>
      <c r="Y100"/>
      <c r="Z100"/>
      <c r="AA100"/>
      <c r="AB100"/>
      <c r="AD100" s="424" t="str">
        <f>IFERROR((IF(($AD97+0.01)&lt;($AD$97+(0.01*#REF!)),$AD97+0.01," - "))," - ")</f>
        <v xml:space="preserve"> - </v>
      </c>
      <c r="AE100" s="262" t="str">
        <f>IF(AD100=" - "," keine Eingabe",)</f>
        <v xml:space="preserve"> keine Eingabe</v>
      </c>
      <c r="AF100" s="262" t="str">
        <f>IF(AD100=" - "," keine Eingabe",)</f>
        <v xml:space="preserve"> keine Eingabe</v>
      </c>
    </row>
    <row r="101" spans="1:32" ht="15.45">
      <c r="A101" s="332"/>
      <c r="B101" s="338">
        <v>7</v>
      </c>
      <c r="C101" s="385"/>
      <c r="D101" s="386"/>
      <c r="F101"/>
      <c r="G101"/>
      <c r="H101"/>
      <c r="I101" s="304"/>
      <c r="J101"/>
      <c r="K101"/>
      <c r="L101"/>
      <c r="M101" s="324"/>
      <c r="N101" s="304"/>
      <c r="T101"/>
      <c r="U101"/>
      <c r="V101"/>
      <c r="W101"/>
      <c r="X101"/>
      <c r="Y101"/>
      <c r="Z101"/>
      <c r="AA101"/>
      <c r="AB101"/>
      <c r="AD101" s="424"/>
      <c r="AE101" s="262" t="str">
        <f>IF(AD100=" - "," keine Eingabe",)</f>
        <v xml:space="preserve"> keine Eingabe</v>
      </c>
      <c r="AF101" s="262" t="str">
        <f>IF(AD100=" - "," keine Eingabe",)</f>
        <v xml:space="preserve"> keine Eingabe</v>
      </c>
    </row>
    <row r="102" spans="1:32" ht="15.45">
      <c r="A102" s="332"/>
      <c r="B102" s="338">
        <v>8</v>
      </c>
      <c r="C102" s="385"/>
      <c r="D102" s="386"/>
      <c r="F102"/>
      <c r="G102"/>
      <c r="H102"/>
      <c r="I102" s="304"/>
      <c r="J102"/>
      <c r="K102"/>
      <c r="L102"/>
      <c r="M102" s="324"/>
      <c r="N102" s="304"/>
      <c r="T102"/>
      <c r="U102"/>
      <c r="V102"/>
      <c r="W102"/>
      <c r="X102"/>
      <c r="Y102"/>
      <c r="Z102"/>
      <c r="AA102"/>
      <c r="AB102"/>
      <c r="AD102" s="424"/>
      <c r="AE102" s="262" t="str">
        <f>IF(AD100=" - "," keine Eingabe",)</f>
        <v xml:space="preserve"> keine Eingabe</v>
      </c>
      <c r="AF102" s="262" t="str">
        <f>IF(AD100=" - "," keine Eingabe",)</f>
        <v xml:space="preserve"> keine Eingabe</v>
      </c>
    </row>
    <row r="103" spans="1:32" ht="15.45">
      <c r="A103" s="336"/>
      <c r="B103" s="339">
        <v>9</v>
      </c>
      <c r="C103" s="395"/>
      <c r="D103" s="396"/>
      <c r="F103"/>
      <c r="G103"/>
      <c r="H103"/>
      <c r="I103" s="304"/>
      <c r="J103"/>
      <c r="K103"/>
      <c r="L103"/>
      <c r="M103" s="324"/>
      <c r="N103" s="304"/>
      <c r="T103"/>
      <c r="U103"/>
      <c r="V103"/>
      <c r="W103"/>
      <c r="X103"/>
      <c r="Y103"/>
      <c r="Z103"/>
      <c r="AA103"/>
      <c r="AB103"/>
      <c r="AD103" s="424" t="str">
        <f>IFERROR((IF(($AD100+0.01)&lt;($AD$97+(0.01*#REF!)),$AD100+0.01," - "))," - ")</f>
        <v xml:space="preserve"> - </v>
      </c>
      <c r="AE103" s="262" t="str">
        <f>IF(AD103=" - "," keine Eingabe",)</f>
        <v xml:space="preserve"> keine Eingabe</v>
      </c>
      <c r="AF103" s="262" t="str">
        <f>IF(AD103=" - "," keine Eingabe",)</f>
        <v xml:space="preserve"> keine Eingabe</v>
      </c>
    </row>
    <row r="104" spans="1:32" ht="15.45">
      <c r="A104" s="335">
        <f>A95+0.01</f>
        <v>158.07999999999993</v>
      </c>
      <c r="B104" s="337">
        <v>1</v>
      </c>
      <c r="C104" s="383">
        <v>14</v>
      </c>
      <c r="D104" s="384">
        <v>454927</v>
      </c>
      <c r="F104"/>
      <c r="G104"/>
      <c r="H104"/>
      <c r="I104" s="304"/>
      <c r="J104"/>
      <c r="K104"/>
      <c r="L104"/>
      <c r="M104" s="324"/>
      <c r="N104" s="304"/>
      <c r="T104"/>
      <c r="U104"/>
      <c r="V104"/>
      <c r="W104"/>
      <c r="X104"/>
      <c r="Y104"/>
      <c r="Z104"/>
      <c r="AA104"/>
      <c r="AB104"/>
      <c r="AD104" s="424"/>
      <c r="AE104" s="262" t="str">
        <f>IF(AD103=" - "," keine Eingabe",)</f>
        <v xml:space="preserve"> keine Eingabe</v>
      </c>
      <c r="AF104" s="262" t="str">
        <f>IF(AD103=" - "," keine Eingabe",)</f>
        <v xml:space="preserve"> keine Eingabe</v>
      </c>
    </row>
    <row r="105" spans="1:32" ht="15.45">
      <c r="A105" s="332"/>
      <c r="B105" s="338">
        <v>2</v>
      </c>
      <c r="C105" s="385">
        <v>12</v>
      </c>
      <c r="D105" s="386">
        <v>501085</v>
      </c>
      <c r="F105"/>
      <c r="G105"/>
      <c r="H105"/>
      <c r="I105" s="304"/>
      <c r="J105"/>
      <c r="K105"/>
      <c r="L105"/>
      <c r="M105" s="324"/>
      <c r="N105" s="304"/>
      <c r="T105"/>
      <c r="U105"/>
      <c r="V105"/>
      <c r="W105"/>
      <c r="X105"/>
      <c r="Y105"/>
      <c r="Z105"/>
      <c r="AA105"/>
      <c r="AB105"/>
      <c r="AD105" s="424"/>
      <c r="AE105" s="262" t="str">
        <f>IF(AD103=" - "," keine Eingabe",)</f>
        <v xml:space="preserve"> keine Eingabe</v>
      </c>
      <c r="AF105" s="262" t="str">
        <f>IF(AD103=" - "," keine Eingabe",)</f>
        <v xml:space="preserve"> keine Eingabe</v>
      </c>
    </row>
    <row r="106" spans="1:32" ht="15.45">
      <c r="A106" s="332"/>
      <c r="B106" s="338">
        <v>3</v>
      </c>
      <c r="C106" s="385"/>
      <c r="D106" s="386"/>
      <c r="F106"/>
      <c r="G106"/>
      <c r="H106"/>
      <c r="I106" s="304"/>
      <c r="J106"/>
      <c r="K106"/>
      <c r="L106"/>
      <c r="M106" s="324"/>
      <c r="N106" s="304"/>
      <c r="T106"/>
      <c r="U106"/>
      <c r="V106"/>
      <c r="W106"/>
      <c r="X106"/>
      <c r="Y106"/>
      <c r="Z106"/>
      <c r="AA106"/>
      <c r="AB106"/>
      <c r="AD106" s="424" t="str">
        <f>IFERROR((IF(($AD103+0.01)&lt;($AD$97+(0.01*#REF!)),$AD103+0.01," - "))," - ")</f>
        <v xml:space="preserve"> - </v>
      </c>
      <c r="AE106" s="262" t="str">
        <f t="shared" ref="AE106" si="1">IF(AD106=" - "," keine Eingabe",)</f>
        <v xml:space="preserve"> keine Eingabe</v>
      </c>
      <c r="AF106" s="262" t="str">
        <f t="shared" ref="AF106" si="2">IF(AD106=" - "," keine Eingabe",)</f>
        <v xml:space="preserve"> keine Eingabe</v>
      </c>
    </row>
    <row r="107" spans="1:32" ht="15.45">
      <c r="A107" s="332"/>
      <c r="B107" s="338">
        <v>4</v>
      </c>
      <c r="C107" s="385"/>
      <c r="D107" s="386"/>
      <c r="F107"/>
      <c r="G107"/>
      <c r="H107"/>
      <c r="I107" s="304"/>
      <c r="J107"/>
      <c r="K107"/>
      <c r="L107"/>
      <c r="M107" s="324"/>
      <c r="N107" s="304"/>
      <c r="T107"/>
      <c r="U107"/>
      <c r="V107"/>
      <c r="W107"/>
      <c r="X107"/>
      <c r="Y107"/>
      <c r="Z107"/>
      <c r="AA107"/>
      <c r="AB107"/>
      <c r="AD107" s="424"/>
      <c r="AE107" s="262" t="str">
        <f t="shared" ref="AE107" si="3">IF(AD106=" - "," keine Eingabe",)</f>
        <v xml:space="preserve"> keine Eingabe</v>
      </c>
      <c r="AF107" s="262" t="str">
        <f t="shared" ref="AF107" si="4">IF(AD106=" - "," keine Eingabe",)</f>
        <v xml:space="preserve"> keine Eingabe</v>
      </c>
    </row>
    <row r="108" spans="1:32" ht="15.45">
      <c r="A108" s="335">
        <f>A104+0.01</f>
        <v>158.08999999999992</v>
      </c>
      <c r="B108" s="337">
        <v>1</v>
      </c>
      <c r="C108" s="383">
        <v>29</v>
      </c>
      <c r="D108" s="384">
        <v>440672</v>
      </c>
      <c r="F108"/>
      <c r="G108"/>
      <c r="H108"/>
      <c r="I108"/>
      <c r="J108"/>
      <c r="K108"/>
      <c r="L108"/>
      <c r="M108" s="324"/>
      <c r="N108" s="136"/>
      <c r="T108"/>
      <c r="U108"/>
      <c r="V108"/>
      <c r="W108"/>
      <c r="X108"/>
      <c r="Y108"/>
      <c r="Z108"/>
      <c r="AA108"/>
      <c r="AB108"/>
      <c r="AD108" s="424" t="str">
        <f>IFERROR((IF(($AD106+0.01)&lt;($AD$97+(0.01*#REF!)),$AD106+0.01," - "))," - ")</f>
        <v xml:space="preserve"> - </v>
      </c>
      <c r="AE108" s="262" t="str">
        <f t="shared" ref="AE108" si="5">IF(AD108=" - "," keine Eingabe",)</f>
        <v xml:space="preserve"> keine Eingabe</v>
      </c>
      <c r="AF108" s="262" t="str">
        <f t="shared" ref="AF108" si="6">IF(AD108=" - "," keine Eingabe",)</f>
        <v xml:space="preserve"> keine Eingabe</v>
      </c>
    </row>
    <row r="109" spans="1:32" ht="15.45">
      <c r="A109" s="332"/>
      <c r="B109" s="338">
        <v>2</v>
      </c>
      <c r="C109" s="385">
        <v>17</v>
      </c>
      <c r="D109" s="386">
        <v>433153</v>
      </c>
      <c r="F109"/>
      <c r="G109"/>
      <c r="H109"/>
      <c r="I109"/>
      <c r="J109"/>
      <c r="K109"/>
      <c r="L109"/>
      <c r="M109" s="324"/>
      <c r="N109" s="136"/>
      <c r="T109"/>
      <c r="U109"/>
      <c r="V109"/>
      <c r="W109"/>
      <c r="X109"/>
      <c r="Y109"/>
      <c r="Z109"/>
      <c r="AA109"/>
      <c r="AB109"/>
      <c r="AD109" s="424"/>
      <c r="AE109" s="262" t="str">
        <f t="shared" ref="AE109" si="7">IF(AD108=" - "," keine Eingabe",)</f>
        <v xml:space="preserve"> keine Eingabe</v>
      </c>
      <c r="AF109" s="262" t="str">
        <f t="shared" ref="AF109" si="8">IF(AD108=" - "," keine Eingabe",)</f>
        <v xml:space="preserve"> keine Eingabe</v>
      </c>
    </row>
    <row r="110" spans="1:32" ht="15.45">
      <c r="A110" s="332"/>
      <c r="B110" s="338">
        <v>3</v>
      </c>
      <c r="C110" s="385">
        <v>21</v>
      </c>
      <c r="D110" s="386">
        <v>441629</v>
      </c>
      <c r="F110"/>
      <c r="G110"/>
      <c r="H110"/>
      <c r="I110"/>
      <c r="J110"/>
      <c r="K110"/>
      <c r="L110"/>
      <c r="M110" s="324"/>
      <c r="N110" s="136"/>
      <c r="T110"/>
      <c r="U110"/>
      <c r="V110"/>
      <c r="W110"/>
      <c r="X110"/>
      <c r="Y110"/>
      <c r="Z110"/>
      <c r="AA110"/>
      <c r="AB110"/>
      <c r="AD110" s="424"/>
      <c r="AE110" s="262" t="str">
        <f t="shared" ref="AE110" si="9">IF(AD108=" - "," keine Eingabe",)</f>
        <v xml:space="preserve"> keine Eingabe</v>
      </c>
      <c r="AF110" s="262" t="str">
        <f t="shared" ref="AF110" si="10">IF(AD108=" - "," keine Eingabe",)</f>
        <v xml:space="preserve"> keine Eingabe</v>
      </c>
    </row>
    <row r="111" spans="1:32" ht="15.45">
      <c r="A111" s="332"/>
      <c r="B111" s="338">
        <v>4</v>
      </c>
      <c r="C111" s="385">
        <v>21</v>
      </c>
      <c r="D111" s="386">
        <v>462954</v>
      </c>
      <c r="F111"/>
      <c r="G111"/>
      <c r="H111"/>
      <c r="I111"/>
      <c r="J111"/>
      <c r="K111"/>
      <c r="L111"/>
      <c r="M111" s="324"/>
      <c r="N111" s="136"/>
      <c r="T111"/>
      <c r="U111"/>
      <c r="V111"/>
      <c r="W111"/>
      <c r="X111"/>
      <c r="Y111"/>
      <c r="Z111"/>
      <c r="AA111"/>
      <c r="AB111"/>
      <c r="AD111" s="424" t="str">
        <f>IFERROR((IF(($AD108+0.01)&lt;($AD$97+(0.01*#REF!)),$AD108+0.01," - "))," - ")</f>
        <v xml:space="preserve"> - </v>
      </c>
      <c r="AE111" s="262" t="str">
        <f t="shared" ref="AE111" si="11">IF(AD111=" - "," keine Eingabe",)</f>
        <v xml:space="preserve"> keine Eingabe</v>
      </c>
      <c r="AF111" s="262" t="str">
        <f t="shared" ref="AF111" si="12">IF(AD111=" - "," keine Eingabe",)</f>
        <v xml:space="preserve"> keine Eingabe</v>
      </c>
    </row>
    <row r="112" spans="1:32" ht="15.45">
      <c r="A112" s="332"/>
      <c r="B112" s="338">
        <v>5</v>
      </c>
      <c r="C112" s="385">
        <v>25</v>
      </c>
      <c r="D112" s="386">
        <v>435770</v>
      </c>
      <c r="F112"/>
      <c r="G112"/>
      <c r="H112"/>
      <c r="I112"/>
      <c r="J112"/>
      <c r="K112"/>
      <c r="L112"/>
      <c r="M112" s="324"/>
      <c r="N112" s="136"/>
      <c r="T112"/>
      <c r="U112"/>
      <c r="V112"/>
      <c r="W112"/>
      <c r="X112"/>
      <c r="Y112"/>
      <c r="Z112"/>
      <c r="AA112"/>
      <c r="AB112"/>
      <c r="AD112" s="424"/>
      <c r="AE112" s="262" t="str">
        <f t="shared" ref="AE112" si="13">IF(AD111=" - "," keine Eingabe",)</f>
        <v xml:space="preserve"> keine Eingabe</v>
      </c>
      <c r="AF112" s="262" t="str">
        <f t="shared" ref="AF112" si="14">IF(AD111=" - "," keine Eingabe",)</f>
        <v xml:space="preserve"> keine Eingabe</v>
      </c>
    </row>
    <row r="113" spans="1:32" ht="15.45">
      <c r="A113" s="332"/>
      <c r="B113" s="338">
        <v>6</v>
      </c>
      <c r="C113" s="385">
        <v>41</v>
      </c>
      <c r="D113" s="386">
        <v>413349</v>
      </c>
      <c r="F113"/>
      <c r="G113"/>
      <c r="H113"/>
      <c r="I113"/>
      <c r="J113"/>
      <c r="K113"/>
      <c r="L113"/>
      <c r="M113" s="324"/>
      <c r="N113" s="136"/>
      <c r="T113"/>
      <c r="U113"/>
      <c r="V113"/>
      <c r="W113"/>
      <c r="X113"/>
      <c r="Y113"/>
      <c r="Z113"/>
      <c r="AA113"/>
      <c r="AB113"/>
      <c r="AD113" s="424"/>
      <c r="AE113" s="262" t="str">
        <f t="shared" ref="AE113" si="15">IF(AD111=" - "," keine Eingabe",)</f>
        <v xml:space="preserve"> keine Eingabe</v>
      </c>
      <c r="AF113" s="262" t="str">
        <f t="shared" ref="AF113" si="16">IF(AD111=" - "," keine Eingabe",)</f>
        <v xml:space="preserve"> keine Eingabe</v>
      </c>
    </row>
    <row r="114" spans="1:32" ht="15.45">
      <c r="A114" s="332"/>
      <c r="B114" s="338">
        <v>7</v>
      </c>
      <c r="C114" s="385"/>
      <c r="D114" s="386"/>
      <c r="F114"/>
      <c r="G114"/>
      <c r="H114"/>
      <c r="I114"/>
      <c r="J114"/>
      <c r="K114"/>
      <c r="L114"/>
      <c r="M114" s="136"/>
      <c r="N114" s="136"/>
      <c r="T114"/>
      <c r="U114"/>
      <c r="V114"/>
      <c r="W114"/>
      <c r="X114"/>
      <c r="Y114"/>
      <c r="Z114"/>
      <c r="AA114"/>
      <c r="AB114"/>
      <c r="AD114" s="424" t="str">
        <f>IFERROR((IF(($AD111+0.01)&lt;($AD$97+(0.01*#REF!)),$AD111+0.01," - "))," - ")</f>
        <v xml:space="preserve"> - </v>
      </c>
      <c r="AE114" s="262" t="str">
        <f t="shared" ref="AE114" si="17">IF(AD114=" - "," keine Eingabe",)</f>
        <v xml:space="preserve"> keine Eingabe</v>
      </c>
      <c r="AF114" s="262" t="str">
        <f t="shared" ref="AF114" si="18">IF(AD114=" - "," keine Eingabe",)</f>
        <v xml:space="preserve"> keine Eingabe</v>
      </c>
    </row>
    <row r="115" spans="1:32" ht="15.45">
      <c r="A115" s="332"/>
      <c r="B115" s="338">
        <v>8</v>
      </c>
      <c r="C115" s="385"/>
      <c r="D115" s="386"/>
      <c r="F115"/>
      <c r="G115"/>
      <c r="H115"/>
      <c r="I115"/>
      <c r="J115"/>
      <c r="K115" s="303"/>
      <c r="L115" s="304"/>
      <c r="M115" s="136"/>
      <c r="N115" s="136"/>
      <c r="T115"/>
      <c r="U115"/>
      <c r="V115"/>
      <c r="W115"/>
      <c r="X115"/>
      <c r="Y115"/>
      <c r="Z115"/>
      <c r="AA115"/>
      <c r="AB115"/>
      <c r="AD115" s="424"/>
      <c r="AE115" s="262" t="str">
        <f t="shared" ref="AE115" si="19">IF(AD114=" - "," keine Eingabe",)</f>
        <v xml:space="preserve"> keine Eingabe</v>
      </c>
      <c r="AF115" s="262" t="str">
        <f t="shared" ref="AF115" si="20">IF(AD114=" - "," keine Eingabe",)</f>
        <v xml:space="preserve"> keine Eingabe</v>
      </c>
    </row>
    <row r="116" spans="1:32" ht="15.45">
      <c r="A116" s="336"/>
      <c r="B116" s="339">
        <v>9</v>
      </c>
      <c r="C116" s="395"/>
      <c r="D116" s="396"/>
      <c r="F116"/>
      <c r="G116"/>
      <c r="H116"/>
      <c r="I116"/>
      <c r="J116"/>
      <c r="K116" s="303"/>
      <c r="L116" s="304"/>
      <c r="M116" s="136"/>
      <c r="N116" s="136"/>
      <c r="T116"/>
      <c r="U116"/>
      <c r="V116"/>
      <c r="W116"/>
      <c r="X116"/>
      <c r="Y116"/>
      <c r="Z116"/>
      <c r="AA116"/>
      <c r="AB116"/>
      <c r="AD116" s="424"/>
      <c r="AE116" s="262" t="str">
        <f t="shared" ref="AE116" si="21">IF(AD114=" - "," keine Eingabe",)</f>
        <v xml:space="preserve"> keine Eingabe</v>
      </c>
      <c r="AF116" s="262" t="str">
        <f t="shared" ref="AF116" si="22">IF(AD114=" - "," keine Eingabe",)</f>
        <v xml:space="preserve"> keine Eingabe</v>
      </c>
    </row>
    <row r="117" spans="1:32" ht="15.45">
      <c r="B117" s="324">
        <v>10</v>
      </c>
      <c r="C117" s="201"/>
      <c r="D117" s="201"/>
      <c r="G117"/>
      <c r="H117"/>
      <c r="I117"/>
      <c r="J117"/>
      <c r="K117" s="303"/>
      <c r="L117" s="304"/>
      <c r="M117" s="136"/>
      <c r="N117" s="136"/>
      <c r="T117"/>
      <c r="U117"/>
      <c r="V117"/>
      <c r="W117"/>
      <c r="X117"/>
      <c r="Y117"/>
      <c r="Z117"/>
      <c r="AA117"/>
      <c r="AB117"/>
      <c r="AD117" s="424" t="str">
        <f>IFERROR((IF(($AD114+0.01)&lt;($AD$97+(0.01*#REF!)),$AD114+0.01," - "))," - ")</f>
        <v xml:space="preserve"> - </v>
      </c>
      <c r="AE117" s="262" t="str">
        <f t="shared" ref="AE117" si="23">IF(AD117=" - "," keine Eingabe",)</f>
        <v xml:space="preserve"> keine Eingabe</v>
      </c>
      <c r="AF117" s="262" t="str">
        <f t="shared" ref="AF117" si="24">IF(AD117=" - "," keine Eingabe",)</f>
        <v xml:space="preserve"> keine Eingabe</v>
      </c>
    </row>
    <row r="118" spans="1:32" ht="15.45">
      <c r="B118" s="324">
        <v>11</v>
      </c>
      <c r="C118" s="201"/>
      <c r="D118" s="201"/>
      <c r="G118"/>
      <c r="H118"/>
      <c r="I118"/>
      <c r="J118"/>
      <c r="K118" s="303"/>
      <c r="L118" s="304"/>
      <c r="M118" s="136"/>
      <c r="N118" s="136"/>
      <c r="T118"/>
      <c r="U118"/>
      <c r="V118"/>
      <c r="W118"/>
      <c r="X118"/>
      <c r="Y118"/>
      <c r="Z118"/>
      <c r="AA118"/>
      <c r="AB118"/>
      <c r="AD118" s="424"/>
      <c r="AE118" s="262" t="str">
        <f t="shared" ref="AE118" si="25">IF(AD117=" - "," keine Eingabe",)</f>
        <v xml:space="preserve"> keine Eingabe</v>
      </c>
      <c r="AF118" s="262" t="str">
        <f t="shared" ref="AF118" si="26">IF(AD117=" - "," keine Eingabe",)</f>
        <v xml:space="preserve"> keine Eingabe</v>
      </c>
    </row>
    <row r="119" spans="1:32" ht="15.45">
      <c r="G119"/>
      <c r="H119"/>
      <c r="I119"/>
      <c r="J119"/>
      <c r="K119" s="303"/>
      <c r="L119" s="136"/>
      <c r="M119" s="136"/>
      <c r="N119" s="136"/>
      <c r="T119"/>
      <c r="U119"/>
      <c r="V119"/>
      <c r="W119"/>
      <c r="X119"/>
      <c r="Y119"/>
      <c r="Z119"/>
      <c r="AA119"/>
      <c r="AB119"/>
      <c r="AD119" s="424"/>
      <c r="AE119" s="262" t="str">
        <f t="shared" ref="AE119" si="27">IF(AD117=" - "," keine Eingabe",)</f>
        <v xml:space="preserve"> keine Eingabe</v>
      </c>
      <c r="AF119" s="262" t="str">
        <f t="shared" ref="AF119" si="28">IF(AD117=" - "," keine Eingabe",)</f>
        <v xml:space="preserve"> keine Eingabe</v>
      </c>
    </row>
    <row r="120" spans="1:32" ht="15.45">
      <c r="G120" s="428" t="s">
        <v>152</v>
      </c>
      <c r="H120" s="428"/>
      <c r="I120" t="s">
        <v>81</v>
      </c>
      <c r="J120" s="357">
        <f>AVERAGE(G123:N138)</f>
        <v>0.24765625000000002</v>
      </c>
      <c r="K120" s="303"/>
      <c r="L120" s="136"/>
      <c r="M120" s="136"/>
      <c r="N120" s="136"/>
      <c r="T120"/>
      <c r="U120"/>
      <c r="V120"/>
      <c r="W120"/>
      <c r="X120"/>
      <c r="Y120"/>
      <c r="Z120"/>
      <c r="AA120"/>
      <c r="AB120"/>
      <c r="AD120" s="424" t="str">
        <f>IFERROR((IF(($AD117+0.01)&lt;($AD$97+(0.01*#REF!)),$AD117+0.01," - "))," - ")</f>
        <v xml:space="preserve"> - </v>
      </c>
      <c r="AE120" s="262" t="str">
        <f t="shared" ref="AE120" si="29">IF(AD120=" - "," keine Eingabe",)</f>
        <v xml:space="preserve"> keine Eingabe</v>
      </c>
      <c r="AF120" s="262" t="str">
        <f t="shared" ref="AF120" si="30">IF(AD120=" - "," keine Eingabe",)</f>
        <v xml:space="preserve"> keine Eingabe</v>
      </c>
    </row>
    <row r="121" spans="1:32" ht="15.45">
      <c r="G121"/>
      <c r="H121"/>
      <c r="I121"/>
      <c r="J121"/>
      <c r="K121" s="303"/>
      <c r="L121" s="136"/>
      <c r="M121" s="136"/>
      <c r="N121" s="136"/>
      <c r="T121"/>
      <c r="U121"/>
      <c r="V121"/>
      <c r="W121"/>
      <c r="X121"/>
      <c r="Y121"/>
      <c r="Z121"/>
      <c r="AA121"/>
      <c r="AB121"/>
      <c r="AD121" s="424"/>
      <c r="AE121" s="262" t="str">
        <f t="shared" ref="AE121:AE130" si="31">IF(AD120=" - "," keine Eingabe",)</f>
        <v xml:space="preserve"> keine Eingabe</v>
      </c>
      <c r="AF121" s="262" t="str">
        <f t="shared" ref="AF121" si="32">IF(AD120=" - "," keine Eingabe",)</f>
        <v xml:space="preserve"> keine Eingabe</v>
      </c>
    </row>
    <row r="122" spans="1:32" ht="15.45">
      <c r="G122"/>
      <c r="H122"/>
      <c r="I122"/>
      <c r="J122"/>
      <c r="K122" s="303"/>
      <c r="L122" s="136"/>
      <c r="M122" s="136"/>
      <c r="N122" s="136"/>
      <c r="T122"/>
      <c r="U122"/>
      <c r="V122"/>
      <c r="W122"/>
      <c r="X122"/>
      <c r="Y122"/>
      <c r="Z122"/>
      <c r="AA122"/>
      <c r="AB122"/>
      <c r="AD122" s="424"/>
      <c r="AE122" s="262" t="str">
        <f t="shared" ref="AE122" si="33">IF(AD120=" - "," keine Eingabe",)</f>
        <v xml:space="preserve"> keine Eingabe</v>
      </c>
      <c r="AF122" s="262" t="str">
        <f t="shared" ref="AF122" si="34">IF(AD120=" - "," keine Eingabe",)</f>
        <v xml:space="preserve"> keine Eingabe</v>
      </c>
    </row>
    <row r="123" spans="1:32" ht="15.45">
      <c r="F123" s="150" t="s">
        <v>745</v>
      </c>
      <c r="G123" s="429">
        <f>'RD vZuluft'!D15</f>
        <v>0.19</v>
      </c>
      <c r="H123" s="429">
        <f>'RD vZuluft'!F15</f>
        <v>0.18</v>
      </c>
      <c r="I123" s="429">
        <f>'RD vZuluft'!H15</f>
        <v>0.19</v>
      </c>
      <c r="J123" s="429">
        <f>'RD vZuluft'!J15</f>
        <v>0.2</v>
      </c>
      <c r="K123" s="429">
        <f>'RD vZuluft'!L15</f>
        <v>0.17</v>
      </c>
      <c r="L123" s="429">
        <f>'RD vZuluft'!N15</f>
        <v>0.18</v>
      </c>
      <c r="M123" s="429">
        <f>'RD vZuluft'!P15</f>
        <v>0.2</v>
      </c>
      <c r="N123" s="429">
        <f>'RD vZuluft'!R15</f>
        <v>0.2</v>
      </c>
      <c r="T123"/>
      <c r="U123"/>
      <c r="V123"/>
      <c r="W123"/>
      <c r="X123"/>
      <c r="Y123"/>
      <c r="Z123"/>
      <c r="AA123"/>
      <c r="AB123"/>
      <c r="AD123" s="424" t="str">
        <f>IFERROR((IF(($AD120+0.01)&lt;($AD$97+(0.01*#REF!)),$AD120+0.01," - "))," - ")</f>
        <v xml:space="preserve"> - </v>
      </c>
      <c r="AE123" s="262" t="str">
        <f t="shared" ref="AE123:AE129" si="35">IF(AD123=" - "," keine Eingabe",)</f>
        <v xml:space="preserve"> keine Eingabe</v>
      </c>
      <c r="AF123" s="262" t="str">
        <f t="shared" ref="AF123" si="36">IF(AD123=" - "," keine Eingabe",)</f>
        <v xml:space="preserve"> keine Eingabe</v>
      </c>
    </row>
    <row r="124" spans="1:32" ht="15.45">
      <c r="G124" s="430"/>
      <c r="H124" s="430"/>
      <c r="I124" s="430"/>
      <c r="J124" s="430"/>
      <c r="K124" s="430"/>
      <c r="L124" s="430"/>
      <c r="M124" s="430"/>
      <c r="N124" s="430"/>
      <c r="T124"/>
      <c r="U124"/>
      <c r="V124"/>
      <c r="W124"/>
      <c r="X124"/>
      <c r="Y124"/>
      <c r="Z124"/>
      <c r="AA124"/>
      <c r="AB124"/>
      <c r="AD124" s="424"/>
      <c r="AE124" s="262" t="str">
        <f t="shared" si="31"/>
        <v xml:space="preserve"> keine Eingabe</v>
      </c>
      <c r="AF124" s="262" t="str">
        <f t="shared" ref="AF124" si="37">IF(AD123=" - "," keine Eingabe",)</f>
        <v xml:space="preserve"> keine Eingabe</v>
      </c>
    </row>
    <row r="125" spans="1:32" ht="15.45">
      <c r="F125" s="150" t="s">
        <v>746</v>
      </c>
      <c r="G125" s="429">
        <f>'RD vZuluft'!D17</f>
        <v>0.18</v>
      </c>
      <c r="H125" s="429">
        <f>'RD vZuluft'!F17</f>
        <v>0.2</v>
      </c>
      <c r="I125" s="429">
        <f>'RD vZuluft'!H17</f>
        <v>0.31</v>
      </c>
      <c r="J125" s="429">
        <f>'RD vZuluft'!J17</f>
        <v>0.32</v>
      </c>
      <c r="K125" s="429">
        <f>'RD vZuluft'!L17</f>
        <v>0.31</v>
      </c>
      <c r="L125" s="429">
        <f>'RD vZuluft'!N17</f>
        <v>0.31</v>
      </c>
      <c r="M125" s="429">
        <f>'RD vZuluft'!P17</f>
        <v>0.18</v>
      </c>
      <c r="N125" s="429">
        <f>'RD vZuluft'!R17</f>
        <v>0.2</v>
      </c>
      <c r="T125"/>
      <c r="U125"/>
      <c r="V125"/>
      <c r="W125"/>
      <c r="X125"/>
      <c r="Y125"/>
      <c r="Z125"/>
      <c r="AA125"/>
      <c r="AB125"/>
      <c r="AD125" s="424"/>
      <c r="AE125" s="262" t="str">
        <f t="shared" ref="AE125:AE131" si="38">IF(AD123=" - "," keine Eingabe",)</f>
        <v xml:space="preserve"> keine Eingabe</v>
      </c>
      <c r="AF125" s="262" t="str">
        <f t="shared" ref="AF125" si="39">IF(AD123=" - "," keine Eingabe",)</f>
        <v xml:space="preserve"> keine Eingabe</v>
      </c>
    </row>
    <row r="126" spans="1:32" ht="15.45">
      <c r="G126" s="430"/>
      <c r="H126" s="430"/>
      <c r="I126" s="430"/>
      <c r="J126" s="430"/>
      <c r="K126" s="430"/>
      <c r="L126" s="430"/>
      <c r="M126" s="430"/>
      <c r="N126" s="430"/>
      <c r="T126"/>
      <c r="U126"/>
      <c r="V126"/>
      <c r="W126"/>
      <c r="X126"/>
      <c r="Y126"/>
      <c r="Z126"/>
      <c r="AA126"/>
      <c r="AB126"/>
      <c r="AD126" s="424" t="str">
        <f>IFERROR((IF(($AD123+0.01)&lt;($AD$97+(0.01*#REF!)),$AD123+0.01," - "))," - ")</f>
        <v xml:space="preserve"> - </v>
      </c>
      <c r="AE126" s="262" t="str">
        <f t="shared" si="35"/>
        <v xml:space="preserve"> keine Eingabe</v>
      </c>
      <c r="AF126" s="262" t="str">
        <f t="shared" ref="AF126" si="40">IF(AD126=" - "," keine Eingabe",)</f>
        <v xml:space="preserve"> keine Eingabe</v>
      </c>
    </row>
    <row r="127" spans="1:32" ht="15.45">
      <c r="G127" s="429">
        <f>'RD vZuluft'!D19</f>
        <v>0.18</v>
      </c>
      <c r="H127" s="429">
        <f>'RD vZuluft'!F19</f>
        <v>0.19</v>
      </c>
      <c r="I127" s="429">
        <f>'RD vZuluft'!H19</f>
        <v>0.32</v>
      </c>
      <c r="J127" s="429">
        <f>'RD vZuluft'!J19</f>
        <v>0.3</v>
      </c>
      <c r="K127" s="429">
        <f>'RD vZuluft'!L19</f>
        <v>0.36</v>
      </c>
      <c r="L127" s="429">
        <f>'RD vZuluft'!N19</f>
        <v>0.32</v>
      </c>
      <c r="M127" s="429">
        <f>'RD vZuluft'!P19</f>
        <v>0.37</v>
      </c>
      <c r="N127" s="429">
        <f>'RD vZuluft'!R19</f>
        <v>0.19</v>
      </c>
      <c r="T127"/>
      <c r="U127"/>
      <c r="V127"/>
      <c r="W127"/>
      <c r="X127"/>
      <c r="Y127"/>
      <c r="Z127"/>
      <c r="AA127"/>
      <c r="AB127"/>
      <c r="AD127" s="424"/>
      <c r="AE127" s="262" t="str">
        <f t="shared" si="31"/>
        <v xml:space="preserve"> keine Eingabe</v>
      </c>
      <c r="AF127" s="262" t="str">
        <f t="shared" ref="AF127" si="41">IF(AD126=" - "," keine Eingabe",)</f>
        <v xml:space="preserve"> keine Eingabe</v>
      </c>
    </row>
    <row r="128" spans="1:32" ht="15.45">
      <c r="G128" s="430"/>
      <c r="H128" s="430"/>
      <c r="I128" s="430"/>
      <c r="J128" s="430"/>
      <c r="K128" s="430"/>
      <c r="L128" s="430"/>
      <c r="M128" s="430"/>
      <c r="N128" s="430"/>
      <c r="T128"/>
      <c r="U128"/>
      <c r="V128"/>
      <c r="W128"/>
      <c r="X128"/>
      <c r="Y128"/>
      <c r="Z128"/>
      <c r="AA128"/>
      <c r="AB128"/>
      <c r="AD128" s="424"/>
      <c r="AE128" s="262" t="str">
        <f t="shared" si="38"/>
        <v xml:space="preserve"> keine Eingabe</v>
      </c>
      <c r="AF128" s="262" t="str">
        <f t="shared" ref="AF128" si="42">IF(AD126=" - "," keine Eingabe",)</f>
        <v xml:space="preserve"> keine Eingabe</v>
      </c>
    </row>
    <row r="129" spans="1:32" ht="15.45">
      <c r="G129" s="429">
        <f>'RD vZuluft'!D21</f>
        <v>0.17</v>
      </c>
      <c r="H129" s="429">
        <f>'RD vZuluft'!F21</f>
        <v>0.19</v>
      </c>
      <c r="I129" s="429">
        <f>'RD vZuluft'!H21</f>
        <v>0.32</v>
      </c>
      <c r="J129" s="429">
        <f>'RD vZuluft'!J21</f>
        <v>0.31</v>
      </c>
      <c r="K129" s="429">
        <f>'RD vZuluft'!L21</f>
        <v>0.33</v>
      </c>
      <c r="L129" s="429">
        <f>'RD vZuluft'!N21</f>
        <v>0.3</v>
      </c>
      <c r="M129" s="429">
        <f>'RD vZuluft'!P21</f>
        <v>0.34</v>
      </c>
      <c r="N129" s="429">
        <f>'RD vZuluft'!R21</f>
        <v>0.2</v>
      </c>
      <c r="T129"/>
      <c r="U129"/>
      <c r="V129"/>
      <c r="W129"/>
      <c r="X129"/>
      <c r="Y129"/>
      <c r="Z129"/>
      <c r="AA129"/>
      <c r="AB129"/>
      <c r="AD129" s="424" t="str">
        <f>IFERROR((IF(($AD126+0.01)&lt;($AD$97+(0.01*#REF!)),$AD126+0.01," - "))," - ")</f>
        <v xml:space="preserve"> - </v>
      </c>
      <c r="AE129" s="262" t="str">
        <f t="shared" si="35"/>
        <v xml:space="preserve"> keine Eingabe</v>
      </c>
      <c r="AF129" s="262" t="str">
        <f t="shared" ref="AF129" si="43">IF(AD129=" - "," keine Eingabe",)</f>
        <v xml:space="preserve"> keine Eingabe</v>
      </c>
    </row>
    <row r="130" spans="1:32" ht="15.45">
      <c r="G130" s="430"/>
      <c r="H130" s="430"/>
      <c r="I130" s="430"/>
      <c r="J130" s="430"/>
      <c r="K130" s="430"/>
      <c r="L130" s="430"/>
      <c r="M130" s="430"/>
      <c r="N130" s="430"/>
      <c r="T130"/>
      <c r="U130"/>
      <c r="V130"/>
      <c r="W130"/>
      <c r="X130"/>
      <c r="Y130"/>
      <c r="Z130"/>
      <c r="AA130"/>
      <c r="AB130"/>
      <c r="AD130" s="424"/>
      <c r="AE130" s="262" t="str">
        <f t="shared" si="31"/>
        <v xml:space="preserve"> keine Eingabe</v>
      </c>
      <c r="AF130" s="262" t="str">
        <f t="shared" ref="AF130" si="44">IF(AD129=" - "," keine Eingabe",)</f>
        <v xml:space="preserve"> keine Eingabe</v>
      </c>
    </row>
    <row r="131" spans="1:32" ht="15.45">
      <c r="G131" s="429">
        <f>'RD vZuluft'!D23</f>
        <v>0.18</v>
      </c>
      <c r="H131" s="429">
        <f>'RD vZuluft'!F23</f>
        <v>0.2</v>
      </c>
      <c r="I131" s="429">
        <f>'RD vZuluft'!H23</f>
        <v>0.34</v>
      </c>
      <c r="J131" s="429">
        <f>'RD vZuluft'!J23</f>
        <v>0.31</v>
      </c>
      <c r="K131" s="429">
        <f>'RD vZuluft'!L23</f>
        <v>0.33</v>
      </c>
      <c r="L131" s="429">
        <f>'RD vZuluft'!N23</f>
        <v>0.32</v>
      </c>
      <c r="M131" s="429">
        <f>'RD vZuluft'!P23</f>
        <v>0.36</v>
      </c>
      <c r="N131" s="429">
        <f>'RD vZuluft'!R23</f>
        <v>0.22</v>
      </c>
      <c r="T131"/>
      <c r="U131"/>
      <c r="V131"/>
      <c r="W131"/>
      <c r="X131"/>
      <c r="Y131"/>
      <c r="Z131"/>
      <c r="AA131"/>
      <c r="AB131"/>
      <c r="AD131" s="424"/>
      <c r="AE131" s="262" t="str">
        <f t="shared" si="38"/>
        <v xml:space="preserve"> keine Eingabe</v>
      </c>
      <c r="AF131" s="262" t="str">
        <f t="shared" ref="AF131" si="45">IF(AD129=" - "," keine Eingabe",)</f>
        <v xml:space="preserve"> keine Eingabe</v>
      </c>
    </row>
    <row r="132" spans="1:32" ht="15.45">
      <c r="G132" s="430"/>
      <c r="H132" s="430"/>
      <c r="I132" s="430"/>
      <c r="J132" s="430"/>
      <c r="K132" s="430"/>
      <c r="L132" s="430"/>
      <c r="M132" s="430"/>
      <c r="N132" s="430"/>
      <c r="T132"/>
      <c r="U132"/>
      <c r="V132"/>
      <c r="W132"/>
      <c r="X132"/>
      <c r="Y132"/>
      <c r="Z132"/>
      <c r="AA132"/>
      <c r="AB132"/>
    </row>
    <row r="133" spans="1:32" ht="15.45">
      <c r="A133" s="269" t="s">
        <v>306</v>
      </c>
      <c r="F133"/>
      <c r="G133" s="429">
        <f>'RD vZuluft'!D25</f>
        <v>0.18</v>
      </c>
      <c r="H133" s="429">
        <f>'RD vZuluft'!F25</f>
        <v>0.19</v>
      </c>
      <c r="I133" s="429">
        <f>'RD vZuluft'!H25</f>
        <v>0.31</v>
      </c>
      <c r="J133" s="429">
        <f>'RD vZuluft'!J25</f>
        <v>0.31</v>
      </c>
      <c r="K133" s="429">
        <f>'RD vZuluft'!L25</f>
        <v>0.31</v>
      </c>
      <c r="L133" s="429">
        <f>'RD vZuluft'!N25</f>
        <v>0.3</v>
      </c>
      <c r="M133" s="429">
        <f>'RD vZuluft'!P25</f>
        <v>0.3</v>
      </c>
      <c r="N133" s="429">
        <f>'RD vZuluft'!R25</f>
        <v>0.2</v>
      </c>
      <c r="T133"/>
      <c r="U133"/>
      <c r="V133"/>
      <c r="W133"/>
      <c r="X133"/>
      <c r="Y133"/>
      <c r="Z133"/>
      <c r="AA133"/>
      <c r="AB133"/>
    </row>
    <row r="134" spans="1:32" ht="15.45">
      <c r="F134"/>
      <c r="G134" s="430"/>
      <c r="H134" s="430"/>
      <c r="I134" s="430"/>
      <c r="J134" s="430"/>
      <c r="K134" s="430"/>
      <c r="L134" s="430"/>
      <c r="M134" s="430"/>
      <c r="N134" s="430"/>
      <c r="T134"/>
      <c r="U134"/>
      <c r="V134"/>
      <c r="W134"/>
      <c r="X134"/>
      <c r="Y134"/>
      <c r="Z134"/>
      <c r="AA134"/>
      <c r="AB134"/>
    </row>
    <row r="135" spans="1:32" ht="15.45">
      <c r="A135" s="150" t="s">
        <v>308</v>
      </c>
      <c r="B135" s="310">
        <f>G35/B39</f>
        <v>577.34456414789156</v>
      </c>
      <c r="F135"/>
      <c r="G135" s="429">
        <f>'RD vZuluft'!D27</f>
        <v>0.19</v>
      </c>
      <c r="H135" s="429">
        <f>'RD vZuluft'!F27</f>
        <v>0.21</v>
      </c>
      <c r="I135" s="429">
        <f>'RD vZuluft'!H27</f>
        <v>0.32</v>
      </c>
      <c r="J135" s="429">
        <f>'RD vZuluft'!J27</f>
        <v>0.32</v>
      </c>
      <c r="K135" s="429">
        <f>'RD vZuluft'!L27</f>
        <v>0.31</v>
      </c>
      <c r="L135" s="429">
        <f>'RD vZuluft'!N27</f>
        <v>0.31</v>
      </c>
      <c r="M135" s="429">
        <f>'RD vZuluft'!P27</f>
        <v>0.17</v>
      </c>
      <c r="N135" s="429">
        <f>'RD vZuluft'!R27</f>
        <v>0.18</v>
      </c>
      <c r="T135"/>
      <c r="U135"/>
      <c r="V135"/>
      <c r="W135"/>
      <c r="X135"/>
      <c r="Y135"/>
      <c r="Z135"/>
      <c r="AA135"/>
      <c r="AB135"/>
    </row>
    <row r="136" spans="1:32" ht="15.45">
      <c r="A136" s="150" t="s">
        <v>311</v>
      </c>
      <c r="B136" s="282">
        <f>B135*1000000*(1/60)*('P FIT 1_4'!V22*0.1)*0.01*0.05</f>
        <v>4.8112047012324304</v>
      </c>
      <c r="F136"/>
      <c r="G136" s="430"/>
      <c r="H136" s="430"/>
      <c r="I136" s="430"/>
      <c r="J136" s="430"/>
      <c r="K136" s="430"/>
      <c r="L136" s="430"/>
      <c r="M136" s="430"/>
      <c r="N136" s="430"/>
      <c r="T136"/>
      <c r="U136"/>
      <c r="V136"/>
      <c r="W136"/>
      <c r="X136"/>
      <c r="Y136"/>
      <c r="Z136"/>
      <c r="AA136"/>
      <c r="AB136"/>
    </row>
    <row r="137" spans="1:32" ht="15.45">
      <c r="B137" s="204" t="s">
        <v>307</v>
      </c>
      <c r="F137"/>
      <c r="G137" s="429">
        <f>'RD vZuluft'!D29</f>
        <v>0.19</v>
      </c>
      <c r="H137" s="429">
        <f>'RD vZuluft'!F29</f>
        <v>0.2</v>
      </c>
      <c r="I137" s="429">
        <f>'RD vZuluft'!H29</f>
        <v>0.18</v>
      </c>
      <c r="J137" s="429">
        <f>'RD vZuluft'!J29</f>
        <v>0.2</v>
      </c>
      <c r="K137" s="429">
        <f>'RD vZuluft'!L29</f>
        <v>0.2</v>
      </c>
      <c r="L137" s="429">
        <f>'RD vZuluft'!N29</f>
        <v>0.18</v>
      </c>
      <c r="M137" s="429">
        <f>'RD vZuluft'!P29</f>
        <v>0.2</v>
      </c>
      <c r="N137" s="429">
        <f>'RD vZuluft'!R29</f>
        <v>0.22</v>
      </c>
      <c r="T137"/>
      <c r="U137"/>
      <c r="V137"/>
      <c r="W137"/>
      <c r="X137"/>
      <c r="Y137"/>
      <c r="Z137"/>
      <c r="AA137"/>
      <c r="AB137"/>
    </row>
    <row r="138" spans="1:32" ht="15.45">
      <c r="A138" s="280">
        <f>A45</f>
        <v>158.01</v>
      </c>
      <c r="B138" s="283">
        <f>IF(A138="-","-",'RD Dichtsitz'!$F15)</f>
        <v>0</v>
      </c>
      <c r="F138"/>
      <c r="G138" s="430"/>
      <c r="H138" s="430"/>
      <c r="I138" s="430"/>
      <c r="J138" s="430"/>
      <c r="K138" s="430"/>
      <c r="L138" s="430"/>
      <c r="M138" s="430"/>
      <c r="N138" s="430"/>
      <c r="T138"/>
      <c r="U138"/>
      <c r="V138"/>
      <c r="W138"/>
      <c r="X138"/>
      <c r="Y138"/>
      <c r="Z138"/>
      <c r="AA138"/>
      <c r="AB138"/>
    </row>
    <row r="139" spans="1:32" ht="15.45">
      <c r="A139" s="281">
        <f>A138+0.01</f>
        <v>158.01999999999998</v>
      </c>
      <c r="B139" s="283">
        <f>IF(A139="-","-",'RD Dichtsitz'!$F16)</f>
        <v>0</v>
      </c>
      <c r="F139"/>
      <c r="G139"/>
      <c r="H139"/>
      <c r="I139"/>
      <c r="J139"/>
      <c r="K139" s="303"/>
      <c r="L139" s="136"/>
      <c r="M139" s="136"/>
      <c r="N139" s="136"/>
      <c r="T139"/>
      <c r="U139"/>
      <c r="V139"/>
      <c r="W139"/>
      <c r="X139"/>
      <c r="Y139"/>
      <c r="Z139"/>
      <c r="AA139"/>
      <c r="AB139"/>
    </row>
    <row r="140" spans="1:32" ht="15.45">
      <c r="A140" s="281">
        <f t="shared" ref="A140:A144" si="46">A139+0.01</f>
        <v>158.02999999999997</v>
      </c>
      <c r="B140" s="283">
        <v>0</v>
      </c>
      <c r="F140"/>
      <c r="G140"/>
      <c r="H140"/>
      <c r="I140"/>
      <c r="J140"/>
      <c r="K140" s="303"/>
      <c r="L140" s="136"/>
      <c r="M140" s="136"/>
      <c r="N140" s="136"/>
      <c r="T140"/>
      <c r="U140"/>
      <c r="V140"/>
      <c r="W140"/>
      <c r="X140"/>
      <c r="Y140"/>
      <c r="Z140"/>
      <c r="AA140"/>
      <c r="AB140"/>
    </row>
    <row r="141" spans="1:32" ht="15.45">
      <c r="A141" s="281">
        <f t="shared" si="46"/>
        <v>158.03999999999996</v>
      </c>
      <c r="B141" s="283">
        <v>0</v>
      </c>
      <c r="F141"/>
      <c r="G141"/>
      <c r="H141"/>
      <c r="I141"/>
      <c r="J141"/>
      <c r="K141"/>
      <c r="L141"/>
      <c r="M141"/>
      <c r="N141"/>
      <c r="O141"/>
      <c r="T141"/>
      <c r="U141"/>
      <c r="V141"/>
      <c r="W141"/>
      <c r="X141"/>
      <c r="Y141"/>
      <c r="Z141"/>
      <c r="AA141"/>
      <c r="AB141"/>
    </row>
    <row r="142" spans="1:32" ht="15.45">
      <c r="A142" s="281">
        <f t="shared" si="46"/>
        <v>158.04999999999995</v>
      </c>
      <c r="B142" s="283">
        <v>0</v>
      </c>
      <c r="F142"/>
      <c r="G142"/>
      <c r="H142"/>
      <c r="I142"/>
      <c r="J142"/>
      <c r="K142"/>
      <c r="L142"/>
      <c r="M142"/>
      <c r="N142"/>
      <c r="O142"/>
      <c r="T142"/>
      <c r="U142"/>
      <c r="V142"/>
      <c r="W142"/>
      <c r="X142"/>
      <c r="Y142"/>
      <c r="Z142"/>
      <c r="AA142"/>
      <c r="AB142"/>
    </row>
    <row r="143" spans="1:32" ht="15.45">
      <c r="A143" s="281">
        <f t="shared" si="46"/>
        <v>158.05999999999995</v>
      </c>
      <c r="B143" s="283">
        <v>0</v>
      </c>
      <c r="F143"/>
      <c r="G143"/>
      <c r="H143"/>
      <c r="I143"/>
      <c r="J143"/>
      <c r="K143"/>
      <c r="L143"/>
      <c r="M143"/>
      <c r="N143"/>
      <c r="O143"/>
      <c r="T143"/>
      <c r="U143"/>
      <c r="V143"/>
      <c r="W143"/>
      <c r="X143"/>
      <c r="Y143"/>
      <c r="Z143"/>
      <c r="AA143"/>
      <c r="AB143"/>
    </row>
    <row r="144" spans="1:32" ht="15.45">
      <c r="A144" s="281">
        <f t="shared" si="46"/>
        <v>158.06999999999994</v>
      </c>
      <c r="B144" s="283">
        <v>0</v>
      </c>
      <c r="F144"/>
      <c r="G144"/>
      <c r="H144"/>
      <c r="I144"/>
      <c r="J144"/>
      <c r="K144"/>
      <c r="L144"/>
      <c r="M144"/>
      <c r="N144"/>
      <c r="O144"/>
      <c r="T144"/>
      <c r="U144"/>
      <c r="V144"/>
      <c r="W144"/>
      <c r="X144"/>
      <c r="Y144"/>
      <c r="Z144"/>
      <c r="AA144"/>
      <c r="AB144"/>
    </row>
    <row r="145" spans="1:28" ht="15.45">
      <c r="A145" s="281">
        <f>A144+0.01</f>
        <v>158.07999999999993</v>
      </c>
      <c r="B145" s="283">
        <f>IF(A145="-","-",'RD Dichtsitz'!$F22)</f>
        <v>0</v>
      </c>
      <c r="F145"/>
      <c r="G145"/>
      <c r="H145"/>
      <c r="I145"/>
      <c r="J145"/>
      <c r="K145"/>
      <c r="L145"/>
      <c r="M145"/>
      <c r="N145"/>
      <c r="O145"/>
      <c r="T145"/>
      <c r="U145"/>
      <c r="V145"/>
      <c r="W145"/>
      <c r="X145"/>
      <c r="Y145"/>
      <c r="Z145"/>
      <c r="AA145"/>
      <c r="AB145"/>
    </row>
    <row r="146" spans="1:28" ht="15.45">
      <c r="A146" s="281">
        <f>A145+0.01</f>
        <v>158.08999999999992</v>
      </c>
      <c r="B146" s="283">
        <f>IF(A146="-","-",'RD Dichtsitz'!$F23)</f>
        <v>0</v>
      </c>
      <c r="F146"/>
      <c r="G146"/>
      <c r="H146"/>
      <c r="I146"/>
      <c r="J146"/>
      <c r="K146"/>
      <c r="L146"/>
      <c r="M146"/>
      <c r="N146"/>
      <c r="O146"/>
      <c r="T146"/>
      <c r="U146"/>
      <c r="V146"/>
      <c r="W146"/>
      <c r="X146"/>
      <c r="Y146"/>
      <c r="Z146"/>
      <c r="AA146"/>
      <c r="AB146"/>
    </row>
    <row r="147" spans="1:28" ht="15.45">
      <c r="A147" s="281">
        <f>A70</f>
        <v>0</v>
      </c>
      <c r="B147" s="283" t="str">
        <f>IF(A147="-","-",'RD Dichtsitz'!$F24)</f>
        <v>-</v>
      </c>
      <c r="F147"/>
      <c r="G147"/>
      <c r="H147"/>
      <c r="I147"/>
      <c r="J147"/>
      <c r="K147"/>
      <c r="L147"/>
      <c r="M147"/>
      <c r="N147"/>
      <c r="O147"/>
      <c r="T147"/>
      <c r="U147"/>
      <c r="V147"/>
      <c r="W147"/>
      <c r="X147"/>
      <c r="Y147"/>
      <c r="Z147"/>
      <c r="AA147"/>
      <c r="AB147"/>
    </row>
    <row r="148" spans="1:28" ht="15.45">
      <c r="A148" s="280">
        <f>A73</f>
        <v>0</v>
      </c>
      <c r="B148" s="283" t="str">
        <f>IF(A148="-","-",'RD Dichtsitz'!$F25)</f>
        <v>-</v>
      </c>
      <c r="F148"/>
      <c r="G148"/>
      <c r="H148"/>
      <c r="I148"/>
      <c r="J148"/>
      <c r="K148"/>
      <c r="L148"/>
      <c r="M148"/>
      <c r="N148"/>
      <c r="O148"/>
      <c r="T148"/>
      <c r="U148"/>
      <c r="V148"/>
      <c r="W148"/>
      <c r="X148"/>
      <c r="Y148"/>
      <c r="Z148"/>
      <c r="AA148"/>
      <c r="AB148"/>
    </row>
    <row r="149" spans="1:28" ht="15.45">
      <c r="A149" s="281">
        <f>A76</f>
        <v>0</v>
      </c>
      <c r="B149" s="283" t="str">
        <f>IF(A149="-","-",'RD Dichtsitz'!$F26)</f>
        <v>-</v>
      </c>
      <c r="F149"/>
      <c r="G149"/>
      <c r="H149"/>
      <c r="I149"/>
      <c r="J149"/>
      <c r="K149"/>
      <c r="L149"/>
      <c r="M149"/>
      <c r="N149"/>
      <c r="O149"/>
      <c r="T149"/>
      <c r="U149"/>
      <c r="V149"/>
      <c r="W149"/>
      <c r="X149"/>
      <c r="Y149"/>
      <c r="Z149"/>
      <c r="AA149"/>
      <c r="AB149"/>
    </row>
    <row r="150" spans="1:28" ht="15.45">
      <c r="A150" s="280">
        <f>A79</f>
        <v>0</v>
      </c>
      <c r="B150" s="283" t="str">
        <f>IF(A150="-","-",'RD Dichtsitz'!$F27)</f>
        <v>-</v>
      </c>
      <c r="F150"/>
      <c r="G150"/>
      <c r="H150"/>
      <c r="I150"/>
      <c r="J150"/>
      <c r="K150"/>
      <c r="L150"/>
      <c r="M150"/>
      <c r="N150"/>
      <c r="O150"/>
      <c r="T150"/>
      <c r="U150"/>
      <c r="V150"/>
      <c r="W150"/>
      <c r="X150"/>
      <c r="Y150"/>
      <c r="Z150"/>
      <c r="AA150"/>
      <c r="AB150"/>
    </row>
    <row r="151" spans="1:28" ht="15.45">
      <c r="A151" s="280">
        <f>A76</f>
        <v>0</v>
      </c>
      <c r="B151" s="283" t="str">
        <f>IF(A151="-","-",'RD Dichtsitz'!$F28)</f>
        <v>-</v>
      </c>
      <c r="F151"/>
      <c r="G151"/>
      <c r="H151"/>
      <c r="I151"/>
      <c r="J151"/>
      <c r="K151"/>
      <c r="L151"/>
      <c r="M151"/>
      <c r="N151"/>
      <c r="O151"/>
      <c r="T151"/>
      <c r="U151"/>
      <c r="V151"/>
      <c r="W151"/>
      <c r="X151"/>
      <c r="Y151"/>
      <c r="Z151"/>
      <c r="AA151"/>
      <c r="AB151"/>
    </row>
    <row r="152" spans="1:28" ht="15.45">
      <c r="A152" s="281">
        <f>A79</f>
        <v>0</v>
      </c>
      <c r="B152" s="283" t="str">
        <f>IF(A152="-","-",'RD Dichtsitz'!$F29)</f>
        <v>-</v>
      </c>
      <c r="F152"/>
      <c r="G152"/>
      <c r="H152"/>
      <c r="I152"/>
      <c r="J152"/>
      <c r="K152"/>
      <c r="L152"/>
      <c r="M152"/>
      <c r="N152"/>
      <c r="O152"/>
      <c r="T152"/>
      <c r="U152"/>
      <c r="V152"/>
      <c r="W152"/>
      <c r="X152"/>
      <c r="Y152"/>
      <c r="Z152"/>
      <c r="AA152"/>
      <c r="AB152"/>
    </row>
    <row r="153" spans="1:28" ht="15.45">
      <c r="A153" s="280">
        <f>A82</f>
        <v>0</v>
      </c>
      <c r="B153" s="283" t="str">
        <f>IF(A153="-","-",'RD Dichtsitz'!$F30)</f>
        <v>-</v>
      </c>
      <c r="F153"/>
      <c r="G153"/>
      <c r="H153"/>
      <c r="I153"/>
      <c r="J153"/>
      <c r="K153"/>
      <c r="L153"/>
      <c r="M153"/>
      <c r="N153"/>
      <c r="O153"/>
      <c r="T153"/>
      <c r="U153"/>
      <c r="V153"/>
      <c r="W153"/>
      <c r="X153"/>
      <c r="Y153"/>
      <c r="Z153"/>
      <c r="AA153"/>
      <c r="AB153"/>
    </row>
    <row r="154" spans="1:28" ht="15.45">
      <c r="A154" s="280">
        <f>A79</f>
        <v>0</v>
      </c>
      <c r="B154" s="283" t="str">
        <f>IF(A154="-","-",'RD Dichtsitz'!$F31)</f>
        <v>-</v>
      </c>
      <c r="F154"/>
      <c r="G154"/>
      <c r="H154"/>
      <c r="I154"/>
      <c r="J154"/>
      <c r="K154"/>
      <c r="L154"/>
      <c r="M154"/>
      <c r="N154"/>
      <c r="O154"/>
      <c r="T154"/>
      <c r="U154"/>
      <c r="V154"/>
      <c r="W154"/>
      <c r="X154"/>
      <c r="Y154"/>
      <c r="Z154"/>
      <c r="AA154"/>
      <c r="AB154"/>
    </row>
    <row r="155" spans="1:28" ht="15.45">
      <c r="A155" s="281">
        <f>A82</f>
        <v>0</v>
      </c>
      <c r="B155" s="283" t="str">
        <f>IF(A155="-","-",'RD Dichtsitz'!$F32)</f>
        <v>-</v>
      </c>
      <c r="F155"/>
      <c r="G155"/>
      <c r="H155"/>
      <c r="I155"/>
      <c r="J155"/>
      <c r="K155"/>
      <c r="L155"/>
      <c r="M155"/>
      <c r="N155"/>
      <c r="O155"/>
      <c r="T155"/>
      <c r="U155"/>
      <c r="V155"/>
      <c r="W155"/>
      <c r="X155"/>
      <c r="Y155"/>
      <c r="Z155"/>
      <c r="AA155"/>
      <c r="AB155"/>
    </row>
    <row r="156" spans="1:28" ht="15.45">
      <c r="A156" s="280">
        <f>A85</f>
        <v>0</v>
      </c>
      <c r="B156" s="283" t="str">
        <f>IF(A156="-","-",'RD Dichtsitz'!$F33)</f>
        <v>-</v>
      </c>
      <c r="F156"/>
      <c r="G156"/>
      <c r="H156"/>
      <c r="I156"/>
      <c r="J156"/>
      <c r="K156"/>
      <c r="L156"/>
      <c r="M156"/>
      <c r="N156"/>
      <c r="O156"/>
      <c r="T156"/>
      <c r="U156"/>
      <c r="V156"/>
      <c r="W156"/>
      <c r="X156"/>
      <c r="Y156"/>
      <c r="Z156"/>
      <c r="AA156"/>
      <c r="AB156"/>
    </row>
    <row r="157" spans="1:28" ht="15.45">
      <c r="A157" s="280">
        <f>A82</f>
        <v>0</v>
      </c>
      <c r="B157" s="283" t="str">
        <f>IF(A157="-","-",'RD Dichtsitz'!$F34)</f>
        <v>-</v>
      </c>
      <c r="F157"/>
      <c r="G157"/>
      <c r="H157"/>
      <c r="I157"/>
      <c r="J157"/>
      <c r="K157"/>
      <c r="L157"/>
      <c r="M157"/>
      <c r="N157"/>
      <c r="O157"/>
      <c r="T157"/>
      <c r="U157"/>
      <c r="V157"/>
      <c r="W157"/>
      <c r="X157"/>
      <c r="Y157"/>
      <c r="Z157"/>
      <c r="AA157"/>
      <c r="AB157"/>
    </row>
    <row r="158" spans="1:28" ht="15.45">
      <c r="A158" s="281">
        <f>A85</f>
        <v>0</v>
      </c>
      <c r="B158" s="283" t="str">
        <f>IF(A158="-","-",'RD Dichtsitz'!$F35)</f>
        <v>-</v>
      </c>
      <c r="F158"/>
      <c r="G158"/>
      <c r="H158"/>
      <c r="I158"/>
      <c r="J158"/>
      <c r="K158"/>
      <c r="L158"/>
      <c r="M158"/>
      <c r="N158"/>
      <c r="O158"/>
      <c r="T158"/>
      <c r="U158"/>
      <c r="V158"/>
      <c r="W158"/>
      <c r="X158"/>
      <c r="Y158"/>
      <c r="Z158"/>
      <c r="AA158"/>
      <c r="AB158"/>
    </row>
    <row r="159" spans="1:28" ht="15.45">
      <c r="A159" s="280">
        <f>A88</f>
        <v>0</v>
      </c>
      <c r="B159" s="283" t="str">
        <f>IF(A159="-","-",'RD Dichtsitz'!$F36)</f>
        <v>-</v>
      </c>
      <c r="F159"/>
      <c r="G159"/>
      <c r="H159"/>
      <c r="I159"/>
      <c r="J159"/>
      <c r="K159"/>
      <c r="L159"/>
      <c r="M159"/>
      <c r="N159"/>
      <c r="O159"/>
      <c r="T159"/>
      <c r="U159"/>
      <c r="V159"/>
      <c r="W159"/>
      <c r="X159"/>
      <c r="Y159"/>
      <c r="Z159"/>
      <c r="AA159"/>
      <c r="AB159"/>
    </row>
    <row r="160" spans="1:28" ht="15.45">
      <c r="A160" s="280">
        <f>A85</f>
        <v>0</v>
      </c>
      <c r="B160" s="283" t="str">
        <f>IF(A160="-","-",'RD Dichtsitz'!$F37)</f>
        <v>-</v>
      </c>
      <c r="F160"/>
      <c r="G160"/>
      <c r="H160"/>
      <c r="I160"/>
      <c r="J160"/>
      <c r="K160"/>
      <c r="L160"/>
      <c r="M160"/>
      <c r="N160"/>
      <c r="O160"/>
      <c r="T160"/>
      <c r="U160"/>
      <c r="V160"/>
      <c r="W160"/>
      <c r="X160"/>
      <c r="Y160"/>
      <c r="Z160"/>
      <c r="AA160"/>
      <c r="AB160"/>
    </row>
    <row r="161" spans="1:28" ht="15.45">
      <c r="A161" s="281">
        <f>A88</f>
        <v>0</v>
      </c>
      <c r="B161" s="283" t="str">
        <f>IF(A161="-","-",'RD Dichtsitz'!$F38)</f>
        <v>-</v>
      </c>
      <c r="F161"/>
      <c r="H161" s="10"/>
      <c r="I161"/>
      <c r="J161"/>
      <c r="K161" s="303"/>
      <c r="L161" s="136"/>
      <c r="M161" s="136"/>
      <c r="N161" s="136"/>
      <c r="T161"/>
      <c r="U161"/>
      <c r="V161"/>
      <c r="W161"/>
      <c r="X161"/>
      <c r="Y161"/>
      <c r="Z161"/>
      <c r="AA161"/>
      <c r="AB161"/>
    </row>
    <row r="162" spans="1:28" ht="15.45">
      <c r="F162"/>
      <c r="H162" s="10"/>
      <c r="I162"/>
      <c r="J162"/>
      <c r="K162" s="303"/>
      <c r="L162" s="136"/>
      <c r="M162" s="136"/>
      <c r="N162" s="136"/>
      <c r="T162"/>
      <c r="U162"/>
      <c r="V162"/>
      <c r="W162"/>
      <c r="X162"/>
      <c r="Y162"/>
      <c r="Z162"/>
      <c r="AA162"/>
      <c r="AB162"/>
    </row>
    <row r="163" spans="1:28" ht="15.45">
      <c r="F163"/>
      <c r="H163" s="10"/>
      <c r="I163"/>
      <c r="J163"/>
      <c r="K163" s="303"/>
      <c r="L163" s="136"/>
      <c r="M163" s="136"/>
      <c r="N163" s="136"/>
      <c r="T163"/>
      <c r="U163"/>
      <c r="V163"/>
      <c r="W163"/>
      <c r="X163"/>
      <c r="Y163"/>
      <c r="Z163"/>
      <c r="AA163"/>
      <c r="AB163"/>
    </row>
    <row r="164" spans="1:28" ht="15.45">
      <c r="F164"/>
      <c r="H164" s="10"/>
      <c r="I164"/>
      <c r="J164"/>
      <c r="K164" s="303"/>
      <c r="L164" s="136"/>
      <c r="M164" s="136"/>
      <c r="N164" s="136"/>
      <c r="T164"/>
      <c r="U164"/>
      <c r="V164"/>
      <c r="W164"/>
      <c r="X164"/>
      <c r="Y164"/>
      <c r="Z164"/>
      <c r="AA164"/>
      <c r="AB164"/>
    </row>
    <row r="165" spans="1:28" ht="15.45">
      <c r="F165"/>
      <c r="G165"/>
      <c r="H165" s="10"/>
      <c r="I165"/>
      <c r="J165"/>
      <c r="K165" s="303"/>
      <c r="L165" s="136"/>
      <c r="M165" s="136"/>
      <c r="N165" s="136"/>
      <c r="T165"/>
      <c r="U165"/>
      <c r="V165"/>
      <c r="W165"/>
      <c r="X165"/>
      <c r="Y165"/>
      <c r="Z165"/>
      <c r="AA165"/>
      <c r="AB165"/>
    </row>
    <row r="166" spans="1:28" ht="15.45">
      <c r="F166"/>
      <c r="G166"/>
      <c r="H166" s="10"/>
      <c r="I166"/>
      <c r="J166"/>
      <c r="K166" s="303"/>
      <c r="L166" s="136"/>
      <c r="M166" s="136"/>
      <c r="N166" s="136"/>
      <c r="T166"/>
      <c r="U166"/>
      <c r="V166"/>
      <c r="W166"/>
      <c r="X166"/>
      <c r="Y166"/>
      <c r="Z166"/>
      <c r="AA166"/>
      <c r="AB166"/>
    </row>
    <row r="167" spans="1:28" ht="15.45">
      <c r="F167"/>
      <c r="G167"/>
      <c r="H167" s="10"/>
      <c r="I167"/>
      <c r="J167"/>
      <c r="K167" s="303"/>
      <c r="L167" s="136"/>
      <c r="M167" s="136"/>
      <c r="N167" s="136"/>
      <c r="T167"/>
      <c r="U167"/>
      <c r="V167"/>
      <c r="W167"/>
      <c r="X167"/>
      <c r="Y167"/>
      <c r="Z167"/>
      <c r="AA167"/>
      <c r="AB167"/>
    </row>
    <row r="168" spans="1:28" ht="15.45">
      <c r="F168"/>
      <c r="G168"/>
      <c r="H168" s="10"/>
      <c r="I168"/>
      <c r="J168"/>
      <c r="K168" s="303"/>
      <c r="L168" s="136"/>
      <c r="M168" s="136"/>
      <c r="N168" s="136"/>
      <c r="T168"/>
      <c r="U168"/>
      <c r="V168"/>
      <c r="W168"/>
      <c r="X168"/>
      <c r="Y168"/>
      <c r="Z168"/>
      <c r="AA168"/>
      <c r="AB168"/>
    </row>
    <row r="169" spans="1:28" ht="15.45">
      <c r="F169"/>
      <c r="G169"/>
      <c r="H169" s="10"/>
      <c r="I169"/>
      <c r="J169"/>
      <c r="K169" s="303"/>
      <c r="L169" s="136"/>
      <c r="M169" s="136"/>
      <c r="N169" s="136"/>
      <c r="T169"/>
      <c r="U169"/>
      <c r="V169"/>
      <c r="W169"/>
      <c r="X169"/>
      <c r="Y169"/>
      <c r="Z169"/>
      <c r="AA169"/>
      <c r="AB169"/>
    </row>
    <row r="170" spans="1:28" ht="15.45">
      <c r="F170" s="150" t="s">
        <v>105</v>
      </c>
      <c r="H170" s="10"/>
      <c r="I170"/>
      <c r="J170"/>
      <c r="K170" s="303"/>
      <c r="L170" s="136"/>
      <c r="M170" s="136"/>
      <c r="N170" s="136"/>
      <c r="T170"/>
      <c r="U170"/>
      <c r="V170"/>
      <c r="W170"/>
      <c r="X170"/>
      <c r="Y170"/>
      <c r="Z170"/>
      <c r="AA170"/>
      <c r="AB170"/>
    </row>
    <row r="171" spans="1:28" ht="15.45">
      <c r="H171" s="10"/>
      <c r="I171"/>
      <c r="J171"/>
      <c r="K171" s="303"/>
      <c r="L171" s="136"/>
      <c r="M171" s="136"/>
      <c r="N171" s="136"/>
      <c r="T171"/>
      <c r="U171"/>
      <c r="V171"/>
      <c r="W171"/>
      <c r="X171"/>
      <c r="Y171"/>
      <c r="Z171"/>
      <c r="AA171"/>
      <c r="AB171"/>
    </row>
    <row r="172" spans="1:28" ht="15.45">
      <c r="F172" s="277">
        <v>158.01</v>
      </c>
      <c r="G172" s="258">
        <f>'RD Volumenströme'!$J$15</f>
        <v>1180</v>
      </c>
      <c r="H172" s="10"/>
      <c r="I172"/>
      <c r="J172"/>
      <c r="K172" s="303"/>
      <c r="L172" s="136"/>
      <c r="M172" s="136"/>
      <c r="N172" s="136"/>
      <c r="T172"/>
      <c r="U172"/>
      <c r="V172"/>
      <c r="W172"/>
      <c r="X172"/>
      <c r="Y172"/>
      <c r="Z172"/>
      <c r="AA172"/>
      <c r="AB172"/>
    </row>
    <row r="173" spans="1:28" ht="15.45">
      <c r="F173" s="278">
        <f>F172+0.01</f>
        <v>158.01999999999998</v>
      </c>
      <c r="G173" s="258">
        <f>'RD Volumenströme'!$J$16</f>
        <v>1024</v>
      </c>
      <c r="H173" s="10"/>
      <c r="I173"/>
      <c r="J173"/>
      <c r="K173" s="303"/>
      <c r="L173" s="136"/>
      <c r="M173" s="136"/>
      <c r="N173" s="136"/>
      <c r="T173"/>
      <c r="U173"/>
      <c r="V173"/>
      <c r="W173"/>
      <c r="X173"/>
      <c r="Y173"/>
      <c r="Z173"/>
      <c r="AA173"/>
      <c r="AB173"/>
    </row>
    <row r="174" spans="1:28" ht="15.45">
      <c r="F174" s="278">
        <f t="shared" ref="F174:F178" si="47">F173+0.01</f>
        <v>158.02999999999997</v>
      </c>
      <c r="G174" s="258">
        <f>'RD Volumenströme'!$J$17</f>
        <v>1128</v>
      </c>
      <c r="H174" s="10"/>
      <c r="I174"/>
      <c r="J174"/>
      <c r="K174" s="303"/>
      <c r="L174" s="136"/>
      <c r="M174" s="136"/>
      <c r="N174" s="136"/>
      <c r="T174"/>
      <c r="U174"/>
      <c r="V174"/>
      <c r="W174"/>
      <c r="X174"/>
      <c r="Y174"/>
      <c r="Z174"/>
      <c r="AA174"/>
      <c r="AB174"/>
    </row>
    <row r="175" spans="1:28" ht="15.45">
      <c r="F175" s="278">
        <f t="shared" si="47"/>
        <v>158.03999999999996</v>
      </c>
      <c r="G175" s="258">
        <f>'RD Volumenströme'!$J$18</f>
        <v>1146</v>
      </c>
      <c r="H175" s="10"/>
      <c r="I175"/>
      <c r="J175"/>
      <c r="K175" s="303"/>
      <c r="L175" s="136"/>
      <c r="M175" s="136"/>
      <c r="N175" s="136"/>
      <c r="T175"/>
      <c r="U175"/>
      <c r="V175"/>
      <c r="W175"/>
      <c r="X175"/>
      <c r="Y175"/>
      <c r="Z175"/>
      <c r="AA175"/>
      <c r="AB175"/>
    </row>
    <row r="176" spans="1:28" ht="15.45">
      <c r="F176" s="278">
        <f t="shared" si="47"/>
        <v>158.04999999999995</v>
      </c>
      <c r="G176" s="258">
        <f>'RD Volumenströme'!$J$19</f>
        <v>340</v>
      </c>
      <c r="H176" s="10"/>
      <c r="I176"/>
      <c r="J176"/>
      <c r="K176" s="303"/>
      <c r="L176" s="136"/>
      <c r="M176" s="136"/>
      <c r="N176" s="136"/>
      <c r="T176"/>
      <c r="U176"/>
      <c r="V176"/>
      <c r="W176"/>
      <c r="X176"/>
      <c r="Y176"/>
      <c r="Z176"/>
      <c r="AA176"/>
      <c r="AB176"/>
    </row>
    <row r="177" spans="6:28" ht="15.45">
      <c r="F177" s="278">
        <f t="shared" si="47"/>
        <v>158.05999999999995</v>
      </c>
      <c r="G177" s="258" t="str">
        <f>'RD Volumenströme'!$J$20</f>
        <v>-</v>
      </c>
      <c r="H177" s="10"/>
      <c r="I177"/>
      <c r="J177"/>
      <c r="K177" s="303"/>
      <c r="L177" s="136"/>
      <c r="M177" s="136"/>
      <c r="N177" s="136"/>
      <c r="T177"/>
      <c r="U177"/>
      <c r="V177"/>
      <c r="W177"/>
      <c r="X177"/>
      <c r="Y177"/>
      <c r="Z177"/>
      <c r="AA177"/>
      <c r="AB177"/>
    </row>
    <row r="178" spans="6:28" ht="15.45">
      <c r="F178" s="278">
        <f t="shared" si="47"/>
        <v>158.06999999999994</v>
      </c>
      <c r="G178" s="258" t="str">
        <f>'RD Volumenströme'!$J$21</f>
        <v>-</v>
      </c>
      <c r="H178" s="10"/>
      <c r="I178"/>
      <c r="J178"/>
      <c r="K178"/>
      <c r="L178"/>
      <c r="T178"/>
      <c r="U178"/>
      <c r="V178"/>
      <c r="W178"/>
      <c r="X178"/>
      <c r="Y178"/>
      <c r="Z178"/>
      <c r="AA178"/>
      <c r="AB178"/>
    </row>
    <row r="179" spans="6:28" ht="15.45">
      <c r="H179" s="10"/>
      <c r="I179"/>
      <c r="J179"/>
      <c r="K179"/>
      <c r="L179"/>
      <c r="T179"/>
      <c r="U179"/>
      <c r="V179"/>
      <c r="W179"/>
      <c r="X179"/>
      <c r="Y179"/>
      <c r="Z179"/>
      <c r="AA179"/>
      <c r="AB179"/>
    </row>
    <row r="180" spans="6:28" ht="15.45">
      <c r="H180" s="10"/>
      <c r="I180"/>
      <c r="J180"/>
      <c r="K180"/>
      <c r="L180"/>
      <c r="T180"/>
      <c r="U180"/>
      <c r="V180"/>
      <c r="W180"/>
      <c r="X180"/>
      <c r="Y180"/>
      <c r="Z180"/>
      <c r="AA180"/>
      <c r="AB180"/>
    </row>
    <row r="181" spans="6:28" ht="15.45">
      <c r="F181"/>
      <c r="H181" s="10"/>
      <c r="I181"/>
      <c r="J181"/>
      <c r="K181"/>
      <c r="L181"/>
      <c r="T181"/>
      <c r="U181"/>
      <c r="V181"/>
      <c r="W181"/>
      <c r="X181"/>
      <c r="Y181"/>
      <c r="Z181"/>
      <c r="AA181"/>
      <c r="AB181"/>
    </row>
    <row r="182" spans="6:28" ht="15.45">
      <c r="F182"/>
      <c r="H182" s="10"/>
      <c r="I182"/>
      <c r="J182"/>
      <c r="K182"/>
      <c r="L182"/>
      <c r="T182"/>
      <c r="U182"/>
      <c r="V182"/>
      <c r="W182"/>
      <c r="X182"/>
      <c r="Y182"/>
      <c r="Z182"/>
      <c r="AA182"/>
      <c r="AB182"/>
    </row>
    <row r="183" spans="6:28" ht="15.45">
      <c r="F183"/>
      <c r="H183" s="10"/>
      <c r="I183"/>
      <c r="J183"/>
      <c r="K183"/>
      <c r="L183"/>
      <c r="T183"/>
      <c r="U183"/>
      <c r="V183"/>
      <c r="W183"/>
      <c r="X183"/>
      <c r="Y183"/>
      <c r="Z183"/>
      <c r="AA183"/>
      <c r="AB183"/>
    </row>
    <row r="184" spans="6:28" ht="15.45">
      <c r="F184"/>
      <c r="H184" s="10"/>
      <c r="I184"/>
      <c r="J184"/>
      <c r="K184"/>
      <c r="L184"/>
      <c r="T184"/>
      <c r="U184"/>
      <c r="V184"/>
      <c r="W184"/>
      <c r="X184"/>
      <c r="Y184"/>
      <c r="Z184"/>
      <c r="AA184"/>
      <c r="AB184"/>
    </row>
    <row r="185" spans="6:28" ht="15.45">
      <c r="F185"/>
      <c r="H185" s="10"/>
      <c r="I185"/>
      <c r="J185"/>
      <c r="K185"/>
      <c r="L185"/>
      <c r="T185"/>
      <c r="U185"/>
      <c r="V185"/>
      <c r="W185"/>
      <c r="X185"/>
      <c r="Y185"/>
      <c r="Z185"/>
      <c r="AA185"/>
      <c r="AB185"/>
    </row>
    <row r="186" spans="6:28" ht="15.45">
      <c r="F186"/>
      <c r="I186"/>
      <c r="J186"/>
      <c r="K186"/>
      <c r="L186"/>
      <c r="T186"/>
      <c r="U186"/>
      <c r="V186"/>
      <c r="W186"/>
      <c r="X186"/>
      <c r="Y186"/>
      <c r="Z186"/>
      <c r="AA186"/>
      <c r="AB186"/>
    </row>
    <row r="187" spans="6:28" ht="15.45">
      <c r="F187"/>
      <c r="I187"/>
      <c r="J187"/>
      <c r="K187"/>
      <c r="L187"/>
      <c r="T187"/>
      <c r="U187"/>
      <c r="V187"/>
      <c r="W187"/>
      <c r="X187"/>
      <c r="Y187"/>
      <c r="Z187"/>
      <c r="AA187"/>
      <c r="AB187"/>
    </row>
    <row r="188" spans="6:28" ht="15.45">
      <c r="F188"/>
      <c r="I188"/>
      <c r="J188"/>
      <c r="K188"/>
      <c r="L188"/>
      <c r="T188"/>
      <c r="U188"/>
      <c r="V188"/>
      <c r="W188"/>
      <c r="X188"/>
      <c r="Y188"/>
      <c r="Z188"/>
      <c r="AA188"/>
      <c r="AB188"/>
    </row>
    <row r="189" spans="6:28" ht="15.45">
      <c r="F189"/>
      <c r="I189"/>
      <c r="J189"/>
      <c r="K189"/>
      <c r="L189"/>
      <c r="T189"/>
      <c r="U189"/>
      <c r="V189"/>
      <c r="W189"/>
      <c r="X189"/>
      <c r="Y189"/>
      <c r="Z189"/>
      <c r="AA189"/>
      <c r="AB189"/>
    </row>
    <row r="190" spans="6:28" ht="15.45">
      <c r="F190"/>
      <c r="I190"/>
      <c r="J190"/>
      <c r="K190"/>
      <c r="L190"/>
      <c r="T190"/>
      <c r="U190"/>
      <c r="V190"/>
      <c r="W190"/>
      <c r="X190"/>
      <c r="Y190"/>
      <c r="Z190"/>
      <c r="AA190"/>
      <c r="AB190"/>
    </row>
    <row r="191" spans="6:28" ht="15.45">
      <c r="F191"/>
      <c r="I191"/>
      <c r="J191"/>
      <c r="K191"/>
      <c r="L191"/>
      <c r="T191"/>
      <c r="U191"/>
      <c r="V191"/>
      <c r="W191"/>
      <c r="X191"/>
      <c r="Y191"/>
      <c r="Z191"/>
      <c r="AA191"/>
      <c r="AB191"/>
    </row>
    <row r="192" spans="6:28" ht="15.45">
      <c r="F192"/>
      <c r="I192"/>
      <c r="J192"/>
      <c r="K192"/>
      <c r="L192"/>
      <c r="T192"/>
      <c r="U192"/>
      <c r="V192"/>
      <c r="W192"/>
      <c r="X192"/>
      <c r="Y192"/>
      <c r="Z192"/>
      <c r="AA192"/>
      <c r="AB192"/>
    </row>
    <row r="193" spans="1:28" ht="15.45">
      <c r="F193"/>
      <c r="I193"/>
      <c r="J193"/>
      <c r="K193"/>
      <c r="L193"/>
      <c r="T193"/>
      <c r="U193"/>
      <c r="V193"/>
      <c r="W193"/>
      <c r="X193"/>
      <c r="Y193"/>
      <c r="Z193"/>
      <c r="AA193"/>
      <c r="AB193"/>
    </row>
    <row r="194" spans="1:28" ht="15.45">
      <c r="F194"/>
      <c r="I194"/>
      <c r="J194"/>
      <c r="K194"/>
      <c r="L194"/>
      <c r="T194"/>
      <c r="U194"/>
      <c r="V194"/>
      <c r="W194"/>
      <c r="X194"/>
      <c r="Y194"/>
      <c r="Z194"/>
      <c r="AA194"/>
      <c r="AB194"/>
    </row>
    <row r="195" spans="1:28" ht="15.45">
      <c r="I195"/>
      <c r="J195"/>
      <c r="K195"/>
      <c r="L195"/>
      <c r="T195"/>
      <c r="U195"/>
      <c r="V195"/>
      <c r="W195"/>
      <c r="X195"/>
      <c r="Y195"/>
      <c r="Z195"/>
      <c r="AA195"/>
      <c r="AB195"/>
    </row>
    <row r="196" spans="1:28" ht="15.45">
      <c r="I196"/>
      <c r="J196"/>
      <c r="K196"/>
      <c r="L196"/>
      <c r="T196"/>
      <c r="U196"/>
      <c r="V196"/>
      <c r="W196"/>
      <c r="X196"/>
      <c r="Y196"/>
      <c r="Z196"/>
      <c r="AA196"/>
      <c r="AB196"/>
    </row>
    <row r="197" spans="1:28" ht="15.45">
      <c r="I197"/>
      <c r="J197"/>
      <c r="K197"/>
      <c r="L197"/>
      <c r="T197"/>
      <c r="U197"/>
      <c r="V197"/>
      <c r="W197"/>
      <c r="X197"/>
      <c r="Y197"/>
      <c r="Z197"/>
      <c r="AA197"/>
      <c r="AB197"/>
    </row>
    <row r="198" spans="1:28" ht="15.45">
      <c r="I198"/>
      <c r="J198"/>
      <c r="K198"/>
      <c r="L198"/>
      <c r="T198"/>
      <c r="U198"/>
      <c r="V198"/>
      <c r="W198"/>
      <c r="X198"/>
      <c r="Y198"/>
      <c r="Z198"/>
      <c r="AA198"/>
      <c r="AB198"/>
    </row>
    <row r="199" spans="1:28" ht="15.45">
      <c r="I199"/>
      <c r="J199"/>
      <c r="K199"/>
      <c r="L199"/>
      <c r="T199"/>
      <c r="U199"/>
      <c r="V199"/>
      <c r="W199"/>
      <c r="X199"/>
      <c r="Y199"/>
      <c r="Z199"/>
      <c r="AA199"/>
      <c r="AB199"/>
    </row>
    <row r="200" spans="1:28" ht="15.45">
      <c r="I200"/>
      <c r="J200"/>
      <c r="K200"/>
      <c r="L200"/>
      <c r="T200"/>
      <c r="U200"/>
      <c r="V200"/>
      <c r="W200"/>
      <c r="X200"/>
      <c r="Y200"/>
      <c r="Z200"/>
      <c r="AA200"/>
      <c r="AB200"/>
    </row>
    <row r="201" spans="1:28" ht="15.45">
      <c r="I201"/>
      <c r="J201"/>
      <c r="K201"/>
      <c r="L201"/>
      <c r="T201"/>
      <c r="U201"/>
      <c r="V201"/>
      <c r="W201"/>
      <c r="X201"/>
      <c r="Y201"/>
      <c r="Z201"/>
      <c r="AA201"/>
      <c r="AB201"/>
    </row>
    <row r="202" spans="1:28" ht="15.45">
      <c r="A202" s="150" t="s">
        <v>172</v>
      </c>
      <c r="C202" s="235" t="str">
        <f>_xlfn.TEXTJOIN("",,(_xlfn.TEXTJOIN("/",,TEXT(D204,("TT.MM.")),TEXT(D205,("TT.MM.")),TEXT(D206,("TT.MM.")),TEXT(D207,("TT.MM.")),TEXT(D208,("TT.MM.")),TEXT(D209,("TT.MM.")),TEXT(D210,("TT.MM.")),TEXT(D211,("TT.MM.")),TEXT(D212,("TT.MM.")),TEXT(D213,("TT.MM.")),TEXT(D214,("TT.MM.")),TEXT(D215,("TT.MM.")),TEXT(D216,("TT.MM.")),TEXT(D217,("TT.MM.")),TEXT(D218,("TT.MM.")),TEXT(D219,("TT.MM.")),TEXT(D224,("TT.MM.")),TEXT(D223,("TT.MM.")),TEXT(D222,("TT.MM.")),TEXT(D221,("TT.MM.")),TEXT(D220,("TT.MM.")))),TEXT(D204,"JJJJ"))</f>
        <v>05.05./06.05./00.01./00.01./00.01./00.01.2022</v>
      </c>
      <c r="I202"/>
      <c r="J202"/>
      <c r="K202"/>
      <c r="L202"/>
      <c r="T202"/>
      <c r="U202"/>
      <c r="V202"/>
      <c r="W202"/>
      <c r="X202"/>
      <c r="Y202"/>
      <c r="Z202"/>
      <c r="AA202"/>
      <c r="AB202"/>
    </row>
    <row r="203" spans="1:28" ht="15.45">
      <c r="C203" s="235" t="str">
        <f>IFERROR("",(SMALL($I$3:$R$7,1)))</f>
        <v/>
      </c>
      <c r="F203" s="235"/>
      <c r="I203"/>
      <c r="J203"/>
      <c r="K203"/>
      <c r="L203"/>
      <c r="T203"/>
      <c r="U203"/>
      <c r="V203"/>
      <c r="W203"/>
      <c r="X203"/>
      <c r="Y203"/>
      <c r="Z203"/>
      <c r="AA203"/>
      <c r="AB203"/>
    </row>
    <row r="204" spans="1:28" ht="15.45">
      <c r="A204" s="236">
        <v>1</v>
      </c>
      <c r="D204" s="235">
        <v>44686</v>
      </c>
      <c r="F204" s="235"/>
      <c r="I204"/>
      <c r="J204"/>
      <c r="K204"/>
      <c r="L204"/>
      <c r="T204"/>
      <c r="U204"/>
      <c r="V204"/>
      <c r="W204"/>
      <c r="X204"/>
      <c r="Y204"/>
      <c r="Z204"/>
      <c r="AA204"/>
      <c r="AB204"/>
    </row>
    <row r="205" spans="1:28" ht="15.45">
      <c r="A205" s="236">
        <v>2</v>
      </c>
      <c r="D205" s="235">
        <v>44687</v>
      </c>
      <c r="I205"/>
      <c r="J205"/>
      <c r="K205"/>
      <c r="L205"/>
      <c r="T205"/>
      <c r="U205"/>
      <c r="V205"/>
      <c r="W205"/>
      <c r="X205"/>
      <c r="Y205"/>
      <c r="Z205"/>
      <c r="AA205"/>
      <c r="AB205"/>
    </row>
    <row r="206" spans="1:28" ht="15.45">
      <c r="A206" s="236">
        <v>3</v>
      </c>
      <c r="D206" s="235"/>
      <c r="F206" s="235"/>
      <c r="I206"/>
      <c r="J206"/>
      <c r="K206"/>
      <c r="L206"/>
      <c r="T206"/>
      <c r="U206"/>
      <c r="V206"/>
      <c r="W206"/>
      <c r="X206"/>
      <c r="Y206"/>
      <c r="Z206"/>
      <c r="AA206"/>
      <c r="AB206"/>
    </row>
    <row r="207" spans="1:28" ht="15.45">
      <c r="A207" s="236">
        <v>4</v>
      </c>
      <c r="D207" s="235"/>
      <c r="F207" s="235"/>
      <c r="I207"/>
      <c r="J207"/>
      <c r="K207"/>
      <c r="L207"/>
      <c r="T207"/>
      <c r="U207"/>
      <c r="V207"/>
      <c r="W207"/>
      <c r="X207"/>
      <c r="Y207"/>
      <c r="Z207"/>
      <c r="AA207"/>
      <c r="AB207"/>
    </row>
    <row r="208" spans="1:28" ht="15.45">
      <c r="A208" s="236">
        <v>5</v>
      </c>
      <c r="D208" s="235"/>
      <c r="I208"/>
      <c r="J208"/>
      <c r="K208"/>
      <c r="L208"/>
      <c r="T208"/>
      <c r="U208"/>
      <c r="V208"/>
      <c r="W208"/>
      <c r="X208"/>
      <c r="Y208"/>
      <c r="Z208"/>
      <c r="AA208"/>
      <c r="AB208"/>
    </row>
    <row r="209" spans="1:28" ht="15.45">
      <c r="A209" s="236">
        <v>6</v>
      </c>
      <c r="D209" s="235"/>
      <c r="I209"/>
      <c r="J209"/>
      <c r="K209"/>
      <c r="L209"/>
      <c r="T209"/>
      <c r="U209"/>
      <c r="V209"/>
      <c r="W209"/>
      <c r="X209"/>
      <c r="Y209"/>
      <c r="Z209"/>
      <c r="AA209"/>
      <c r="AB209"/>
    </row>
    <row r="210" spans="1:28" ht="15.45">
      <c r="A210" s="236">
        <v>7</v>
      </c>
      <c r="D210" s="235" t="str">
        <f>IFERROR((SMALL($I$3:$R$7,7)),"")</f>
        <v/>
      </c>
      <c r="I210"/>
      <c r="J210"/>
      <c r="K210"/>
      <c r="L210"/>
      <c r="T210"/>
      <c r="U210"/>
      <c r="V210"/>
      <c r="W210"/>
      <c r="X210"/>
      <c r="Y210"/>
      <c r="Z210"/>
      <c r="AA210"/>
      <c r="AB210"/>
    </row>
    <row r="211" spans="1:28" ht="15.45">
      <c r="A211" s="236">
        <v>8</v>
      </c>
      <c r="D211" s="235" t="str">
        <f>IFERROR((SMALL($I$3:$R$7,8)),"")</f>
        <v/>
      </c>
      <c r="I211"/>
      <c r="J211"/>
      <c r="K211"/>
      <c r="L211"/>
      <c r="T211"/>
      <c r="U211"/>
      <c r="V211"/>
      <c r="W211"/>
      <c r="X211"/>
      <c r="Y211"/>
      <c r="Z211"/>
      <c r="AA211"/>
      <c r="AB211"/>
    </row>
    <row r="212" spans="1:28" ht="15.45">
      <c r="A212" s="236">
        <v>9</v>
      </c>
      <c r="D212" s="235" t="str">
        <f>IFERROR((SMALL($I$3:$R$7,9)),"")</f>
        <v/>
      </c>
      <c r="I212"/>
      <c r="J212"/>
      <c r="K212"/>
      <c r="L212"/>
      <c r="T212"/>
      <c r="U212"/>
      <c r="V212"/>
      <c r="W212"/>
      <c r="X212"/>
      <c r="Y212"/>
      <c r="Z212"/>
      <c r="AA212"/>
      <c r="AB212"/>
    </row>
    <row r="213" spans="1:28" ht="15.45">
      <c r="A213" s="236">
        <v>10</v>
      </c>
      <c r="D213" s="235" t="str">
        <f>IFERROR((SMALL($I$3:$R$7,10)),"")</f>
        <v/>
      </c>
      <c r="I213"/>
      <c r="J213"/>
      <c r="K213"/>
      <c r="L213"/>
      <c r="T213"/>
      <c r="U213"/>
      <c r="V213"/>
      <c r="W213"/>
      <c r="X213"/>
      <c r="Y213"/>
      <c r="Z213"/>
      <c r="AA213"/>
      <c r="AB213"/>
    </row>
    <row r="214" spans="1:28" ht="15.45">
      <c r="A214" s="236">
        <v>11</v>
      </c>
      <c r="D214" s="235" t="str">
        <f>IFERROR((SMALL($I$3:$R$7,11)),"")</f>
        <v/>
      </c>
      <c r="I214"/>
      <c r="J214"/>
      <c r="K214"/>
      <c r="L214"/>
      <c r="T214"/>
      <c r="U214"/>
      <c r="V214"/>
      <c r="W214"/>
      <c r="X214"/>
      <c r="Y214"/>
      <c r="Z214"/>
      <c r="AA214"/>
      <c r="AB214"/>
    </row>
    <row r="215" spans="1:28" ht="15.45">
      <c r="A215" s="236">
        <v>12</v>
      </c>
      <c r="D215" s="235" t="str">
        <f>IFERROR((SMALL($I$3:$R$7,12)),"")</f>
        <v/>
      </c>
      <c r="I215"/>
      <c r="J215"/>
      <c r="K215"/>
      <c r="L215"/>
      <c r="T215"/>
      <c r="U215"/>
      <c r="V215"/>
      <c r="W215"/>
      <c r="X215"/>
      <c r="Y215"/>
      <c r="Z215"/>
      <c r="AA215"/>
      <c r="AB215"/>
    </row>
    <row r="216" spans="1:28" ht="15.45">
      <c r="A216" s="236">
        <v>13</v>
      </c>
      <c r="D216" s="235" t="str">
        <f>IFERROR((SMALL($I$3:$R$7,13)),"")</f>
        <v/>
      </c>
      <c r="I216"/>
      <c r="J216"/>
      <c r="K216"/>
      <c r="L216"/>
      <c r="T216"/>
      <c r="U216"/>
      <c r="V216"/>
      <c r="W216"/>
      <c r="X216"/>
      <c r="Y216"/>
      <c r="Z216"/>
      <c r="AA216"/>
      <c r="AB216"/>
    </row>
    <row r="217" spans="1:28" ht="15.45">
      <c r="A217" s="236">
        <v>14</v>
      </c>
      <c r="D217" s="235" t="str">
        <f>IFERROR((SMALL($I$3:$R$7,14)),"")</f>
        <v/>
      </c>
      <c r="I217"/>
      <c r="J217"/>
      <c r="K217"/>
      <c r="L217"/>
      <c r="T217"/>
      <c r="U217"/>
      <c r="V217"/>
      <c r="W217"/>
      <c r="X217"/>
      <c r="Y217"/>
      <c r="Z217"/>
      <c r="AA217"/>
      <c r="AB217"/>
    </row>
    <row r="218" spans="1:28" ht="15.45">
      <c r="A218" s="236">
        <v>15</v>
      </c>
      <c r="D218" s="235" t="str">
        <f>IFERROR((SMALL($I$3:$R$7,15)),"")</f>
        <v/>
      </c>
      <c r="I218"/>
      <c r="J218"/>
      <c r="K218"/>
      <c r="L218"/>
      <c r="T218"/>
      <c r="U218"/>
      <c r="V218"/>
      <c r="W218"/>
      <c r="X218"/>
      <c r="Y218"/>
      <c r="Z218"/>
      <c r="AA218"/>
      <c r="AB218"/>
    </row>
    <row r="219" spans="1:28" ht="15.45">
      <c r="A219" s="236">
        <v>16</v>
      </c>
      <c r="D219" s="235" t="str">
        <f>IFERROR((SMALL($I$3:$R$7,16)),"")</f>
        <v/>
      </c>
      <c r="I219"/>
      <c r="J219"/>
      <c r="K219"/>
      <c r="L219"/>
      <c r="T219"/>
      <c r="U219"/>
      <c r="V219"/>
      <c r="W219"/>
      <c r="X219"/>
      <c r="Y219"/>
      <c r="Z219"/>
      <c r="AA219"/>
      <c r="AB219"/>
    </row>
    <row r="220" spans="1:28" ht="15.45">
      <c r="A220" s="236">
        <v>17</v>
      </c>
      <c r="D220" s="235" t="str">
        <f>IFERROR((SMALL($I$3:$R$7,17)),"")</f>
        <v/>
      </c>
      <c r="I220"/>
      <c r="J220"/>
      <c r="K220"/>
      <c r="L220"/>
      <c r="T220"/>
      <c r="U220"/>
      <c r="V220"/>
      <c r="W220"/>
      <c r="X220"/>
      <c r="Y220"/>
      <c r="Z220"/>
      <c r="AA220"/>
      <c r="AB220"/>
    </row>
    <row r="221" spans="1:28" ht="15.45">
      <c r="A221" s="236">
        <v>18</v>
      </c>
      <c r="D221" s="235" t="str">
        <f>IFERROR((SMALL($I$3:$R$7,18)),"")</f>
        <v/>
      </c>
      <c r="I221"/>
      <c r="J221"/>
      <c r="K221"/>
      <c r="L221"/>
      <c r="T221"/>
      <c r="U221"/>
      <c r="V221"/>
      <c r="W221"/>
      <c r="X221"/>
      <c r="Y221"/>
      <c r="Z221"/>
      <c r="AA221"/>
      <c r="AB221"/>
    </row>
    <row r="222" spans="1:28" ht="15.45">
      <c r="A222" s="236">
        <v>19</v>
      </c>
      <c r="D222" s="235" t="str">
        <f>IFERROR((SMALL($I$3:$R$7,19)),"")</f>
        <v/>
      </c>
      <c r="I222"/>
      <c r="J222"/>
      <c r="K222"/>
      <c r="L222"/>
      <c r="T222"/>
      <c r="U222"/>
      <c r="V222"/>
      <c r="W222"/>
      <c r="X222"/>
      <c r="Y222"/>
      <c r="Z222"/>
      <c r="AA222"/>
      <c r="AB222"/>
    </row>
    <row r="223" spans="1:28" ht="15.45">
      <c r="A223" s="236">
        <v>20</v>
      </c>
      <c r="D223" s="235" t="str">
        <f>IFERROR((SMALL($I$3:$R$7,20)),"")</f>
        <v/>
      </c>
      <c r="I223"/>
      <c r="J223"/>
      <c r="K223"/>
      <c r="L223"/>
      <c r="T223"/>
      <c r="U223"/>
      <c r="V223"/>
      <c r="W223"/>
      <c r="X223"/>
      <c r="Y223"/>
      <c r="Z223"/>
      <c r="AA223"/>
      <c r="AB223"/>
    </row>
    <row r="224" spans="1:28" ht="15.45">
      <c r="A224" s="236">
        <v>21</v>
      </c>
      <c r="D224" s="235" t="str">
        <f>IFERROR((SMALL($I$3:$R$7,21)),"")</f>
        <v/>
      </c>
      <c r="I224"/>
      <c r="J224"/>
      <c r="K224"/>
      <c r="L224"/>
      <c r="T224"/>
      <c r="U224"/>
      <c r="V224"/>
      <c r="W224"/>
      <c r="X224"/>
      <c r="Y224"/>
      <c r="Z224"/>
      <c r="AA224"/>
      <c r="AB224"/>
    </row>
    <row r="225" spans="1:28" ht="15.45">
      <c r="A225" s="236">
        <v>22</v>
      </c>
      <c r="D225" s="235" t="str">
        <f>IFERROR((SMALL($I$3:$R$7,22)),"")</f>
        <v/>
      </c>
      <c r="I225"/>
      <c r="J225"/>
      <c r="K225"/>
      <c r="L225"/>
      <c r="T225"/>
      <c r="U225"/>
      <c r="V225"/>
      <c r="W225"/>
      <c r="X225"/>
      <c r="Y225"/>
      <c r="Z225"/>
      <c r="AA225"/>
      <c r="AB225"/>
    </row>
    <row r="226" spans="1:28" ht="15.45">
      <c r="A226" s="236">
        <v>23</v>
      </c>
      <c r="D226" s="235" t="str">
        <f>IFERROR((SMALL($I$3:$R$7,23)),"")</f>
        <v/>
      </c>
      <c r="I226"/>
      <c r="J226"/>
      <c r="K226"/>
      <c r="L226"/>
      <c r="T226"/>
      <c r="U226"/>
      <c r="V226"/>
      <c r="W226"/>
      <c r="X226"/>
      <c r="Y226"/>
      <c r="Z226"/>
      <c r="AA226"/>
      <c r="AB226"/>
    </row>
    <row r="227" spans="1:28" ht="15.45">
      <c r="A227" s="236">
        <v>24</v>
      </c>
      <c r="D227" s="235" t="str">
        <f>IFERROR((SMALL($I$3:$R$7,24)),"")</f>
        <v/>
      </c>
      <c r="I227"/>
      <c r="J227"/>
      <c r="K227"/>
      <c r="L227"/>
    </row>
    <row r="228" spans="1:28" ht="15.45">
      <c r="A228" s="236">
        <v>25</v>
      </c>
      <c r="D228" s="235" t="str">
        <f>IFERROR((SMALL($I$3:$R$7,25)),"")</f>
        <v/>
      </c>
      <c r="I228"/>
      <c r="J228"/>
      <c r="K228"/>
      <c r="L228"/>
    </row>
    <row r="229" spans="1:28" ht="15.45">
      <c r="A229" s="236">
        <v>26</v>
      </c>
      <c r="D229" s="235" t="str">
        <f>IFERROR((SMALL($I$3:$R$7,26)),"")</f>
        <v/>
      </c>
      <c r="I229"/>
      <c r="J229"/>
      <c r="K229"/>
      <c r="L229"/>
    </row>
    <row r="230" spans="1:28" ht="15.45">
      <c r="A230" s="236">
        <v>27</v>
      </c>
      <c r="D230" s="235" t="str">
        <f>IFERROR((SMALL($I$3:$R$7,27)),"")</f>
        <v/>
      </c>
      <c r="I230"/>
      <c r="J230"/>
      <c r="K230"/>
      <c r="L230"/>
    </row>
    <row r="231" spans="1:28" ht="15.45">
      <c r="A231" s="236">
        <v>28</v>
      </c>
      <c r="D231" s="235" t="str">
        <f>IFERROR((SMALL($I$3:$R$7,28)),"")</f>
        <v/>
      </c>
      <c r="I231"/>
      <c r="J231"/>
      <c r="K231"/>
      <c r="L231"/>
    </row>
    <row r="232" spans="1:28" ht="15.45">
      <c r="A232" s="236">
        <v>29</v>
      </c>
      <c r="D232" s="235" t="str">
        <f>IFERROR((SMALL($I$3:$R$7,29)),"")</f>
        <v/>
      </c>
      <c r="I232"/>
      <c r="J232"/>
      <c r="K232"/>
      <c r="L232"/>
    </row>
    <row r="233" spans="1:28" ht="15.45">
      <c r="A233" s="236">
        <v>30</v>
      </c>
      <c r="D233" s="235" t="str">
        <f>IFERROR((SMALL($I$3:$R$7,30)),"")</f>
        <v/>
      </c>
      <c r="I233"/>
      <c r="J233"/>
      <c r="K233"/>
      <c r="L233"/>
    </row>
    <row r="234" spans="1:28" ht="15.45">
      <c r="I234"/>
      <c r="J234"/>
      <c r="K234"/>
      <c r="L234"/>
    </row>
    <row r="235" spans="1:28" ht="15.45">
      <c r="I235"/>
      <c r="J235"/>
      <c r="K235"/>
      <c r="L235"/>
    </row>
    <row r="236" spans="1:28" ht="15.45">
      <c r="C236" s="235" t="str">
        <f t="shared" ref="C236:C244" si="48">D214</f>
        <v/>
      </c>
      <c r="I236"/>
      <c r="J236"/>
      <c r="K236"/>
      <c r="L236"/>
    </row>
    <row r="237" spans="1:28" ht="15.45">
      <c r="C237" s="235" t="str">
        <f t="shared" si="48"/>
        <v/>
      </c>
      <c r="I237"/>
      <c r="J237"/>
      <c r="K237"/>
      <c r="L237"/>
    </row>
    <row r="238" spans="1:28" ht="15.45">
      <c r="C238" s="235" t="str">
        <f t="shared" si="48"/>
        <v/>
      </c>
      <c r="I238"/>
      <c r="J238"/>
      <c r="K238"/>
      <c r="L238"/>
    </row>
    <row r="239" spans="1:28" ht="15.45">
      <c r="C239" s="235" t="str">
        <f t="shared" si="48"/>
        <v/>
      </c>
      <c r="I239"/>
      <c r="J239"/>
      <c r="K239"/>
      <c r="L239"/>
    </row>
    <row r="240" spans="1:28" ht="15.45">
      <c r="C240" s="235" t="str">
        <f t="shared" si="48"/>
        <v/>
      </c>
      <c r="I240"/>
      <c r="J240"/>
      <c r="K240"/>
      <c r="L240"/>
    </row>
    <row r="241" spans="3:12" ht="15.45">
      <c r="C241" s="235" t="str">
        <f t="shared" si="48"/>
        <v/>
      </c>
      <c r="I241"/>
      <c r="J241"/>
      <c r="K241"/>
      <c r="L241"/>
    </row>
    <row r="242" spans="3:12" ht="15.45">
      <c r="C242" s="235" t="str">
        <f t="shared" si="48"/>
        <v/>
      </c>
      <c r="I242"/>
      <c r="J242"/>
      <c r="K242"/>
      <c r="L242"/>
    </row>
    <row r="243" spans="3:12" ht="15.45">
      <c r="C243" s="235" t="str">
        <f t="shared" si="48"/>
        <v/>
      </c>
      <c r="I243"/>
      <c r="J243"/>
      <c r="K243"/>
      <c r="L243"/>
    </row>
    <row r="244" spans="3:12">
      <c r="C244" s="235" t="str">
        <f t="shared" si="48"/>
        <v/>
      </c>
    </row>
  </sheetData>
  <sortState xmlns:xlrd2="http://schemas.microsoft.com/office/spreadsheetml/2017/richdata2" ref="G2:L13">
    <sortCondition ref="H2"/>
  </sortState>
  <mergeCells count="121">
    <mergeCell ref="N137:N138"/>
    <mergeCell ref="K137:K138"/>
    <mergeCell ref="L137:L138"/>
    <mergeCell ref="M137:M138"/>
    <mergeCell ref="K135:K136"/>
    <mergeCell ref="L135:L136"/>
    <mergeCell ref="M135:M136"/>
    <mergeCell ref="N135:N136"/>
    <mergeCell ref="N131:N132"/>
    <mergeCell ref="K133:K134"/>
    <mergeCell ref="L133:L134"/>
    <mergeCell ref="M133:M134"/>
    <mergeCell ref="N133:N134"/>
    <mergeCell ref="H135:H136"/>
    <mergeCell ref="H137:H138"/>
    <mergeCell ref="I137:I138"/>
    <mergeCell ref="J137:J138"/>
    <mergeCell ref="J135:J136"/>
    <mergeCell ref="I133:I134"/>
    <mergeCell ref="J133:J134"/>
    <mergeCell ref="I129:I130"/>
    <mergeCell ref="J129:J130"/>
    <mergeCell ref="N129:N130"/>
    <mergeCell ref="N123:N124"/>
    <mergeCell ref="I125:I126"/>
    <mergeCell ref="J125:J126"/>
    <mergeCell ref="K125:K126"/>
    <mergeCell ref="L125:L126"/>
    <mergeCell ref="M125:M126"/>
    <mergeCell ref="N125:N126"/>
    <mergeCell ref="H125:H126"/>
    <mergeCell ref="H127:H128"/>
    <mergeCell ref="H129:H130"/>
    <mergeCell ref="N127:N128"/>
    <mergeCell ref="K129:K130"/>
    <mergeCell ref="L129:L130"/>
    <mergeCell ref="G137:G138"/>
    <mergeCell ref="J123:J124"/>
    <mergeCell ref="K123:K124"/>
    <mergeCell ref="L123:L124"/>
    <mergeCell ref="M123:M124"/>
    <mergeCell ref="I127:I128"/>
    <mergeCell ref="J127:J128"/>
    <mergeCell ref="K127:K128"/>
    <mergeCell ref="L127:L128"/>
    <mergeCell ref="M127:M128"/>
    <mergeCell ref="I131:I132"/>
    <mergeCell ref="J131:J132"/>
    <mergeCell ref="K131:K132"/>
    <mergeCell ref="L131:L132"/>
    <mergeCell ref="M131:M132"/>
    <mergeCell ref="I135:I136"/>
    <mergeCell ref="G127:G128"/>
    <mergeCell ref="G129:G130"/>
    <mergeCell ref="G131:G132"/>
    <mergeCell ref="G133:G134"/>
    <mergeCell ref="G135:G136"/>
    <mergeCell ref="M129:M130"/>
    <mergeCell ref="H131:H132"/>
    <mergeCell ref="H133:H134"/>
    <mergeCell ref="P36:R37"/>
    <mergeCell ref="F44:G44"/>
    <mergeCell ref="G123:G124"/>
    <mergeCell ref="G125:G126"/>
    <mergeCell ref="H123:H124"/>
    <mergeCell ref="I123:I124"/>
    <mergeCell ref="G120:H120"/>
    <mergeCell ref="J77:J78"/>
    <mergeCell ref="F40:G40"/>
    <mergeCell ref="J88:J90"/>
    <mergeCell ref="J91:J93"/>
    <mergeCell ref="J94:J96"/>
    <mergeCell ref="J97:J99"/>
    <mergeCell ref="K77:K78"/>
    <mergeCell ref="L77:L78"/>
    <mergeCell ref="J79:J81"/>
    <mergeCell ref="J82:J84"/>
    <mergeCell ref="J85:J87"/>
    <mergeCell ref="J44:J48"/>
    <mergeCell ref="J49:J53"/>
    <mergeCell ref="J54:J58"/>
    <mergeCell ref="I44:I48"/>
    <mergeCell ref="AD126:AD128"/>
    <mergeCell ref="AD129:AD131"/>
    <mergeCell ref="AE95:AE96"/>
    <mergeCell ref="AF95:AF96"/>
    <mergeCell ref="AD97:AD99"/>
    <mergeCell ref="AD100:AD102"/>
    <mergeCell ref="AD120:AD122"/>
    <mergeCell ref="AD123:AD125"/>
    <mergeCell ref="AD117:AD119"/>
    <mergeCell ref="AD114:AD116"/>
    <mergeCell ref="AD95:AD96"/>
    <mergeCell ref="AD103:AD105"/>
    <mergeCell ref="AD106:AD107"/>
    <mergeCell ref="AD108:AD110"/>
    <mergeCell ref="AD111:AD113"/>
    <mergeCell ref="H12:I12"/>
    <mergeCell ref="J42:J43"/>
    <mergeCell ref="O49:T49"/>
    <mergeCell ref="O57:T57"/>
    <mergeCell ref="O58:O59"/>
    <mergeCell ref="P58:P59"/>
    <mergeCell ref="Q58:Q59"/>
    <mergeCell ref="R58:R59"/>
    <mergeCell ref="S58:T58"/>
    <mergeCell ref="O41:T41"/>
    <mergeCell ref="O50:O51"/>
    <mergeCell ref="P50:P51"/>
    <mergeCell ref="Q50:Q51"/>
    <mergeCell ref="R50:R51"/>
    <mergeCell ref="K42:K43"/>
    <mergeCell ref="L42:L43"/>
    <mergeCell ref="S50:T50"/>
    <mergeCell ref="O42:O43"/>
    <mergeCell ref="P42:P43"/>
    <mergeCell ref="Q42:Q43"/>
    <mergeCell ref="R42:R43"/>
    <mergeCell ref="S42:T42"/>
    <mergeCell ref="O34:R35"/>
    <mergeCell ref="O36:O37"/>
  </mergeCells>
  <phoneticPr fontId="9" type="noConversion"/>
  <dataValidations count="7">
    <dataValidation type="list" allowBlank="1" showInputMessage="1" showErrorMessage="1" sqref="M41 M76" xr:uid="{1A34F911-0708-4293-A52F-C760BB4AA8CD}">
      <formula1>$AM$3:$AM$7</formula1>
    </dataValidation>
    <dataValidation type="list" allowBlank="1" showInputMessage="1" showErrorMessage="1" sqref="B14:B16" xr:uid="{65437526-E3C6-437F-9FAD-635753D4D4E2}">
      <formula1>$U$20:$U$24</formula1>
    </dataValidation>
    <dataValidation type="list" allowBlank="1" showInputMessage="1" showErrorMessage="1" sqref="B38" xr:uid="{82B052E5-8F1E-40E5-B771-64A9DC853122}">
      <formula1>$U$26:$U$27</formula1>
    </dataValidation>
    <dataValidation type="list" allowBlank="1" showInputMessage="1" showErrorMessage="1" sqref="Y10" xr:uid="{588EC636-0C7F-438C-8EFE-BEB58C637BD0}">
      <formula1>$AD$2:$AD$40</formula1>
    </dataValidation>
    <dataValidation type="list" allowBlank="1" showInputMessage="1" showErrorMessage="1" sqref="T44:T46" xr:uid="{4B293817-22EC-4C0F-9D64-B088370EFB11}">
      <formula1>$U$29:$U$33</formula1>
    </dataValidation>
    <dataValidation type="list" allowBlank="1" showInputMessage="1" showErrorMessage="1" sqref="O44:O46" xr:uid="{07B9A9AA-2022-4FCF-925C-3F74FC3CB314}">
      <formula1>$BJ$3:$BJ$72</formula1>
    </dataValidation>
    <dataValidation type="list" allowBlank="1" showInputMessage="1" showErrorMessage="1" sqref="B7 R44:R46" xr:uid="{FB78D64E-2156-4E25-B038-621CC7E5799C}">
      <formula1>$AD$2:$AD$100</formula1>
    </dataValidation>
  </dataValidations>
  <pageMargins left="0.59055118110236227" right="0.39370078740157483" top="0.98425196850393704" bottom="0.59055118110236227" header="0.11811023622047245" footer="0.19685039370078741"/>
  <pageSetup paperSize="9" scale="12" orientation="portrait" horizontalDpi="4294967295" verticalDpi="4294967295" r:id="rId1"/>
  <headerFooter>
    <oddHeader>&amp;L&amp;G&amp;R&amp;G</oddHeader>
    <oddFooter>&amp;L&amp;"Arial,Standard"&amp;9Q-TEC AG
&amp;7Brunnenstrasse 6a, CH - 8604 Volketswil&amp;C&amp;"Arial,Standard"&amp;7Tel. +41 43 355 60 10 / Fax +41 44 355 60 11 
E-Mail: info@q-tec-ag.ch&amp;R&amp;"Arial,Standard"&amp;7 Formular Nr. BV-Q-LK1a_Version 01   
Datum: 26.06.2020</oddFooter>
    <firstHeader>&amp;R&amp;G</first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2C18-AC45-4467-868E-1B1C52CAA027}">
  <sheetPr codeName="Tabelle22">
    <tabColor theme="8" tint="0.79998168889431442"/>
    <pageSetUpPr fitToPage="1"/>
  </sheetPr>
  <dimension ref="A1:BD57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173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Seitenregister!X11</f>
        <v>8</v>
      </c>
      <c r="W1" s="8" t="s">
        <v>10</v>
      </c>
      <c r="X1" s="9">
        <f>Seitenregister!X1</f>
        <v>36</v>
      </c>
      <c r="Y1" s="10"/>
      <c r="Z1" s="10"/>
      <c r="AA1" s="558" t="str">
        <f>CONCATENATE(,,"20 A ",E7)</f>
        <v>20 A OP 1   rooms/roomname</v>
      </c>
      <c r="AB1" s="558"/>
      <c r="AC1" s="558"/>
      <c r="AD1" s="558"/>
      <c r="AE1" s="111"/>
      <c r="AF1" s="1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11"/>
      <c r="AB2" s="111"/>
      <c r="AC2" s="111"/>
      <c r="AD2" s="111"/>
      <c r="AE2" s="111"/>
      <c r="AF2" s="111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11"/>
      <c r="AB3" s="111"/>
      <c r="AC3" s="111"/>
      <c r="AD3" s="111"/>
      <c r="AE3" s="111"/>
      <c r="AF3" s="111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03" t="s">
        <v>595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504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56" ht="12" customHeight="1">
      <c r="A10" s="505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7"/>
    </row>
    <row r="11" spans="1:56" ht="12" customHeight="1">
      <c r="A11" s="512" t="s">
        <v>185</v>
      </c>
      <c r="B11" s="513"/>
      <c r="C11" s="513"/>
      <c r="D11" s="514"/>
      <c r="E11" s="482" t="s">
        <v>209</v>
      </c>
      <c r="F11" s="483"/>
      <c r="G11" s="483"/>
      <c r="H11" s="483"/>
      <c r="I11" s="483"/>
      <c r="J11" s="483"/>
      <c r="K11" s="483"/>
      <c r="L11" s="483"/>
      <c r="M11" s="482" t="s">
        <v>217</v>
      </c>
      <c r="N11" s="483"/>
      <c r="O11" s="483"/>
      <c r="P11" s="483"/>
      <c r="Q11" s="483"/>
      <c r="R11" s="483"/>
      <c r="S11" s="483"/>
      <c r="T11" s="483"/>
      <c r="U11" s="548" t="s">
        <v>16</v>
      </c>
      <c r="V11" s="549"/>
      <c r="W11" s="549"/>
      <c r="X11" s="550"/>
    </row>
    <row r="12" spans="1:56" ht="12" customHeight="1">
      <c r="A12" s="512"/>
      <c r="B12" s="513"/>
      <c r="C12" s="513"/>
      <c r="D12" s="514"/>
      <c r="E12" s="482"/>
      <c r="F12" s="483"/>
      <c r="G12" s="483"/>
      <c r="H12" s="483"/>
      <c r="I12" s="483"/>
      <c r="J12" s="483"/>
      <c r="K12" s="483"/>
      <c r="L12" s="483"/>
      <c r="M12" s="482"/>
      <c r="N12" s="483"/>
      <c r="O12" s="483"/>
      <c r="P12" s="483"/>
      <c r="Q12" s="483"/>
      <c r="R12" s="483"/>
      <c r="S12" s="483"/>
      <c r="T12" s="483"/>
      <c r="U12" s="551" t="s">
        <v>186</v>
      </c>
      <c r="V12" s="552"/>
      <c r="W12" s="552"/>
      <c r="X12" s="553"/>
    </row>
    <row r="13" spans="1:56" ht="12" customHeight="1">
      <c r="A13" s="545"/>
      <c r="B13" s="546"/>
      <c r="C13" s="546"/>
      <c r="D13" s="547"/>
      <c r="E13" s="515" t="s">
        <v>137</v>
      </c>
      <c r="F13" s="516"/>
      <c r="G13" s="516"/>
      <c r="H13" s="516"/>
      <c r="I13" s="516"/>
      <c r="J13" s="516"/>
      <c r="K13" s="516"/>
      <c r="L13" s="516"/>
      <c r="M13" s="515" t="s">
        <v>137</v>
      </c>
      <c r="N13" s="516"/>
      <c r="O13" s="516"/>
      <c r="P13" s="516"/>
      <c r="Q13" s="516"/>
      <c r="R13" s="516"/>
      <c r="S13" s="516"/>
      <c r="T13" s="516"/>
      <c r="U13" s="539" t="s">
        <v>19</v>
      </c>
      <c r="V13" s="540"/>
      <c r="W13" s="540"/>
      <c r="X13" s="541"/>
    </row>
    <row r="14" spans="1:56" ht="12" customHeight="1">
      <c r="A14" s="542" t="str">
        <f>Eingabe_!$B$7</f>
        <v>OP 1</v>
      </c>
      <c r="B14" s="542"/>
      <c r="C14" s="542"/>
      <c r="D14" s="542"/>
      <c r="E14" s="486">
        <f>'P Schall '!$E$15</f>
        <v>46.8</v>
      </c>
      <c r="F14" s="486"/>
      <c r="G14" s="486"/>
      <c r="H14" s="486"/>
      <c r="I14" s="486"/>
      <c r="J14" s="486"/>
      <c r="K14" s="486"/>
      <c r="L14" s="486"/>
      <c r="M14" s="557">
        <v>48</v>
      </c>
      <c r="N14" s="557"/>
      <c r="O14" s="557"/>
      <c r="P14" s="557"/>
      <c r="Q14" s="557"/>
      <c r="R14" s="557"/>
      <c r="S14" s="557"/>
      <c r="T14" s="557"/>
      <c r="U14" s="486" t="str">
        <f>IF(E14&lt;=48,"Ja","Nein")</f>
        <v>Ja</v>
      </c>
      <c r="V14" s="486"/>
      <c r="W14" s="486"/>
      <c r="X14" s="486"/>
    </row>
    <row r="15" spans="1:56" ht="12" customHeight="1">
      <c r="A15" s="543"/>
      <c r="B15" s="543"/>
      <c r="C15" s="543"/>
      <c r="D15" s="543"/>
      <c r="E15" s="486"/>
      <c r="F15" s="486"/>
      <c r="G15" s="486"/>
      <c r="H15" s="486"/>
      <c r="I15" s="486"/>
      <c r="J15" s="486"/>
      <c r="K15" s="486"/>
      <c r="L15" s="486"/>
      <c r="M15" s="557"/>
      <c r="N15" s="557"/>
      <c r="O15" s="557"/>
      <c r="P15" s="557"/>
      <c r="Q15" s="557"/>
      <c r="R15" s="557"/>
      <c r="S15" s="557"/>
      <c r="T15" s="557"/>
      <c r="U15" s="486"/>
      <c r="V15" s="486"/>
      <c r="W15" s="486"/>
      <c r="X15" s="486"/>
    </row>
    <row r="16" spans="1:56" ht="12" customHeight="1">
      <c r="A16" s="544" t="str">
        <f>Eingabe_!C6</f>
        <v>rooms/roomname</v>
      </c>
      <c r="B16" s="544"/>
      <c r="C16" s="544"/>
      <c r="D16" s="544"/>
      <c r="E16" s="486"/>
      <c r="F16" s="486"/>
      <c r="G16" s="486"/>
      <c r="H16" s="486"/>
      <c r="I16" s="486"/>
      <c r="J16" s="486"/>
      <c r="K16" s="486"/>
      <c r="L16" s="486"/>
      <c r="M16" s="557"/>
      <c r="N16" s="557"/>
      <c r="O16" s="557"/>
      <c r="P16" s="557"/>
      <c r="Q16" s="557"/>
      <c r="R16" s="557"/>
      <c r="S16" s="557"/>
      <c r="T16" s="557"/>
      <c r="U16" s="486"/>
      <c r="V16" s="486"/>
      <c r="W16" s="486"/>
      <c r="X16" s="486"/>
    </row>
    <row r="17" spans="1:24" ht="12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2" customHeight="1">
      <c r="E18" s="30"/>
      <c r="F18" s="30"/>
      <c r="G18" s="30"/>
      <c r="H18" s="30"/>
    </row>
    <row r="19" spans="1:24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>
      <c r="A37" s="198"/>
      <c r="B37" s="198"/>
      <c r="C37" s="198"/>
      <c r="D37" s="198"/>
      <c r="E37" s="146"/>
      <c r="F37" s="146"/>
      <c r="G37" s="146"/>
      <c r="H37" s="146"/>
      <c r="I37" s="146"/>
      <c r="J37" s="146"/>
      <c r="K37" s="146"/>
      <c r="L37" s="146"/>
      <c r="M37" s="199"/>
      <c r="N37" s="199"/>
      <c r="O37" s="199"/>
      <c r="P37" s="199"/>
      <c r="Q37" s="199"/>
      <c r="R37" s="199"/>
      <c r="S37" s="199"/>
      <c r="T37" s="199"/>
      <c r="U37" s="146"/>
      <c r="V37" s="146"/>
      <c r="W37" s="146"/>
      <c r="X37" s="146"/>
    </row>
    <row r="38" spans="1:24">
      <c r="A38" s="198"/>
      <c r="B38" s="198"/>
      <c r="C38" s="198"/>
      <c r="D38" s="198"/>
      <c r="E38" s="146"/>
      <c r="F38" s="146"/>
      <c r="G38" s="146"/>
      <c r="H38" s="146"/>
      <c r="I38" s="146"/>
      <c r="J38" s="146"/>
      <c r="K38" s="146"/>
      <c r="L38" s="146"/>
      <c r="M38" s="199"/>
      <c r="N38" s="199"/>
      <c r="O38" s="199"/>
      <c r="P38" s="199"/>
      <c r="Q38" s="199"/>
      <c r="R38" s="199"/>
      <c r="S38" s="199"/>
      <c r="T38" s="199"/>
      <c r="U38" s="146"/>
      <c r="V38" s="146"/>
      <c r="W38" s="146"/>
      <c r="X38" s="146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68" t="str">
        <f>IF((COUNTIF(U9:X26,"Nein")=0),"Der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68"/>
      <c r="C46" s="468"/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/>
      <c r="O46" s="468"/>
      <c r="P46" s="468"/>
      <c r="Q46" s="468"/>
      <c r="R46" s="468"/>
      <c r="S46" s="468"/>
      <c r="T46" s="468"/>
      <c r="U46" s="468"/>
      <c r="V46" s="468"/>
      <c r="W46" s="468"/>
      <c r="X46" s="468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17">
    <mergeCell ref="A9:X10"/>
    <mergeCell ref="A16:D16"/>
    <mergeCell ref="AA1:AD1"/>
    <mergeCell ref="R5:W5"/>
    <mergeCell ref="A11:D13"/>
    <mergeCell ref="E11:L12"/>
    <mergeCell ref="M11:T12"/>
    <mergeCell ref="U11:X11"/>
    <mergeCell ref="U12:X12"/>
    <mergeCell ref="E13:L13"/>
    <mergeCell ref="M13:T13"/>
    <mergeCell ref="U13:X13"/>
    <mergeCell ref="A46:X46"/>
    <mergeCell ref="A14:D15"/>
    <mergeCell ref="E14:L16"/>
    <mergeCell ref="M14:T16"/>
    <mergeCell ref="U14:X16"/>
  </mergeCells>
  <conditionalFormatting sqref="AA1">
    <cfRule type="expression" dxfId="0" priority="1">
      <formula>LEN(AA1)&gt;0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7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7E1-B57A-456A-A0BE-43B48ECD1312}">
  <sheetPr codeName="Tabelle24">
    <tabColor theme="8" tint="0.79998168889431442"/>
    <pageSetUpPr fitToPage="1"/>
  </sheetPr>
  <dimension ref="A1:AW57"/>
  <sheetViews>
    <sheetView showGridLines="0" view="pageLayout" zoomScale="103" zoomScaleNormal="9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174</v>
      </c>
      <c r="B1" s="5"/>
      <c r="C1" s="5"/>
      <c r="D1" s="5"/>
      <c r="E1" s="245" t="s">
        <v>8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Seitenregister!X12</f>
        <v>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37" t="s">
        <v>14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 s="10"/>
      <c r="AA9" s="10"/>
      <c r="AB9" s="10"/>
      <c r="AC9" s="10"/>
      <c r="AD9" s="10"/>
      <c r="AE9" s="10"/>
      <c r="AF9" s="10"/>
    </row>
    <row r="10" spans="1:49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</row>
    <row r="11" spans="1:49" ht="12" customHeight="1">
      <c r="A11" s="475" t="s">
        <v>185</v>
      </c>
      <c r="B11" s="475"/>
      <c r="C11" s="475"/>
      <c r="D11" s="475"/>
      <c r="E11" s="475"/>
      <c r="F11" s="582" t="s">
        <v>15</v>
      </c>
      <c r="G11" s="583"/>
      <c r="H11" s="584" t="s">
        <v>188</v>
      </c>
      <c r="I11" s="585"/>
      <c r="J11" s="585"/>
      <c r="K11" s="585"/>
      <c r="L11" s="585"/>
      <c r="M11" s="586"/>
      <c r="N11" s="590" t="s">
        <v>189</v>
      </c>
      <c r="O11" s="591"/>
      <c r="P11" s="591"/>
      <c r="Q11" s="591"/>
      <c r="R11" s="591"/>
      <c r="S11" s="592"/>
      <c r="T11" s="590" t="s">
        <v>16</v>
      </c>
      <c r="U11" s="591"/>
      <c r="V11" s="591"/>
      <c r="W11" s="591"/>
      <c r="X11" s="592"/>
    </row>
    <row r="12" spans="1:49" ht="12" customHeight="1">
      <c r="A12" s="475"/>
      <c r="B12" s="475"/>
      <c r="C12" s="475"/>
      <c r="D12" s="475"/>
      <c r="E12" s="475"/>
      <c r="F12" s="560"/>
      <c r="G12" s="561"/>
      <c r="H12" s="587"/>
      <c r="I12" s="588"/>
      <c r="J12" s="588"/>
      <c r="K12" s="588"/>
      <c r="L12" s="588"/>
      <c r="M12" s="589"/>
      <c r="N12" s="548"/>
      <c r="O12" s="549"/>
      <c r="P12" s="549"/>
      <c r="Q12" s="549"/>
      <c r="R12" s="549"/>
      <c r="S12" s="550"/>
      <c r="T12" s="548"/>
      <c r="U12" s="549"/>
      <c r="V12" s="549"/>
      <c r="W12" s="549"/>
      <c r="X12" s="550"/>
    </row>
    <row r="13" spans="1:49" ht="12" customHeight="1">
      <c r="A13" s="475"/>
      <c r="B13" s="475"/>
      <c r="C13" s="475"/>
      <c r="D13" s="475"/>
      <c r="E13" s="475"/>
      <c r="F13" s="560"/>
      <c r="G13" s="561"/>
      <c r="H13" s="560" t="s">
        <v>218</v>
      </c>
      <c r="I13" s="561"/>
      <c r="J13" s="561"/>
      <c r="K13" s="561"/>
      <c r="L13" s="561"/>
      <c r="M13" s="562"/>
      <c r="N13" s="512" t="s">
        <v>218</v>
      </c>
      <c r="O13" s="513"/>
      <c r="P13" s="513"/>
      <c r="Q13" s="513"/>
      <c r="R13" s="513"/>
      <c r="S13" s="514"/>
      <c r="T13" s="552" t="s">
        <v>190</v>
      </c>
      <c r="U13" s="552"/>
      <c r="V13" s="552"/>
      <c r="W13" s="552"/>
      <c r="X13" s="553"/>
    </row>
    <row r="14" spans="1:49" ht="12" customHeight="1">
      <c r="A14" s="475"/>
      <c r="B14" s="475"/>
      <c r="C14" s="475"/>
      <c r="D14" s="475"/>
      <c r="E14" s="475"/>
      <c r="F14" s="560"/>
      <c r="G14" s="561"/>
      <c r="H14" s="593" t="s">
        <v>17</v>
      </c>
      <c r="I14" s="593"/>
      <c r="J14" s="593"/>
      <c r="K14" s="593" t="s">
        <v>18</v>
      </c>
      <c r="L14" s="593"/>
      <c r="M14" s="593"/>
      <c r="N14" s="545" t="s">
        <v>17</v>
      </c>
      <c r="O14" s="546"/>
      <c r="P14" s="547"/>
      <c r="Q14" s="545" t="s">
        <v>18</v>
      </c>
      <c r="R14" s="546"/>
      <c r="S14" s="547"/>
      <c r="T14" s="552" t="s">
        <v>19</v>
      </c>
      <c r="U14" s="552"/>
      <c r="V14" s="552"/>
      <c r="W14" s="552"/>
      <c r="X14" s="553"/>
    </row>
    <row r="15" spans="1:49" ht="12" customHeight="1">
      <c r="A15" s="566" t="str">
        <f>Eingabe_!B7</f>
        <v>OP 1</v>
      </c>
      <c r="B15" s="567"/>
      <c r="C15" s="567"/>
      <c r="D15" s="567"/>
      <c r="E15" s="568"/>
      <c r="F15" s="486" t="s">
        <v>138</v>
      </c>
      <c r="G15" s="486"/>
      <c r="H15" s="572">
        <v>3520</v>
      </c>
      <c r="I15" s="572"/>
      <c r="J15" s="572"/>
      <c r="K15" s="573">
        <v>29</v>
      </c>
      <c r="L15" s="574"/>
      <c r="M15" s="575"/>
      <c r="N15" s="559">
        <f>'P PK_I'!Q38</f>
        <v>0</v>
      </c>
      <c r="O15" s="559"/>
      <c r="P15" s="559"/>
      <c r="Q15" s="559">
        <f>'P PK_I'!U38</f>
        <v>0</v>
      </c>
      <c r="R15" s="559"/>
      <c r="S15" s="559"/>
      <c r="T15" s="486" t="str">
        <f>IF(AND(N15&lt;H15,Q15&lt;K15),"Ja","Nein")</f>
        <v>Ja</v>
      </c>
      <c r="U15" s="486"/>
      <c r="V15" s="486"/>
      <c r="W15" s="486"/>
      <c r="X15" s="486"/>
    </row>
    <row r="16" spans="1:49" ht="12" customHeight="1">
      <c r="A16" s="569"/>
      <c r="B16" s="570"/>
      <c r="C16" s="570"/>
      <c r="D16" s="570"/>
      <c r="E16" s="571"/>
      <c r="F16" s="486"/>
      <c r="G16" s="486"/>
      <c r="H16" s="572"/>
      <c r="I16" s="572"/>
      <c r="J16" s="572"/>
      <c r="K16" s="576"/>
      <c r="L16" s="577"/>
      <c r="M16" s="578"/>
      <c r="N16" s="559"/>
      <c r="O16" s="559"/>
      <c r="P16" s="559"/>
      <c r="Q16" s="559"/>
      <c r="R16" s="559"/>
      <c r="S16" s="559"/>
      <c r="T16" s="486"/>
      <c r="U16" s="486"/>
      <c r="V16" s="486"/>
      <c r="W16" s="486"/>
      <c r="X16" s="486"/>
    </row>
    <row r="17" spans="1:24" ht="12" customHeight="1">
      <c r="A17" s="531" t="str">
        <f>Eingabe_!C6</f>
        <v>rooms/roomname</v>
      </c>
      <c r="B17" s="532"/>
      <c r="C17" s="532"/>
      <c r="D17" s="532"/>
      <c r="E17" s="533"/>
      <c r="F17" s="486"/>
      <c r="G17" s="486"/>
      <c r="H17" s="572"/>
      <c r="I17" s="572"/>
      <c r="J17" s="572"/>
      <c r="K17" s="576"/>
      <c r="L17" s="577"/>
      <c r="M17" s="578"/>
      <c r="N17" s="559"/>
      <c r="O17" s="559"/>
      <c r="P17" s="559"/>
      <c r="Q17" s="559"/>
      <c r="R17" s="559"/>
      <c r="S17" s="559"/>
      <c r="T17" s="486"/>
      <c r="U17" s="486"/>
      <c r="V17" s="486"/>
      <c r="W17" s="486"/>
      <c r="X17" s="486"/>
    </row>
    <row r="18" spans="1:24" ht="12" customHeight="1">
      <c r="A18" s="560" t="s">
        <v>602</v>
      </c>
      <c r="B18" s="561"/>
      <c r="C18" s="561"/>
      <c r="D18" s="561"/>
      <c r="E18" s="562"/>
      <c r="F18" s="486"/>
      <c r="G18" s="486"/>
      <c r="H18" s="572"/>
      <c r="I18" s="572"/>
      <c r="J18" s="572"/>
      <c r="K18" s="576"/>
      <c r="L18" s="577"/>
      <c r="M18" s="578"/>
      <c r="N18" s="559"/>
      <c r="O18" s="559"/>
      <c r="P18" s="559"/>
      <c r="Q18" s="559"/>
      <c r="R18" s="559"/>
      <c r="S18" s="559"/>
      <c r="T18" s="486"/>
      <c r="U18" s="486"/>
      <c r="V18" s="486"/>
      <c r="W18" s="486"/>
      <c r="X18" s="486"/>
    </row>
    <row r="19" spans="1:24" ht="12" customHeight="1">
      <c r="A19" s="563"/>
      <c r="B19" s="564"/>
      <c r="C19" s="564"/>
      <c r="D19" s="564"/>
      <c r="E19" s="565"/>
      <c r="F19" s="486"/>
      <c r="G19" s="486"/>
      <c r="H19" s="572"/>
      <c r="I19" s="572"/>
      <c r="J19" s="572"/>
      <c r="K19" s="579"/>
      <c r="L19" s="580"/>
      <c r="M19" s="581"/>
      <c r="N19" s="559"/>
      <c r="O19" s="559"/>
      <c r="P19" s="559"/>
      <c r="Q19" s="559"/>
      <c r="R19" s="559"/>
      <c r="S19" s="559"/>
      <c r="T19" s="486"/>
      <c r="U19" s="486"/>
      <c r="V19" s="486"/>
      <c r="W19" s="486"/>
      <c r="X19" s="486"/>
    </row>
    <row r="20" spans="1:24" ht="12" customHeight="1">
      <c r="A20" s="566" t="str">
        <f>Eingabe_!B7</f>
        <v>OP 1</v>
      </c>
      <c r="B20" s="567"/>
      <c r="C20" s="567"/>
      <c r="D20" s="567"/>
      <c r="E20" s="568"/>
      <c r="F20" s="486" t="s">
        <v>78</v>
      </c>
      <c r="G20" s="486"/>
      <c r="H20" s="572">
        <v>352000</v>
      </c>
      <c r="I20" s="572"/>
      <c r="J20" s="572"/>
      <c r="K20" s="573">
        <v>2930</v>
      </c>
      <c r="L20" s="574"/>
      <c r="M20" s="575"/>
      <c r="N20" s="559">
        <f>'P PK_A'!Q39</f>
        <v>1636.2951452653372</v>
      </c>
      <c r="O20" s="559"/>
      <c r="P20" s="559"/>
      <c r="Q20" s="559">
        <f>'P PK_A'!U39</f>
        <v>364.92913311673027</v>
      </c>
      <c r="R20" s="559"/>
      <c r="S20" s="559"/>
      <c r="T20" s="486" t="str">
        <f>IF(AND(N20&lt;H20,Q20&lt;K20),"Ja","Nein")</f>
        <v>Ja</v>
      </c>
      <c r="U20" s="486"/>
      <c r="V20" s="486"/>
      <c r="W20" s="486"/>
      <c r="X20" s="486"/>
    </row>
    <row r="21" spans="1:24" customFormat="1" ht="12" customHeight="1">
      <c r="A21" s="569"/>
      <c r="B21" s="570"/>
      <c r="C21" s="570"/>
      <c r="D21" s="570"/>
      <c r="E21" s="571"/>
      <c r="F21" s="486"/>
      <c r="G21" s="486"/>
      <c r="H21" s="572"/>
      <c r="I21" s="572"/>
      <c r="J21" s="572"/>
      <c r="K21" s="576"/>
      <c r="L21" s="577"/>
      <c r="M21" s="578"/>
      <c r="N21" s="559"/>
      <c r="O21" s="559"/>
      <c r="P21" s="559"/>
      <c r="Q21" s="559"/>
      <c r="R21" s="559"/>
      <c r="S21" s="559"/>
      <c r="T21" s="486"/>
      <c r="U21" s="486"/>
      <c r="V21" s="486"/>
      <c r="W21" s="486"/>
      <c r="X21" s="486"/>
    </row>
    <row r="22" spans="1:24" customFormat="1" ht="12" customHeight="1">
      <c r="A22" s="531" t="str">
        <f>Eingabe_!C6</f>
        <v>rooms/roomname</v>
      </c>
      <c r="B22" s="532"/>
      <c r="C22" s="532"/>
      <c r="D22" s="532"/>
      <c r="E22" s="533"/>
      <c r="F22" s="486"/>
      <c r="G22" s="486"/>
      <c r="H22" s="572"/>
      <c r="I22" s="572"/>
      <c r="J22" s="572"/>
      <c r="K22" s="576"/>
      <c r="L22" s="577"/>
      <c r="M22" s="578"/>
      <c r="N22" s="559"/>
      <c r="O22" s="559"/>
      <c r="P22" s="559"/>
      <c r="Q22" s="559"/>
      <c r="R22" s="559"/>
      <c r="S22" s="559"/>
      <c r="T22" s="486"/>
      <c r="U22" s="486"/>
      <c r="V22" s="486"/>
      <c r="W22" s="486"/>
      <c r="X22" s="486"/>
    </row>
    <row r="23" spans="1:24" customFormat="1" ht="12" customHeight="1">
      <c r="A23" s="560" t="s">
        <v>601</v>
      </c>
      <c r="B23" s="561"/>
      <c r="C23" s="561"/>
      <c r="D23" s="561"/>
      <c r="E23" s="562"/>
      <c r="F23" s="486"/>
      <c r="G23" s="486"/>
      <c r="H23" s="572"/>
      <c r="I23" s="572"/>
      <c r="J23" s="572"/>
      <c r="K23" s="576"/>
      <c r="L23" s="577"/>
      <c r="M23" s="578"/>
      <c r="N23" s="559"/>
      <c r="O23" s="559"/>
      <c r="P23" s="559"/>
      <c r="Q23" s="559"/>
      <c r="R23" s="559"/>
      <c r="S23" s="559"/>
      <c r="T23" s="486"/>
      <c r="U23" s="486"/>
      <c r="V23" s="486"/>
      <c r="W23" s="486"/>
      <c r="X23" s="486"/>
    </row>
    <row r="24" spans="1:24" customFormat="1" ht="12" customHeight="1">
      <c r="A24" s="563"/>
      <c r="B24" s="564"/>
      <c r="C24" s="564"/>
      <c r="D24" s="564"/>
      <c r="E24" s="565"/>
      <c r="F24" s="486"/>
      <c r="G24" s="486"/>
      <c r="H24" s="572"/>
      <c r="I24" s="572"/>
      <c r="J24" s="572"/>
      <c r="K24" s="579"/>
      <c r="L24" s="580"/>
      <c r="M24" s="581"/>
      <c r="N24" s="559"/>
      <c r="O24" s="559"/>
      <c r="P24" s="559"/>
      <c r="Q24" s="559"/>
      <c r="R24" s="559"/>
      <c r="S24" s="559"/>
      <c r="T24" s="486"/>
      <c r="U24" s="486"/>
      <c r="V24" s="486"/>
      <c r="W24" s="486"/>
      <c r="X24" s="486"/>
    </row>
    <row r="25" spans="1:24" customFormat="1" ht="12" customHeight="1"/>
    <row r="26" spans="1:24" customFormat="1" ht="12" customHeight="1"/>
    <row r="27" spans="1:24" customFormat="1" ht="12" customHeight="1"/>
    <row r="28" spans="1:24" customFormat="1" ht="12" customHeight="1"/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68" t="str">
        <f>IF((COUNTIF(U14,"Nein")=0),"Der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68"/>
      <c r="C46" s="468"/>
      <c r="D46" s="468"/>
      <c r="E46" s="468"/>
      <c r="F46" s="468"/>
      <c r="G46" s="468"/>
      <c r="H46" s="468"/>
      <c r="I46" s="468"/>
      <c r="J46" s="468"/>
      <c r="K46" s="468"/>
      <c r="L46" s="468"/>
      <c r="M46" s="468"/>
      <c r="N46" s="468"/>
      <c r="O46" s="468"/>
      <c r="P46" s="468"/>
      <c r="Q46" s="468"/>
      <c r="R46" s="468"/>
      <c r="S46" s="468"/>
      <c r="T46" s="468"/>
      <c r="U46" s="468"/>
      <c r="V46" s="468"/>
      <c r="W46" s="468"/>
      <c r="X46" s="468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34">
    <mergeCell ref="R5:W5"/>
    <mergeCell ref="A9:X10"/>
    <mergeCell ref="N15:P19"/>
    <mergeCell ref="Q15:S19"/>
    <mergeCell ref="F15:G19"/>
    <mergeCell ref="H15:J19"/>
    <mergeCell ref="K15:M19"/>
    <mergeCell ref="A46:X46"/>
    <mergeCell ref="A11:E14"/>
    <mergeCell ref="F11:G14"/>
    <mergeCell ref="H11:M12"/>
    <mergeCell ref="N11:S12"/>
    <mergeCell ref="T11:X12"/>
    <mergeCell ref="H13:M13"/>
    <mergeCell ref="N13:S13"/>
    <mergeCell ref="T13:X13"/>
    <mergeCell ref="H14:J14"/>
    <mergeCell ref="K14:M14"/>
    <mergeCell ref="N14:P14"/>
    <mergeCell ref="Q14:S14"/>
    <mergeCell ref="T14:X14"/>
    <mergeCell ref="A18:E19"/>
    <mergeCell ref="T15:X19"/>
    <mergeCell ref="Q20:S24"/>
    <mergeCell ref="T20:X24"/>
    <mergeCell ref="A22:E22"/>
    <mergeCell ref="A23:E24"/>
    <mergeCell ref="A15:E16"/>
    <mergeCell ref="A17:E17"/>
    <mergeCell ref="A20:E21"/>
    <mergeCell ref="F20:G24"/>
    <mergeCell ref="H20:J24"/>
    <mergeCell ref="K20:M24"/>
    <mergeCell ref="N20:P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DE8-77D4-440B-9CE8-1D9FC8630E53}">
  <sheetPr codeName="Tabelle50">
    <tabColor theme="5" tint="0.79998168889431442"/>
    <pageSetUpPr fitToPage="1"/>
  </sheetPr>
  <dimension ref="A1:BD219"/>
  <sheetViews>
    <sheetView view="pageBreakPreview" zoomScaleNormal="91" zoomScaleSheetLayoutView="100" workbookViewId="0">
      <selection activeCell="R8" sqref="R8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Seitenregister!X14</f>
        <v>10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e">
        <f>Eingabe_!G8</f>
        <v>#NUM!</v>
      </c>
      <c r="S5" s="603"/>
      <c r="T5" s="603"/>
      <c r="U5" s="603"/>
      <c r="V5" s="603"/>
      <c r="W5" s="603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04" t="str">
        <f>Eingabe_!$G$13</f>
        <v>OP 1</v>
      </c>
      <c r="S7" s="604"/>
      <c r="T7" s="604"/>
      <c r="U7" s="604"/>
      <c r="V7" s="604"/>
      <c r="W7" s="604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37" t="s">
        <v>319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605"/>
      <c r="B10" s="605"/>
      <c r="C10" s="605"/>
      <c r="D10" s="605"/>
      <c r="E10" s="605"/>
      <c r="F10" s="605"/>
      <c r="G10" s="605"/>
      <c r="H10" s="605"/>
      <c r="I10" s="605"/>
      <c r="J10" s="605"/>
      <c r="K10" s="605"/>
      <c r="L10" s="605"/>
      <c r="M10" s="605"/>
      <c r="N10" s="605"/>
      <c r="O10" s="605"/>
      <c r="P10" s="605"/>
      <c r="Q10" s="605"/>
      <c r="R10" s="605"/>
      <c r="S10" s="605"/>
      <c r="T10" s="605"/>
      <c r="U10" s="605"/>
      <c r="V10" s="605"/>
      <c r="W10" s="605"/>
      <c r="X10" s="605"/>
      <c r="Y10" s="10"/>
      <c r="Z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606" t="s">
        <v>66</v>
      </c>
      <c r="B11" s="606"/>
      <c r="C11" s="606"/>
      <c r="D11" s="606"/>
      <c r="E11" s="524" t="s">
        <v>320</v>
      </c>
      <c r="F11" s="524"/>
      <c r="G11" s="524"/>
      <c r="H11" s="524"/>
      <c r="I11" s="524"/>
      <c r="J11" s="524"/>
      <c r="K11" s="524"/>
      <c r="L11" s="524"/>
      <c r="M11" s="524"/>
      <c r="N11" s="524"/>
      <c r="O11" s="524"/>
      <c r="P11" s="524"/>
      <c r="Q11" s="524"/>
      <c r="R11" s="524"/>
      <c r="S11" s="524"/>
      <c r="T11" s="524"/>
      <c r="U11" s="524"/>
      <c r="V11" s="598" t="s">
        <v>314</v>
      </c>
      <c r="W11" s="599"/>
      <c r="X11" s="599"/>
      <c r="Y11" s="10"/>
      <c r="Z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606"/>
      <c r="B12" s="606"/>
      <c r="C12" s="606"/>
      <c r="D12" s="606"/>
      <c r="E12" s="601"/>
      <c r="F12" s="601"/>
      <c r="G12" s="601"/>
      <c r="H12" s="601"/>
      <c r="I12" s="601"/>
      <c r="J12" s="601"/>
      <c r="K12" s="601"/>
      <c r="L12" s="601"/>
      <c r="M12" s="601"/>
      <c r="N12" s="601"/>
      <c r="O12" s="601"/>
      <c r="P12" s="601"/>
      <c r="Q12" s="601"/>
      <c r="R12" s="601"/>
      <c r="S12" s="601"/>
      <c r="T12" s="601"/>
      <c r="U12" s="601"/>
      <c r="V12" s="600"/>
      <c r="W12" s="600"/>
      <c r="X12" s="600"/>
      <c r="Y12" s="10"/>
      <c r="Z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606"/>
      <c r="B13" s="606"/>
      <c r="C13" s="606"/>
      <c r="D13" s="606"/>
      <c r="E13" s="601"/>
      <c r="F13" s="601"/>
      <c r="G13" s="601"/>
      <c r="H13" s="601"/>
      <c r="I13" s="601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0"/>
      <c r="W13" s="600"/>
      <c r="X13" s="600"/>
      <c r="Y13" s="10"/>
      <c r="Z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606"/>
      <c r="B14" s="606"/>
      <c r="C14" s="606"/>
      <c r="D14" s="606"/>
      <c r="E14" s="602" t="s">
        <v>305</v>
      </c>
      <c r="F14" s="602"/>
      <c r="G14" s="602"/>
      <c r="H14" s="602"/>
      <c r="I14" s="602"/>
      <c r="J14" s="602"/>
      <c r="K14" s="602"/>
      <c r="L14" s="602"/>
      <c r="M14" s="602"/>
      <c r="N14" s="602"/>
      <c r="O14" s="602"/>
      <c r="P14" s="602"/>
      <c r="Q14" s="602"/>
      <c r="R14" s="602"/>
      <c r="S14" s="602"/>
      <c r="T14" s="602"/>
      <c r="U14" s="602"/>
      <c r="V14" s="597" t="s">
        <v>305</v>
      </c>
      <c r="W14" s="597"/>
      <c r="X14" s="597"/>
      <c r="Y14" s="10"/>
      <c r="Z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596">
        <f>'A Dichtsitz'!E15</f>
        <v>158.01</v>
      </c>
      <c r="B15" s="596"/>
      <c r="C15" s="596"/>
      <c r="D15" s="596"/>
      <c r="E15" s="594" t="str">
        <f>IF(Eingabe_!B138=0,"0",Eingabe_!B138)</f>
        <v>0</v>
      </c>
      <c r="F15" s="594"/>
      <c r="G15" s="594"/>
      <c r="H15" s="594"/>
      <c r="I15" s="594"/>
      <c r="J15" s="594"/>
      <c r="K15" s="594"/>
      <c r="L15" s="594"/>
      <c r="M15" s="594"/>
      <c r="N15" s="594"/>
      <c r="O15" s="594"/>
      <c r="P15" s="594"/>
      <c r="Q15" s="594"/>
      <c r="R15" s="594"/>
      <c r="S15" s="594"/>
      <c r="T15" s="594"/>
      <c r="U15" s="594"/>
      <c r="V15" s="465">
        <f>Eingabe_!$B$136</f>
        <v>4.8112047012324304</v>
      </c>
      <c r="W15" s="465"/>
      <c r="X15" s="465"/>
      <c r="Y15" s="10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96">
        <f>'A Dichtsitz'!E16</f>
        <v>158.01999999999998</v>
      </c>
      <c r="B16" s="596"/>
      <c r="C16" s="596"/>
      <c r="D16" s="596"/>
      <c r="E16" s="594" t="str">
        <f>IF(Eingabe_!B139=0,"0",Eingabe_!B139)</f>
        <v>0</v>
      </c>
      <c r="F16" s="594"/>
      <c r="G16" s="594"/>
      <c r="H16" s="594"/>
      <c r="I16" s="594"/>
      <c r="J16" s="594"/>
      <c r="K16" s="594"/>
      <c r="L16" s="594"/>
      <c r="M16" s="594"/>
      <c r="N16" s="594"/>
      <c r="O16" s="594"/>
      <c r="P16" s="594"/>
      <c r="Q16" s="594"/>
      <c r="R16" s="594"/>
      <c r="S16" s="594"/>
      <c r="T16" s="594"/>
      <c r="U16" s="594"/>
      <c r="V16" s="465"/>
      <c r="W16" s="465"/>
      <c r="X16" s="465"/>
      <c r="Y16" s="10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96">
        <f>'A Dichtsitz'!E17</f>
        <v>158.02999999999997</v>
      </c>
      <c r="B17" s="596"/>
      <c r="C17" s="596"/>
      <c r="D17" s="596"/>
      <c r="E17" s="594" t="str">
        <f>IF(Eingabe_!B140=0,"0",Eingabe_!B140)</f>
        <v>0</v>
      </c>
      <c r="F17" s="594"/>
      <c r="G17" s="594"/>
      <c r="H17" s="594"/>
      <c r="I17" s="594"/>
      <c r="J17" s="594"/>
      <c r="K17" s="594"/>
      <c r="L17" s="594"/>
      <c r="M17" s="594"/>
      <c r="N17" s="594"/>
      <c r="O17" s="594"/>
      <c r="P17" s="594"/>
      <c r="Q17" s="594"/>
      <c r="R17" s="594"/>
      <c r="S17" s="594"/>
      <c r="T17" s="594"/>
      <c r="U17" s="594"/>
      <c r="V17" s="465"/>
      <c r="W17" s="465"/>
      <c r="X17" s="465"/>
      <c r="Y17" s="10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596">
        <f>'A Dichtsitz'!E18</f>
        <v>158.03999999999996</v>
      </c>
      <c r="B18" s="596"/>
      <c r="C18" s="596"/>
      <c r="D18" s="596"/>
      <c r="E18" s="594" t="str">
        <f>IF(Eingabe_!B141=0,"0",Eingabe_!B141)</f>
        <v>0</v>
      </c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594"/>
      <c r="Q18" s="594"/>
      <c r="R18" s="594"/>
      <c r="S18" s="594"/>
      <c r="T18" s="594"/>
      <c r="U18" s="594"/>
      <c r="V18" s="465"/>
      <c r="W18" s="465"/>
      <c r="X18" s="465"/>
      <c r="Y18" s="10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596">
        <f>'A Dichtsitz'!E19</f>
        <v>158.04999999999995</v>
      </c>
      <c r="B19" s="596"/>
      <c r="C19" s="596"/>
      <c r="D19" s="596"/>
      <c r="E19" s="594" t="str">
        <f>IF(Eingabe_!B142=0,"0",Eingabe_!B142)</f>
        <v>0</v>
      </c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465"/>
      <c r="W19" s="465"/>
      <c r="X19" s="465"/>
      <c r="Y19" s="10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596">
        <f>'A Dichtsitz'!E20</f>
        <v>158.05999999999995</v>
      </c>
      <c r="B20" s="596"/>
      <c r="C20" s="596"/>
      <c r="D20" s="596"/>
      <c r="E20" s="594" t="str">
        <f>IF(Eingabe_!B143=0,"0",Eingabe_!B143)</f>
        <v>0</v>
      </c>
      <c r="F20" s="594"/>
      <c r="G20" s="594"/>
      <c r="H20" s="594"/>
      <c r="I20" s="594"/>
      <c r="J20" s="594"/>
      <c r="K20" s="594"/>
      <c r="L20" s="594"/>
      <c r="M20" s="594"/>
      <c r="N20" s="594"/>
      <c r="O20" s="594"/>
      <c r="P20" s="594"/>
      <c r="Q20" s="594"/>
      <c r="R20" s="594"/>
      <c r="S20" s="594"/>
      <c r="T20" s="594"/>
      <c r="U20" s="594"/>
      <c r="V20" s="465"/>
      <c r="W20" s="465"/>
      <c r="X20" s="465"/>
      <c r="Y20" s="1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596">
        <f>'A Dichtsitz'!E21</f>
        <v>158.06999999999994</v>
      </c>
      <c r="B21" s="596"/>
      <c r="C21" s="596"/>
      <c r="D21" s="596"/>
      <c r="E21" s="594" t="str">
        <f>IF(Eingabe_!B144=0,"0",Eingabe_!B144)</f>
        <v>0</v>
      </c>
      <c r="F21" s="594"/>
      <c r="G21" s="594"/>
      <c r="H21" s="594"/>
      <c r="I21" s="594"/>
      <c r="J21" s="594"/>
      <c r="K21" s="594"/>
      <c r="L21" s="594"/>
      <c r="M21" s="594"/>
      <c r="N21" s="594"/>
      <c r="O21" s="594"/>
      <c r="P21" s="594"/>
      <c r="Q21" s="594"/>
      <c r="R21" s="594"/>
      <c r="S21" s="594"/>
      <c r="T21" s="594"/>
      <c r="U21" s="594"/>
      <c r="V21" s="465"/>
      <c r="W21" s="465"/>
      <c r="X21" s="465"/>
      <c r="Y21" s="10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596">
        <f>'A Dichtsitz'!E22</f>
        <v>158.07999999999993</v>
      </c>
      <c r="B22" s="596"/>
      <c r="C22" s="596"/>
      <c r="D22" s="596"/>
      <c r="E22" s="594" t="str">
        <f>IF(Eingabe_!B145=0,"0",Eingabe_!B145)</f>
        <v>0</v>
      </c>
      <c r="F22" s="594"/>
      <c r="G22" s="594"/>
      <c r="H22" s="594"/>
      <c r="I22" s="594"/>
      <c r="J22" s="594"/>
      <c r="K22" s="594"/>
      <c r="L22" s="594"/>
      <c r="M22" s="594"/>
      <c r="N22" s="594"/>
      <c r="O22" s="594"/>
      <c r="P22" s="594"/>
      <c r="Q22" s="594"/>
      <c r="R22" s="594"/>
      <c r="S22" s="594"/>
      <c r="T22" s="594"/>
      <c r="U22" s="594"/>
      <c r="V22" s="465"/>
      <c r="W22" s="465"/>
      <c r="X22" s="465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596">
        <f>'A Dichtsitz'!E23</f>
        <v>158.08999999999992</v>
      </c>
      <c r="B23" s="596"/>
      <c r="C23" s="596"/>
      <c r="D23" s="596"/>
      <c r="E23" s="594" t="str">
        <f>IF(Eingabe_!B146=0,"0",Eingabe_!B146)</f>
        <v>0</v>
      </c>
      <c r="F23" s="594"/>
      <c r="G23" s="594"/>
      <c r="H23" s="594"/>
      <c r="I23" s="594"/>
      <c r="J23" s="594"/>
      <c r="K23" s="594"/>
      <c r="L23" s="594"/>
      <c r="M23" s="594"/>
      <c r="N23" s="594"/>
      <c r="O23" s="594"/>
      <c r="P23" s="594"/>
      <c r="Q23" s="594"/>
      <c r="R23" s="594"/>
      <c r="S23" s="594"/>
      <c r="T23" s="594"/>
      <c r="U23" s="594"/>
      <c r="V23" s="465"/>
      <c r="W23" s="465"/>
      <c r="X23" s="465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595" t="str">
        <f>'A Dichtsitz'!E24</f>
        <v>-</v>
      </c>
      <c r="B24" s="595"/>
      <c r="C24" s="595"/>
      <c r="D24" s="595"/>
      <c r="E24" s="594" t="str">
        <f>IF(Eingabe_!B147=0,"-",Eingabe_!B147)</f>
        <v>-</v>
      </c>
      <c r="F24" s="594"/>
      <c r="G24" s="594"/>
      <c r="H24" s="594"/>
      <c r="I24" s="594"/>
      <c r="J24" s="594"/>
      <c r="K24" s="594"/>
      <c r="L24" s="594"/>
      <c r="M24" s="594"/>
      <c r="N24" s="594"/>
      <c r="O24" s="594"/>
      <c r="P24" s="594"/>
      <c r="Q24" s="594"/>
      <c r="R24" s="594"/>
      <c r="S24" s="594"/>
      <c r="T24" s="594"/>
      <c r="U24" s="594"/>
      <c r="V24" s="465"/>
      <c r="W24" s="465"/>
      <c r="X24" s="465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595" t="str">
        <f>'A Dichtsitz'!E25</f>
        <v>-</v>
      </c>
      <c r="B25" s="595"/>
      <c r="C25" s="595"/>
      <c r="D25" s="595"/>
      <c r="E25" s="594" t="str">
        <f>IF(Eingabe_!B148=0,"-",Eingabe_!B148)</f>
        <v>-</v>
      </c>
      <c r="F25" s="594"/>
      <c r="G25" s="594"/>
      <c r="H25" s="594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94"/>
      <c r="T25" s="594"/>
      <c r="U25" s="594"/>
      <c r="V25" s="465"/>
      <c r="W25" s="465"/>
      <c r="X25" s="46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595" t="str">
        <f>'A Dichtsitz'!E26</f>
        <v>-</v>
      </c>
      <c r="B26" s="595"/>
      <c r="C26" s="595"/>
      <c r="D26" s="595"/>
      <c r="E26" s="594" t="str">
        <f>IF(Eingabe_!B149=0,"-",Eingabe_!B149)</f>
        <v>-</v>
      </c>
      <c r="F26" s="594"/>
      <c r="G26" s="594"/>
      <c r="H26" s="594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94"/>
      <c r="T26" s="594"/>
      <c r="U26" s="594"/>
      <c r="V26" s="465"/>
      <c r="W26" s="465"/>
      <c r="X26" s="465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595" t="str">
        <f>'A Dichtsitz'!E27</f>
        <v>-</v>
      </c>
      <c r="B27" s="595"/>
      <c r="C27" s="595"/>
      <c r="D27" s="595"/>
      <c r="E27" s="594" t="str">
        <f>IF(Eingabe_!B150=0,"-",Eingabe_!B150)</f>
        <v>-</v>
      </c>
      <c r="F27" s="594"/>
      <c r="G27" s="594"/>
      <c r="H27" s="594"/>
      <c r="I27" s="594"/>
      <c r="J27" s="594"/>
      <c r="K27" s="594"/>
      <c r="L27" s="594"/>
      <c r="M27" s="594"/>
      <c r="N27" s="594"/>
      <c r="O27" s="594"/>
      <c r="P27" s="594"/>
      <c r="Q27" s="594"/>
      <c r="R27" s="594"/>
      <c r="S27" s="594"/>
      <c r="T27" s="594"/>
      <c r="U27" s="594"/>
      <c r="V27" s="465"/>
      <c r="W27" s="465"/>
      <c r="X27" s="465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595" t="str">
        <f>'A Dichtsitz'!E28</f>
        <v>-</v>
      </c>
      <c r="B28" s="595"/>
      <c r="C28" s="595"/>
      <c r="D28" s="595"/>
      <c r="E28" s="594" t="str">
        <f>IF(Eingabe_!B151=0,"-",Eingabe_!B151)</f>
        <v>-</v>
      </c>
      <c r="F28" s="594"/>
      <c r="G28" s="594"/>
      <c r="H28" s="594"/>
      <c r="I28" s="594"/>
      <c r="J28" s="594"/>
      <c r="K28" s="594"/>
      <c r="L28" s="594"/>
      <c r="M28" s="594"/>
      <c r="N28" s="594"/>
      <c r="O28" s="594"/>
      <c r="P28" s="594"/>
      <c r="Q28" s="594"/>
      <c r="R28" s="594"/>
      <c r="S28" s="594"/>
      <c r="T28" s="594"/>
      <c r="U28" s="594"/>
      <c r="V28" s="465"/>
      <c r="W28" s="465"/>
      <c r="X28" s="465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595" t="str">
        <f>'A Dichtsitz'!E29</f>
        <v>-</v>
      </c>
      <c r="B29" s="595"/>
      <c r="C29" s="595"/>
      <c r="D29" s="595"/>
      <c r="E29" s="594" t="str">
        <f>IF(Eingabe_!B152=0,"-",Eingabe_!B152)</f>
        <v>-</v>
      </c>
      <c r="F29" s="594"/>
      <c r="G29" s="594"/>
      <c r="H29" s="594"/>
      <c r="I29" s="594"/>
      <c r="J29" s="594"/>
      <c r="K29" s="594"/>
      <c r="L29" s="594"/>
      <c r="M29" s="594"/>
      <c r="N29" s="594"/>
      <c r="O29" s="594"/>
      <c r="P29" s="594"/>
      <c r="Q29" s="594"/>
      <c r="R29" s="594"/>
      <c r="S29" s="594"/>
      <c r="T29" s="594"/>
      <c r="U29" s="594"/>
      <c r="V29" s="465"/>
      <c r="W29" s="465"/>
      <c r="X29" s="465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595" t="str">
        <f>'A Dichtsitz'!E30</f>
        <v>-</v>
      </c>
      <c r="B30" s="595"/>
      <c r="C30" s="595"/>
      <c r="D30" s="595"/>
      <c r="E30" s="594" t="str">
        <f>IF(Eingabe_!B153=0,"-",Eingabe_!B153)</f>
        <v>-</v>
      </c>
      <c r="F30" s="594"/>
      <c r="G30" s="594"/>
      <c r="H30" s="594"/>
      <c r="I30" s="594"/>
      <c r="J30" s="594"/>
      <c r="K30" s="594"/>
      <c r="L30" s="594"/>
      <c r="M30" s="594"/>
      <c r="N30" s="594"/>
      <c r="O30" s="594"/>
      <c r="P30" s="594"/>
      <c r="Q30" s="594"/>
      <c r="R30" s="594"/>
      <c r="S30" s="594"/>
      <c r="T30" s="594"/>
      <c r="U30" s="594"/>
      <c r="V30" s="465"/>
      <c r="W30" s="465"/>
      <c r="X30" s="465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595" t="str">
        <f>'A Dichtsitz'!E31</f>
        <v>-</v>
      </c>
      <c r="B31" s="595"/>
      <c r="C31" s="595"/>
      <c r="D31" s="595"/>
      <c r="E31" s="594" t="str">
        <f>IF(Eingabe_!B154=0,"-",Eingabe_!B154)</f>
        <v>-</v>
      </c>
      <c r="F31" s="594"/>
      <c r="G31" s="594"/>
      <c r="H31" s="594"/>
      <c r="I31" s="594"/>
      <c r="J31" s="594"/>
      <c r="K31" s="594"/>
      <c r="L31" s="594"/>
      <c r="M31" s="594"/>
      <c r="N31" s="594"/>
      <c r="O31" s="594"/>
      <c r="P31" s="594"/>
      <c r="Q31" s="594"/>
      <c r="R31" s="594"/>
      <c r="S31" s="594"/>
      <c r="T31" s="594"/>
      <c r="U31" s="594"/>
      <c r="V31" s="465"/>
      <c r="W31" s="465"/>
      <c r="X31" s="465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595" t="str">
        <f>'A Dichtsitz'!E32</f>
        <v>-</v>
      </c>
      <c r="B32" s="595"/>
      <c r="C32" s="595"/>
      <c r="D32" s="595"/>
      <c r="E32" s="594" t="str">
        <f>IF(Eingabe_!B155=0,"-",Eingabe_!B155)</f>
        <v>-</v>
      </c>
      <c r="F32" s="594"/>
      <c r="G32" s="594"/>
      <c r="H32" s="594"/>
      <c r="I32" s="594"/>
      <c r="J32" s="594"/>
      <c r="K32" s="594"/>
      <c r="L32" s="594"/>
      <c r="M32" s="594"/>
      <c r="N32" s="594"/>
      <c r="O32" s="594"/>
      <c r="P32" s="594"/>
      <c r="Q32" s="594"/>
      <c r="R32" s="594"/>
      <c r="S32" s="594"/>
      <c r="T32" s="594"/>
      <c r="U32" s="594"/>
      <c r="V32" s="465"/>
      <c r="W32" s="465"/>
      <c r="X32" s="465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595" t="str">
        <f>'A Dichtsitz'!E33</f>
        <v>-</v>
      </c>
      <c r="B33" s="595"/>
      <c r="C33" s="595"/>
      <c r="D33" s="595"/>
      <c r="E33" s="594" t="str">
        <f>IF(Eingabe_!B156=0,"-",Eingabe_!B156)</f>
        <v>-</v>
      </c>
      <c r="F33" s="594"/>
      <c r="G33" s="594"/>
      <c r="H33" s="594"/>
      <c r="I33" s="594"/>
      <c r="J33" s="594"/>
      <c r="K33" s="594"/>
      <c r="L33" s="594"/>
      <c r="M33" s="594"/>
      <c r="N33" s="594"/>
      <c r="O33" s="594"/>
      <c r="P33" s="594"/>
      <c r="Q33" s="594"/>
      <c r="R33" s="594"/>
      <c r="S33" s="594"/>
      <c r="T33" s="594"/>
      <c r="U33" s="594"/>
      <c r="V33" s="465"/>
      <c r="W33" s="465"/>
      <c r="X33" s="465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595" t="str">
        <f>'A Dichtsitz'!E34</f>
        <v>-</v>
      </c>
      <c r="B34" s="595"/>
      <c r="C34" s="595"/>
      <c r="D34" s="595"/>
      <c r="E34" s="594" t="str">
        <f>IF(Eingabe_!B157=0,"-",Eingabe_!B157)</f>
        <v>-</v>
      </c>
      <c r="F34" s="594"/>
      <c r="G34" s="594"/>
      <c r="H34" s="594"/>
      <c r="I34" s="594"/>
      <c r="J34" s="594"/>
      <c r="K34" s="594"/>
      <c r="L34" s="594"/>
      <c r="M34" s="594"/>
      <c r="N34" s="594"/>
      <c r="O34" s="594"/>
      <c r="P34" s="594"/>
      <c r="Q34" s="594"/>
      <c r="R34" s="594"/>
      <c r="S34" s="594"/>
      <c r="T34" s="594"/>
      <c r="U34" s="594"/>
      <c r="V34" s="465"/>
      <c r="W34" s="465"/>
      <c r="X34" s="465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595" t="str">
        <f>'A Dichtsitz'!E35</f>
        <v>-</v>
      </c>
      <c r="B35" s="595"/>
      <c r="C35" s="595"/>
      <c r="D35" s="595"/>
      <c r="E35" s="594" t="str">
        <f>IF(Eingabe_!B158=0,"-",Eingabe_!B158)</f>
        <v>-</v>
      </c>
      <c r="F35" s="594"/>
      <c r="G35" s="594"/>
      <c r="H35" s="594"/>
      <c r="I35" s="594"/>
      <c r="J35" s="594"/>
      <c r="K35" s="594"/>
      <c r="L35" s="594"/>
      <c r="M35" s="594"/>
      <c r="N35" s="594"/>
      <c r="O35" s="594"/>
      <c r="P35" s="594"/>
      <c r="Q35" s="594"/>
      <c r="R35" s="594"/>
      <c r="S35" s="594"/>
      <c r="T35" s="594"/>
      <c r="U35" s="594"/>
      <c r="V35" s="465"/>
      <c r="W35" s="465"/>
      <c r="X35" s="465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595" t="str">
        <f>'A Dichtsitz'!E36</f>
        <v>-</v>
      </c>
      <c r="B36" s="595"/>
      <c r="C36" s="595"/>
      <c r="D36" s="595"/>
      <c r="E36" s="594" t="str">
        <f>IF(Eingabe_!B159=0,"-",Eingabe_!B159)</f>
        <v>-</v>
      </c>
      <c r="F36" s="594"/>
      <c r="G36" s="594"/>
      <c r="H36" s="594"/>
      <c r="I36" s="594"/>
      <c r="J36" s="594"/>
      <c r="K36" s="594"/>
      <c r="L36" s="594"/>
      <c r="M36" s="594"/>
      <c r="N36" s="594"/>
      <c r="O36" s="594"/>
      <c r="P36" s="594"/>
      <c r="Q36" s="594"/>
      <c r="R36" s="594"/>
      <c r="S36" s="594"/>
      <c r="T36" s="594"/>
      <c r="U36" s="594"/>
      <c r="V36" s="465"/>
      <c r="W36" s="465"/>
      <c r="X36" s="465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595" t="s">
        <v>4</v>
      </c>
      <c r="B37" s="595"/>
      <c r="C37" s="595"/>
      <c r="D37" s="595"/>
      <c r="E37" s="594" t="str">
        <f>IF(Eingabe_!B160=0,"-",Eingabe_!B160)</f>
        <v>-</v>
      </c>
      <c r="F37" s="594"/>
      <c r="G37" s="594"/>
      <c r="H37" s="594"/>
      <c r="I37" s="594"/>
      <c r="J37" s="594"/>
      <c r="K37" s="594"/>
      <c r="L37" s="594"/>
      <c r="M37" s="594"/>
      <c r="N37" s="594"/>
      <c r="O37" s="594"/>
      <c r="P37" s="594"/>
      <c r="Q37" s="594"/>
      <c r="R37" s="594"/>
      <c r="S37" s="594"/>
      <c r="T37" s="594"/>
      <c r="U37" s="594"/>
      <c r="V37" s="465"/>
      <c r="W37" s="465"/>
      <c r="X37" s="465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595" t="s">
        <v>4</v>
      </c>
      <c r="B38" s="595"/>
      <c r="C38" s="595"/>
      <c r="D38" s="595"/>
      <c r="E38" s="594" t="str">
        <f>IF(Eingabe_!B161=0,"-",Eingabe_!B161)</f>
        <v>-</v>
      </c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465"/>
      <c r="W38" s="465"/>
      <c r="X38" s="465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31" t="s">
        <v>321</v>
      </c>
      <c r="B39" s="3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customFormat="1" ht="12" customHeight="1">
      <c r="A40" s="40"/>
      <c r="B40" s="31" t="s">
        <v>323</v>
      </c>
      <c r="C40" s="31"/>
      <c r="D40" s="31"/>
      <c r="E40" s="31"/>
      <c r="F40" s="31"/>
      <c r="G40" s="31"/>
      <c r="H40" s="31"/>
      <c r="I40" s="31"/>
      <c r="J40" s="31"/>
      <c r="K40" s="31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56" customFormat="1" ht="1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56" customFormat="1" ht="12" customHeight="1">
      <c r="A42" s="290" t="s">
        <v>322</v>
      </c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"/>
      <c r="W42" s="2"/>
      <c r="X42" s="2"/>
    </row>
    <row r="43" spans="1:56" customFormat="1" ht="12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56" customFormat="1" ht="12" customHeight="1"/>
    <row r="45" spans="1:56" customFormat="1" ht="12" customHeight="1"/>
    <row r="46" spans="1:56" customFormat="1" ht="12" customHeight="1"/>
    <row r="47" spans="1:56" customFormat="1" ht="12" customHeight="1"/>
    <row r="48" spans="1:56" customFormat="1" ht="12" customHeight="1"/>
    <row r="49" spans="1:56" customFormat="1" ht="12" customHeight="1"/>
    <row r="50" spans="1:56" customFormat="1" ht="12" customHeight="1"/>
    <row r="51" spans="1:56" customFormat="1" ht="12" customHeight="1"/>
    <row r="52" spans="1:56" customFormat="1" ht="12" customHeight="1"/>
    <row r="53" spans="1:56" ht="12" customHeight="1">
      <c r="A53" s="111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 s="11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V55" s="132"/>
      <c r="W55" s="132"/>
      <c r="X55" s="133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V56" s="134"/>
      <c r="W56" s="134"/>
      <c r="X56" s="133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 s="63" t="s">
        <v>37</v>
      </c>
      <c r="B57" s="63"/>
      <c r="D57" s="63"/>
      <c r="F57" s="49" t="str">
        <f>IF((MAX(E15:U38)&gt;V15),"Der zulässige Leckluftstrom wird überschritten.","Der zulässige Leckluftstrom wird an keinem Filter überschritten.")</f>
        <v>Der zulässige Leckluftstrom wird an keinem Filter überschritten.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Z57"/>
      <c r="AA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 s="69" t="s">
        <v>38</v>
      </c>
      <c r="B58" s="69"/>
      <c r="C58" s="69"/>
      <c r="D58" s="69"/>
      <c r="E58" s="69"/>
      <c r="F58" s="284" t="str">
        <f>IF((MAX(E15:U38)&lt;V15),"Die geprüften Filter entsprechen den Anforderungen.","Die geprüften Filter entsprechen den Anforderungen nicht.")</f>
        <v>Die geprüften Filter entsprechen den Anforderungen.</v>
      </c>
      <c r="G58" s="69"/>
      <c r="H58" s="69"/>
      <c r="I58" s="69"/>
      <c r="J58" s="69"/>
      <c r="K58" s="69"/>
      <c r="L58" s="69"/>
      <c r="M58" s="6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2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2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26:56" ht="6" customHeight="1"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26:56" ht="6" customHeight="1"/>
  </sheetData>
  <mergeCells count="57">
    <mergeCell ref="R5:W5"/>
    <mergeCell ref="R7:W7"/>
    <mergeCell ref="A9:X10"/>
    <mergeCell ref="A11:D14"/>
    <mergeCell ref="A15:D15"/>
    <mergeCell ref="A16:D16"/>
    <mergeCell ref="A17:D17"/>
    <mergeCell ref="V14:X14"/>
    <mergeCell ref="V11:X13"/>
    <mergeCell ref="E19:U19"/>
    <mergeCell ref="E11:U13"/>
    <mergeCell ref="E14:U14"/>
    <mergeCell ref="E17:U17"/>
    <mergeCell ref="A18:D18"/>
    <mergeCell ref="A19:D19"/>
    <mergeCell ref="E20:U20"/>
    <mergeCell ref="E23:U23"/>
    <mergeCell ref="E26:U26"/>
    <mergeCell ref="V15:X38"/>
    <mergeCell ref="E22:U22"/>
    <mergeCell ref="E24:U24"/>
    <mergeCell ref="E28:U28"/>
    <mergeCell ref="E21:U21"/>
    <mergeCell ref="E25:U25"/>
    <mergeCell ref="E27:U27"/>
    <mergeCell ref="E18:U18"/>
    <mergeCell ref="E35:U35"/>
    <mergeCell ref="E36:U36"/>
    <mergeCell ref="E37:U37"/>
    <mergeCell ref="E15:U15"/>
    <mergeCell ref="E16:U16"/>
    <mergeCell ref="A20:D20"/>
    <mergeCell ref="A36:D36"/>
    <mergeCell ref="A33:D33"/>
    <mergeCell ref="A34:D34"/>
    <mergeCell ref="A35:D35"/>
    <mergeCell ref="A30:D30"/>
    <mergeCell ref="A26:D26"/>
    <mergeCell ref="A27:D27"/>
    <mergeCell ref="A28:D28"/>
    <mergeCell ref="A21:D21"/>
    <mergeCell ref="A22:D22"/>
    <mergeCell ref="A23:D23"/>
    <mergeCell ref="A24:D24"/>
    <mergeCell ref="A25:D25"/>
    <mergeCell ref="E34:U34"/>
    <mergeCell ref="E38:U38"/>
    <mergeCell ref="A31:D31"/>
    <mergeCell ref="A32:D32"/>
    <mergeCell ref="A29:D29"/>
    <mergeCell ref="E29:U29"/>
    <mergeCell ref="E30:U30"/>
    <mergeCell ref="E31:U31"/>
    <mergeCell ref="E32:U32"/>
    <mergeCell ref="E33:U33"/>
    <mergeCell ref="A37:D37"/>
    <mergeCell ref="A38:D3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08F2-F8FA-4845-89D5-4DDC24A25E9D}">
  <sheetPr codeName="Tabelle5">
    <tabColor theme="5" tint="0.79998168889431442"/>
    <pageSetUpPr fitToPage="1"/>
  </sheetPr>
  <dimension ref="A1:BD204"/>
  <sheetViews>
    <sheetView view="pageBreakPreview" zoomScale="124" zoomScaleNormal="91" zoomScaleSheetLayoutView="124" zoomScalePageLayoutView="172" workbookViewId="0">
      <selection activeCell="H7" sqref="H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Seitenregister!X15</f>
        <v>11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e">
        <f>Eingabe_!G8</f>
        <v>#NUM!</v>
      </c>
      <c r="S5" s="603"/>
      <c r="T5" s="603"/>
      <c r="U5" s="603"/>
      <c r="V5" s="603"/>
      <c r="W5" s="603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04" t="str">
        <f>Eingabe_!$G$13</f>
        <v>OP 1</v>
      </c>
      <c r="S7" s="604"/>
      <c r="T7" s="604"/>
      <c r="U7" s="604"/>
      <c r="V7" s="604"/>
      <c r="W7" s="604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11" t="str">
        <f>Eingabe_!B40</f>
        <v>Filter Nr. 158.01 - Filter Nr. 158.04</v>
      </c>
      <c r="F9" s="611"/>
      <c r="G9" s="611"/>
      <c r="H9" s="611"/>
      <c r="I9" s="611"/>
      <c r="J9" s="611"/>
      <c r="K9" s="611"/>
      <c r="L9" s="611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49"/>
      <c r="G10" s="149"/>
      <c r="H10" s="149"/>
      <c r="I10" s="149"/>
      <c r="J10" s="149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Eingabe_!D40</f>
        <v xml:space="preserve">0762x0762x0078 [mm] </v>
      </c>
      <c r="F11" s="121"/>
      <c r="G11" s="121"/>
      <c r="H11" s="121"/>
      <c r="I11" s="120" t="s">
        <v>431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691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37" t="s">
        <v>195</v>
      </c>
      <c r="B16" s="537"/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37"/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2" t="s">
        <v>66</v>
      </c>
      <c r="B18" s="613"/>
      <c r="C18" s="613"/>
      <c r="D18" s="614"/>
      <c r="E18" s="621" t="s">
        <v>67</v>
      </c>
      <c r="F18" s="624" t="s">
        <v>68</v>
      </c>
      <c r="G18" s="625"/>
      <c r="H18" s="625"/>
      <c r="I18" s="625"/>
      <c r="J18" s="625"/>
      <c r="K18" s="626"/>
      <c r="L18" s="624" t="s">
        <v>8</v>
      </c>
      <c r="M18" s="625"/>
      <c r="N18" s="625"/>
      <c r="O18" s="626"/>
      <c r="P18" s="598" t="s">
        <v>70</v>
      </c>
      <c r="Q18" s="599"/>
      <c r="R18" s="599"/>
      <c r="S18" s="598" t="s">
        <v>100</v>
      </c>
      <c r="T18" s="599"/>
      <c r="U18" s="599"/>
      <c r="V18" s="598" t="s">
        <v>695</v>
      </c>
      <c r="W18" s="599"/>
      <c r="X18" s="599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15"/>
      <c r="B19" s="616"/>
      <c r="C19" s="616"/>
      <c r="D19" s="617"/>
      <c r="E19" s="622"/>
      <c r="F19" s="627" t="s">
        <v>71</v>
      </c>
      <c r="G19" s="628"/>
      <c r="H19" s="628"/>
      <c r="I19" s="628"/>
      <c r="J19" s="628"/>
      <c r="K19" s="629"/>
      <c r="L19" s="627" t="s">
        <v>72</v>
      </c>
      <c r="M19" s="628"/>
      <c r="N19" s="628"/>
      <c r="O19" s="629"/>
      <c r="P19" s="600"/>
      <c r="Q19" s="600"/>
      <c r="R19" s="600"/>
      <c r="S19" s="600"/>
      <c r="T19" s="600"/>
      <c r="U19" s="600"/>
      <c r="V19" s="600"/>
      <c r="W19" s="600"/>
      <c r="X19" s="600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15"/>
      <c r="B20" s="616"/>
      <c r="C20" s="616"/>
      <c r="D20" s="617"/>
      <c r="E20" s="622"/>
      <c r="F20" s="630" t="s">
        <v>73</v>
      </c>
      <c r="G20" s="630"/>
      <c r="H20" s="630"/>
      <c r="I20" s="631" t="s">
        <v>74</v>
      </c>
      <c r="J20" s="632"/>
      <c r="K20" s="633"/>
      <c r="L20" s="627" t="s">
        <v>220</v>
      </c>
      <c r="M20" s="628"/>
      <c r="N20" s="628"/>
      <c r="O20" s="629"/>
      <c r="P20" s="600"/>
      <c r="Q20" s="600"/>
      <c r="R20" s="600"/>
      <c r="S20" s="600"/>
      <c r="T20" s="600"/>
      <c r="U20" s="600"/>
      <c r="V20" s="600"/>
      <c r="W20" s="600"/>
      <c r="X20" s="600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18"/>
      <c r="B21" s="619"/>
      <c r="C21" s="619"/>
      <c r="D21" s="620"/>
      <c r="E21" s="623"/>
      <c r="F21" s="610" t="s">
        <v>75</v>
      </c>
      <c r="G21" s="610"/>
      <c r="H21" s="610"/>
      <c r="I21" s="610" t="s">
        <v>75</v>
      </c>
      <c r="J21" s="610"/>
      <c r="K21" s="610"/>
      <c r="L21" s="610" t="s">
        <v>75</v>
      </c>
      <c r="M21" s="610"/>
      <c r="N21" s="610"/>
      <c r="O21" s="610"/>
      <c r="P21" s="597" t="s">
        <v>76</v>
      </c>
      <c r="Q21" s="597"/>
      <c r="R21" s="597"/>
      <c r="S21" s="597" t="s">
        <v>76</v>
      </c>
      <c r="T21" s="597"/>
      <c r="U21" s="597"/>
      <c r="V21" s="597" t="s">
        <v>76</v>
      </c>
      <c r="W21" s="597"/>
      <c r="X21" s="597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596">
        <f>Eingabe_!A45</f>
        <v>158.01</v>
      </c>
      <c r="B22" s="596"/>
      <c r="C22" s="596"/>
      <c r="D22" s="596"/>
      <c r="E22" s="131">
        <v>1</v>
      </c>
      <c r="F22" s="607" t="str">
        <f>Eingabe_!D45</f>
        <v>from messvalues</v>
      </c>
      <c r="G22" s="607"/>
      <c r="H22" s="607"/>
      <c r="I22" s="607" t="e">
        <f>F22*100</f>
        <v>#VALUE!</v>
      </c>
      <c r="J22" s="607"/>
      <c r="K22" s="607"/>
      <c r="L22" s="608" t="str">
        <f>Eingabe_!C45</f>
        <v>from messvalues</v>
      </c>
      <c r="M22" s="608"/>
      <c r="N22" s="608"/>
      <c r="O22" s="608"/>
      <c r="P22" s="609" t="str">
        <f>IFERROR((ROUNDUP((L22/I22*100),3)),"-")</f>
        <v>-</v>
      </c>
      <c r="Q22" s="609"/>
      <c r="R22" s="609"/>
      <c r="S22" s="609">
        <f>IF(A22="-","-",MAX(P22:R25))</f>
        <v>1E-3</v>
      </c>
      <c r="T22" s="609"/>
      <c r="U22" s="609"/>
      <c r="V22" s="634">
        <f>IF(A22="-","-",(IF($E$12="H14",0.01,0.1)))</f>
        <v>0.01</v>
      </c>
      <c r="W22" s="634"/>
      <c r="X22" s="634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596"/>
      <c r="B23" s="596"/>
      <c r="C23" s="596"/>
      <c r="D23" s="596"/>
      <c r="E23" s="131">
        <v>2</v>
      </c>
      <c r="F23" s="607">
        <f>Eingabe_!D46</f>
        <v>381239</v>
      </c>
      <c r="G23" s="607"/>
      <c r="H23" s="607"/>
      <c r="I23" s="607">
        <f t="shared" ref="I23:I37" si="0">F23*100</f>
        <v>38123900</v>
      </c>
      <c r="J23" s="607"/>
      <c r="K23" s="607"/>
      <c r="L23" s="608">
        <f>Eingabe_!C46</f>
        <v>14</v>
      </c>
      <c r="M23" s="608"/>
      <c r="N23" s="608"/>
      <c r="O23" s="608"/>
      <c r="P23" s="609">
        <f t="shared" ref="P23:P37" si="1">IFERROR((ROUNDUP((L23/I23*100),3)),"-")</f>
        <v>1E-3</v>
      </c>
      <c r="Q23" s="609"/>
      <c r="R23" s="609"/>
      <c r="S23" s="609"/>
      <c r="T23" s="609"/>
      <c r="U23" s="609"/>
      <c r="V23" s="634"/>
      <c r="W23" s="634"/>
      <c r="X23" s="634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596"/>
      <c r="B24" s="596"/>
      <c r="C24" s="596"/>
      <c r="D24" s="596"/>
      <c r="E24" s="131">
        <v>3</v>
      </c>
      <c r="F24" s="607">
        <f>Eingabe_!D47</f>
        <v>432012</v>
      </c>
      <c r="G24" s="607"/>
      <c r="H24" s="607"/>
      <c r="I24" s="607">
        <f t="shared" si="0"/>
        <v>43201200</v>
      </c>
      <c r="J24" s="607"/>
      <c r="K24" s="607"/>
      <c r="L24" s="608">
        <f>Eingabe_!C47</f>
        <v>8</v>
      </c>
      <c r="M24" s="608"/>
      <c r="N24" s="608"/>
      <c r="O24" s="608"/>
      <c r="P24" s="609">
        <f t="shared" si="1"/>
        <v>1E-3</v>
      </c>
      <c r="Q24" s="609"/>
      <c r="R24" s="609"/>
      <c r="S24" s="609"/>
      <c r="T24" s="609"/>
      <c r="U24" s="609"/>
      <c r="V24" s="634"/>
      <c r="W24" s="634"/>
      <c r="X24" s="634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596"/>
      <c r="B25" s="596"/>
      <c r="C25" s="596"/>
      <c r="D25" s="596"/>
      <c r="E25" s="131">
        <v>4</v>
      </c>
      <c r="F25" s="607">
        <f>Eingabe_!D48</f>
        <v>407377</v>
      </c>
      <c r="G25" s="607"/>
      <c r="H25" s="607"/>
      <c r="I25" s="607">
        <f t="shared" si="0"/>
        <v>40737700</v>
      </c>
      <c r="J25" s="607"/>
      <c r="K25" s="607"/>
      <c r="L25" s="608">
        <f>Eingabe_!C48</f>
        <v>14</v>
      </c>
      <c r="M25" s="608"/>
      <c r="N25" s="608"/>
      <c r="O25" s="608"/>
      <c r="P25" s="609">
        <f t="shared" si="1"/>
        <v>1E-3</v>
      </c>
      <c r="Q25" s="609"/>
      <c r="R25" s="609"/>
      <c r="S25" s="609"/>
      <c r="T25" s="609"/>
      <c r="U25" s="609"/>
      <c r="V25" s="634"/>
      <c r="W25" s="634"/>
      <c r="X25" s="634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596">
        <f>A22+0.01</f>
        <v>158.01999999999998</v>
      </c>
      <c r="B26" s="596"/>
      <c r="C26" s="596"/>
      <c r="D26" s="596"/>
      <c r="E26" s="131">
        <v>1</v>
      </c>
      <c r="F26" s="607">
        <f>Eingabe_!D53</f>
        <v>402038</v>
      </c>
      <c r="G26" s="607"/>
      <c r="H26" s="607"/>
      <c r="I26" s="607">
        <f t="shared" si="0"/>
        <v>40203800</v>
      </c>
      <c r="J26" s="607"/>
      <c r="K26" s="607"/>
      <c r="L26" s="608">
        <f>Eingabe_!C53</f>
        <v>8</v>
      </c>
      <c r="M26" s="608"/>
      <c r="N26" s="608"/>
      <c r="O26" s="608"/>
      <c r="P26" s="609">
        <f t="shared" si="1"/>
        <v>1E-3</v>
      </c>
      <c r="Q26" s="609"/>
      <c r="R26" s="609"/>
      <c r="S26" s="609">
        <f>IF(A26="-","-",MAX(P26:R29))</f>
        <v>1E-3</v>
      </c>
      <c r="T26" s="609"/>
      <c r="U26" s="609"/>
      <c r="V26" s="634">
        <f t="shared" ref="V26" si="2">IF(A26="-","-",(IF($E$12="H14",0.01,0.1)))</f>
        <v>0.01</v>
      </c>
      <c r="W26" s="634"/>
      <c r="X26" s="634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596"/>
      <c r="B27" s="596"/>
      <c r="C27" s="596"/>
      <c r="D27" s="596"/>
      <c r="E27" s="131">
        <v>2</v>
      </c>
      <c r="F27" s="607">
        <f>Eingabe_!D54</f>
        <v>395610</v>
      </c>
      <c r="G27" s="607"/>
      <c r="H27" s="607"/>
      <c r="I27" s="607">
        <f t="shared" si="0"/>
        <v>39561000</v>
      </c>
      <c r="J27" s="607"/>
      <c r="K27" s="607"/>
      <c r="L27" s="608">
        <f>Eingabe_!C54</f>
        <v>11</v>
      </c>
      <c r="M27" s="608"/>
      <c r="N27" s="608"/>
      <c r="O27" s="608"/>
      <c r="P27" s="609">
        <f t="shared" si="1"/>
        <v>1E-3</v>
      </c>
      <c r="Q27" s="609"/>
      <c r="R27" s="609"/>
      <c r="S27" s="609"/>
      <c r="T27" s="609"/>
      <c r="U27" s="609"/>
      <c r="V27" s="634"/>
      <c r="W27" s="634"/>
      <c r="X27" s="634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596"/>
      <c r="B28" s="596"/>
      <c r="C28" s="596"/>
      <c r="D28" s="596"/>
      <c r="E28" s="131">
        <v>3</v>
      </c>
      <c r="F28" s="607">
        <f>Eingabe_!D55</f>
        <v>399077</v>
      </c>
      <c r="G28" s="607"/>
      <c r="H28" s="607"/>
      <c r="I28" s="607">
        <f t="shared" si="0"/>
        <v>39907700</v>
      </c>
      <c r="J28" s="607"/>
      <c r="K28" s="607"/>
      <c r="L28" s="608">
        <f>Eingabe_!C55</f>
        <v>10</v>
      </c>
      <c r="M28" s="608"/>
      <c r="N28" s="608"/>
      <c r="O28" s="608"/>
      <c r="P28" s="609">
        <f t="shared" si="1"/>
        <v>1E-3</v>
      </c>
      <c r="Q28" s="609"/>
      <c r="R28" s="609"/>
      <c r="S28" s="609"/>
      <c r="T28" s="609"/>
      <c r="U28" s="609"/>
      <c r="V28" s="634"/>
      <c r="W28" s="634"/>
      <c r="X28" s="634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596"/>
      <c r="B29" s="596"/>
      <c r="C29" s="596"/>
      <c r="D29" s="596"/>
      <c r="E29" s="131">
        <v>4</v>
      </c>
      <c r="F29" s="607">
        <f>Eingabe_!D56</f>
        <v>458290</v>
      </c>
      <c r="G29" s="607"/>
      <c r="H29" s="607"/>
      <c r="I29" s="607">
        <f t="shared" si="0"/>
        <v>45829000</v>
      </c>
      <c r="J29" s="607"/>
      <c r="K29" s="607"/>
      <c r="L29" s="608">
        <f>Eingabe_!C56</f>
        <v>3</v>
      </c>
      <c r="M29" s="608"/>
      <c r="N29" s="608"/>
      <c r="O29" s="608"/>
      <c r="P29" s="609">
        <f t="shared" si="1"/>
        <v>1E-3</v>
      </c>
      <c r="Q29" s="609"/>
      <c r="R29" s="609"/>
      <c r="S29" s="609"/>
      <c r="T29" s="609"/>
      <c r="U29" s="609"/>
      <c r="V29" s="634"/>
      <c r="W29" s="634"/>
      <c r="X29" s="634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596">
        <f>A26+0.01</f>
        <v>158.02999999999997</v>
      </c>
      <c r="B30" s="596"/>
      <c r="C30" s="596"/>
      <c r="D30" s="596"/>
      <c r="E30" s="131">
        <v>1</v>
      </c>
      <c r="F30" s="607">
        <f>Eingabe_!D61</f>
        <v>398840</v>
      </c>
      <c r="G30" s="607"/>
      <c r="H30" s="607"/>
      <c r="I30" s="607">
        <f t="shared" si="0"/>
        <v>39884000</v>
      </c>
      <c r="J30" s="607"/>
      <c r="K30" s="607"/>
      <c r="L30" s="608">
        <f>Eingabe_!C61</f>
        <v>77</v>
      </c>
      <c r="M30" s="608"/>
      <c r="N30" s="608"/>
      <c r="O30" s="608"/>
      <c r="P30" s="609">
        <f t="shared" si="1"/>
        <v>1E-3</v>
      </c>
      <c r="Q30" s="609"/>
      <c r="R30" s="609"/>
      <c r="S30" s="609">
        <f>IF(A30="-","-",MAX(P30:R33))</f>
        <v>1E-3</v>
      </c>
      <c r="T30" s="609"/>
      <c r="U30" s="609"/>
      <c r="V30" s="634">
        <f t="shared" ref="V30" si="3">IF(A30="-","-",(IF($E$12="H14",0.01,0.1)))</f>
        <v>0.01</v>
      </c>
      <c r="W30" s="634"/>
      <c r="X30" s="634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596"/>
      <c r="B31" s="596"/>
      <c r="C31" s="596"/>
      <c r="D31" s="596"/>
      <c r="E31" s="131">
        <v>2</v>
      </c>
      <c r="F31" s="607">
        <f>Eingabe_!D62</f>
        <v>425996</v>
      </c>
      <c r="G31" s="607"/>
      <c r="H31" s="607"/>
      <c r="I31" s="607">
        <f t="shared" si="0"/>
        <v>42599600</v>
      </c>
      <c r="J31" s="607"/>
      <c r="K31" s="607"/>
      <c r="L31" s="608">
        <f>Eingabe_!C62</f>
        <v>4</v>
      </c>
      <c r="M31" s="608"/>
      <c r="N31" s="608"/>
      <c r="O31" s="608"/>
      <c r="P31" s="609">
        <f t="shared" si="1"/>
        <v>1E-3</v>
      </c>
      <c r="Q31" s="609"/>
      <c r="R31" s="609"/>
      <c r="S31" s="609"/>
      <c r="T31" s="609"/>
      <c r="U31" s="609"/>
      <c r="V31" s="634"/>
      <c r="W31" s="634"/>
      <c r="X31" s="634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596"/>
      <c r="B32" s="596"/>
      <c r="C32" s="596"/>
      <c r="D32" s="596"/>
      <c r="E32" s="131">
        <v>3</v>
      </c>
      <c r="F32" s="607">
        <f>Eingabe_!D63</f>
        <v>402400</v>
      </c>
      <c r="G32" s="607"/>
      <c r="H32" s="607"/>
      <c r="I32" s="607">
        <f t="shared" si="0"/>
        <v>40240000</v>
      </c>
      <c r="J32" s="607"/>
      <c r="K32" s="607"/>
      <c r="L32" s="608">
        <f>Eingabe_!C63</f>
        <v>5</v>
      </c>
      <c r="M32" s="608"/>
      <c r="N32" s="608"/>
      <c r="O32" s="608"/>
      <c r="P32" s="609">
        <f t="shared" si="1"/>
        <v>1E-3</v>
      </c>
      <c r="Q32" s="609"/>
      <c r="R32" s="609"/>
      <c r="S32" s="609"/>
      <c r="T32" s="609"/>
      <c r="U32" s="609"/>
      <c r="V32" s="634"/>
      <c r="W32" s="634"/>
      <c r="X32" s="634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596"/>
      <c r="B33" s="596"/>
      <c r="C33" s="596"/>
      <c r="D33" s="596"/>
      <c r="E33" s="131">
        <v>4</v>
      </c>
      <c r="F33" s="607">
        <f>Eingabe_!D64</f>
        <v>426741</v>
      </c>
      <c r="G33" s="607"/>
      <c r="H33" s="607"/>
      <c r="I33" s="607">
        <f t="shared" si="0"/>
        <v>42674100</v>
      </c>
      <c r="J33" s="607"/>
      <c r="K33" s="607"/>
      <c r="L33" s="608">
        <f>Eingabe_!C64</f>
        <v>5</v>
      </c>
      <c r="M33" s="608"/>
      <c r="N33" s="608"/>
      <c r="O33" s="608"/>
      <c r="P33" s="609">
        <f t="shared" si="1"/>
        <v>1E-3</v>
      </c>
      <c r="Q33" s="609"/>
      <c r="R33" s="609"/>
      <c r="S33" s="609"/>
      <c r="T33" s="609"/>
      <c r="U33" s="609"/>
      <c r="V33" s="634"/>
      <c r="W33" s="634"/>
      <c r="X33" s="634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596">
        <f>A30+0.01</f>
        <v>158.03999999999996</v>
      </c>
      <c r="B34" s="596"/>
      <c r="C34" s="596"/>
      <c r="D34" s="596"/>
      <c r="E34" s="131">
        <v>1</v>
      </c>
      <c r="F34" s="607">
        <f>Eingabe_!D69</f>
        <v>395479</v>
      </c>
      <c r="G34" s="607"/>
      <c r="H34" s="607"/>
      <c r="I34" s="607">
        <f t="shared" si="0"/>
        <v>39547900</v>
      </c>
      <c r="J34" s="607"/>
      <c r="K34" s="607"/>
      <c r="L34" s="608">
        <f>Eingabe_!C69</f>
        <v>312</v>
      </c>
      <c r="M34" s="608"/>
      <c r="N34" s="608"/>
      <c r="O34" s="608"/>
      <c r="P34" s="609">
        <f t="shared" si="1"/>
        <v>1E-3</v>
      </c>
      <c r="Q34" s="609"/>
      <c r="R34" s="609"/>
      <c r="S34" s="609">
        <f>IF(A34="-","-",MAX(P34:R37))</f>
        <v>1E-3</v>
      </c>
      <c r="T34" s="609"/>
      <c r="U34" s="609"/>
      <c r="V34" s="634">
        <f t="shared" ref="V34" si="4">IF(A34="-","-",(IF($E$12="H14",0.01,0.1)))</f>
        <v>0.01</v>
      </c>
      <c r="W34" s="634"/>
      <c r="X34" s="63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596"/>
      <c r="B35" s="596"/>
      <c r="C35" s="596"/>
      <c r="D35" s="596"/>
      <c r="E35" s="131">
        <v>2</v>
      </c>
      <c r="F35" s="607">
        <f>Eingabe_!D70</f>
        <v>401771</v>
      </c>
      <c r="G35" s="607"/>
      <c r="H35" s="607"/>
      <c r="I35" s="607">
        <f t="shared" si="0"/>
        <v>40177100</v>
      </c>
      <c r="J35" s="607"/>
      <c r="K35" s="607"/>
      <c r="L35" s="608">
        <f>Eingabe_!C70</f>
        <v>2</v>
      </c>
      <c r="M35" s="608"/>
      <c r="N35" s="608"/>
      <c r="O35" s="608"/>
      <c r="P35" s="609">
        <f t="shared" si="1"/>
        <v>1E-3</v>
      </c>
      <c r="Q35" s="609"/>
      <c r="R35" s="609"/>
      <c r="S35" s="609"/>
      <c r="T35" s="609"/>
      <c r="U35" s="609"/>
      <c r="V35" s="634"/>
      <c r="W35" s="634"/>
      <c r="X35" s="634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596"/>
      <c r="B36" s="596"/>
      <c r="C36" s="596"/>
      <c r="D36" s="596"/>
      <c r="E36" s="131">
        <v>3</v>
      </c>
      <c r="F36" s="607">
        <f>Eingabe_!D71</f>
        <v>391068</v>
      </c>
      <c r="G36" s="607"/>
      <c r="H36" s="607"/>
      <c r="I36" s="607">
        <f t="shared" si="0"/>
        <v>39106800</v>
      </c>
      <c r="J36" s="607"/>
      <c r="K36" s="607"/>
      <c r="L36" s="608">
        <f>Eingabe_!C71</f>
        <v>6</v>
      </c>
      <c r="M36" s="608"/>
      <c r="N36" s="608"/>
      <c r="O36" s="608"/>
      <c r="P36" s="609">
        <f t="shared" si="1"/>
        <v>1E-3</v>
      </c>
      <c r="Q36" s="609"/>
      <c r="R36" s="609"/>
      <c r="S36" s="609"/>
      <c r="T36" s="609"/>
      <c r="U36" s="609"/>
      <c r="V36" s="634"/>
      <c r="W36" s="634"/>
      <c r="X36" s="634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596"/>
      <c r="B37" s="596"/>
      <c r="C37" s="596"/>
      <c r="D37" s="596"/>
      <c r="E37" s="131">
        <v>4</v>
      </c>
      <c r="F37" s="607">
        <f>Eingabe_!D72</f>
        <v>385644</v>
      </c>
      <c r="G37" s="607"/>
      <c r="H37" s="607"/>
      <c r="I37" s="607">
        <f t="shared" si="0"/>
        <v>38564400</v>
      </c>
      <c r="J37" s="607"/>
      <c r="K37" s="607"/>
      <c r="L37" s="608">
        <f>Eingabe_!C72</f>
        <v>2</v>
      </c>
      <c r="M37" s="608"/>
      <c r="N37" s="608"/>
      <c r="O37" s="608"/>
      <c r="P37" s="609">
        <f t="shared" si="1"/>
        <v>1E-3</v>
      </c>
      <c r="Q37" s="609"/>
      <c r="R37" s="609"/>
      <c r="S37" s="609"/>
      <c r="T37" s="609"/>
      <c r="U37" s="609"/>
      <c r="V37" s="634"/>
      <c r="W37" s="634"/>
      <c r="X37" s="634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400"/>
      <c r="B38" s="400"/>
      <c r="C38" s="400"/>
      <c r="D38" s="400"/>
      <c r="E38" s="363"/>
      <c r="F38" s="175"/>
      <c r="G38" s="175"/>
      <c r="H38" s="175"/>
      <c r="I38" s="175"/>
      <c r="J38" s="175"/>
      <c r="K38" s="175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 t="s">
        <v>219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 s="111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V41" s="134"/>
      <c r="W41" s="134"/>
      <c r="X41" s="133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 s="63" t="s">
        <v>37</v>
      </c>
      <c r="B42" s="63"/>
      <c r="D42" s="63"/>
      <c r="F42" s="49" t="str">
        <f>IF((OR(V22&lt;S22,V26&lt;S26,V30&lt;S30,V34&lt;S34)),"Die zulässige Leckpenetration wird überschritten.","Die zulässige Leckpenetration wird an keinem Filter überschritten.")</f>
        <v>Die zulässige Leckpenetration wird an keinem Filter überschritten.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Z42"/>
      <c r="AA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 s="69" t="s">
        <v>38</v>
      </c>
      <c r="B43" s="69"/>
      <c r="C43" s="69"/>
      <c r="D43" s="69"/>
      <c r="E43" s="69"/>
      <c r="F43" s="69" t="str">
        <f>IF((OR(V22&lt;S22,V26&lt;S26,V34&lt;S34,V30&lt;S30)),"Die geprüften Filter entsprechen den Anforderungen nicht.","Die geprüften Filter entsprechen den Anforderungen.")</f>
        <v>Die geprüften Filter entsprechen den Anforderungen.</v>
      </c>
      <c r="G43" s="69"/>
      <c r="H43" s="69"/>
      <c r="I43" s="69"/>
      <c r="J43" s="69"/>
      <c r="K43" s="69"/>
      <c r="L43" s="69"/>
      <c r="M43" s="6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6" customHeight="1"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6" customHeight="1"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6" customHeight="1"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6" customHeight="1"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6" customHeight="1"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6" customHeight="1"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6" customHeight="1"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6" customHeight="1"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6" customHeight="1"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/>
  </sheetData>
  <mergeCells count="98">
    <mergeCell ref="S22:U25"/>
    <mergeCell ref="V22:X25"/>
    <mergeCell ref="A26:D29"/>
    <mergeCell ref="S26:U29"/>
    <mergeCell ref="V26:X29"/>
    <mergeCell ref="F22:H22"/>
    <mergeCell ref="I22:K22"/>
    <mergeCell ref="L22:O22"/>
    <mergeCell ref="P22:R22"/>
    <mergeCell ref="F25:H25"/>
    <mergeCell ref="A22:D25"/>
    <mergeCell ref="F26:H26"/>
    <mergeCell ref="I26:K26"/>
    <mergeCell ref="L26:O26"/>
    <mergeCell ref="P26:R26"/>
    <mergeCell ref="F28:H28"/>
    <mergeCell ref="A30:D33"/>
    <mergeCell ref="S30:U33"/>
    <mergeCell ref="V30:X33"/>
    <mergeCell ref="A34:D37"/>
    <mergeCell ref="S34:U37"/>
    <mergeCell ref="V34:X37"/>
    <mergeCell ref="F31:H31"/>
    <mergeCell ref="L30:O30"/>
    <mergeCell ref="P30:R30"/>
    <mergeCell ref="F30:H30"/>
    <mergeCell ref="I30:K30"/>
    <mergeCell ref="F33:H33"/>
    <mergeCell ref="I33:K33"/>
    <mergeCell ref="L33:O33"/>
    <mergeCell ref="P33:R33"/>
    <mergeCell ref="I31:K31"/>
    <mergeCell ref="F19:K19"/>
    <mergeCell ref="L19:O19"/>
    <mergeCell ref="F20:H20"/>
    <mergeCell ref="I20:K20"/>
    <mergeCell ref="L20:O20"/>
    <mergeCell ref="F21:H21"/>
    <mergeCell ref="I21:K21"/>
    <mergeCell ref="L21:O21"/>
    <mergeCell ref="R5:W5"/>
    <mergeCell ref="E9:L9"/>
    <mergeCell ref="A16:X17"/>
    <mergeCell ref="A18:D21"/>
    <mergeCell ref="E18:E21"/>
    <mergeCell ref="F18:K18"/>
    <mergeCell ref="L18:O18"/>
    <mergeCell ref="P18:R20"/>
    <mergeCell ref="S18:U20"/>
    <mergeCell ref="V18:X20"/>
    <mergeCell ref="P21:R21"/>
    <mergeCell ref="S21:U21"/>
    <mergeCell ref="V21:X21"/>
    <mergeCell ref="R7:W7"/>
    <mergeCell ref="F27:H27"/>
    <mergeCell ref="I27:K27"/>
    <mergeCell ref="L27:O27"/>
    <mergeCell ref="P27:R27"/>
    <mergeCell ref="I25:K25"/>
    <mergeCell ref="L25:O25"/>
    <mergeCell ref="P25:R25"/>
    <mergeCell ref="F23:H23"/>
    <mergeCell ref="I23:K23"/>
    <mergeCell ref="L23:O23"/>
    <mergeCell ref="P23:R23"/>
    <mergeCell ref="F24:H24"/>
    <mergeCell ref="I24:K24"/>
    <mergeCell ref="L24:O24"/>
    <mergeCell ref="P24:R24"/>
    <mergeCell ref="I28:K28"/>
    <mergeCell ref="L28:O28"/>
    <mergeCell ref="P28:R28"/>
    <mergeCell ref="F29:H29"/>
    <mergeCell ref="I29:K29"/>
    <mergeCell ref="L29:O29"/>
    <mergeCell ref="P29:R29"/>
    <mergeCell ref="L31:O31"/>
    <mergeCell ref="P31:R31"/>
    <mergeCell ref="F32:H32"/>
    <mergeCell ref="I32:K32"/>
    <mergeCell ref="L32:O32"/>
    <mergeCell ref="P32:R32"/>
    <mergeCell ref="F34:H34"/>
    <mergeCell ref="I34:K34"/>
    <mergeCell ref="L34:O34"/>
    <mergeCell ref="P34:R34"/>
    <mergeCell ref="F37:H37"/>
    <mergeCell ref="I37:K37"/>
    <mergeCell ref="L37:O37"/>
    <mergeCell ref="P37:R37"/>
    <mergeCell ref="F35:H35"/>
    <mergeCell ref="I35:K35"/>
    <mergeCell ref="L35:O35"/>
    <mergeCell ref="P35:R35"/>
    <mergeCell ref="F36:H36"/>
    <mergeCell ref="I36:K36"/>
    <mergeCell ref="L36:O36"/>
    <mergeCell ref="P36:R36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8B1-687D-4350-BC89-FA9380CC9E0C}">
  <sheetPr>
    <tabColor theme="5" tint="0.79998168889431442"/>
    <pageSetUpPr fitToPage="1"/>
  </sheetPr>
  <dimension ref="A1:BD217"/>
  <sheetViews>
    <sheetView view="pageBreakPreview" zoomScale="124" zoomScaleNormal="127" zoomScaleSheetLayoutView="124" zoomScalePageLayoutView="139" workbookViewId="0">
      <selection activeCell="P37" sqref="P37:X3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Seitenregister!X16</f>
        <v>12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e">
        <f>Eingabe_!G8</f>
        <v>#NUM!</v>
      </c>
      <c r="S5" s="603"/>
      <c r="T5" s="603"/>
      <c r="U5" s="603"/>
      <c r="V5" s="603"/>
      <c r="W5" s="603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04" t="str">
        <f>Eingabe_!$G$13</f>
        <v>OP 1</v>
      </c>
      <c r="S7" s="604"/>
      <c r="T7" s="604"/>
      <c r="U7" s="604"/>
      <c r="V7" s="604"/>
      <c r="W7" s="604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11" t="str">
        <f>Eingabe_!B41</f>
        <v>Filter Nr. 158.05 - Filter Nr. 158.07</v>
      </c>
      <c r="F9" s="611"/>
      <c r="G9" s="611"/>
      <c r="H9" s="611"/>
      <c r="I9" s="611"/>
      <c r="J9" s="611"/>
      <c r="K9" s="611"/>
      <c r="L9" s="611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Eingabe_!D41</f>
        <v xml:space="preserve">0762x0914x0078 [mm] </v>
      </c>
      <c r="F11" s="121"/>
      <c r="G11" s="121"/>
      <c r="H11" s="121"/>
      <c r="I11" s="120" t="s">
        <v>432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693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37" t="s">
        <v>195</v>
      </c>
      <c r="B16" s="537"/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37"/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2" t="s">
        <v>66</v>
      </c>
      <c r="B18" s="613"/>
      <c r="C18" s="613"/>
      <c r="D18" s="614"/>
      <c r="E18" s="621" t="s">
        <v>67</v>
      </c>
      <c r="F18" s="624" t="s">
        <v>68</v>
      </c>
      <c r="G18" s="625"/>
      <c r="H18" s="625"/>
      <c r="I18" s="625"/>
      <c r="J18" s="625"/>
      <c r="K18" s="626"/>
      <c r="L18" s="624" t="s">
        <v>8</v>
      </c>
      <c r="M18" s="625"/>
      <c r="N18" s="625"/>
      <c r="O18" s="626"/>
      <c r="P18" s="598" t="s">
        <v>70</v>
      </c>
      <c r="Q18" s="599"/>
      <c r="R18" s="599"/>
      <c r="S18" s="598" t="s">
        <v>100</v>
      </c>
      <c r="T18" s="599"/>
      <c r="U18" s="599"/>
      <c r="V18" s="598" t="s">
        <v>696</v>
      </c>
      <c r="W18" s="599"/>
      <c r="X18" s="599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15"/>
      <c r="B19" s="616"/>
      <c r="C19" s="616"/>
      <c r="D19" s="617"/>
      <c r="E19" s="622"/>
      <c r="F19" s="627" t="s">
        <v>71</v>
      </c>
      <c r="G19" s="628"/>
      <c r="H19" s="628"/>
      <c r="I19" s="628"/>
      <c r="J19" s="628"/>
      <c r="K19" s="629"/>
      <c r="L19" s="627" t="s">
        <v>72</v>
      </c>
      <c r="M19" s="628"/>
      <c r="N19" s="628"/>
      <c r="O19" s="629"/>
      <c r="P19" s="600"/>
      <c r="Q19" s="600"/>
      <c r="R19" s="600"/>
      <c r="S19" s="600"/>
      <c r="T19" s="600"/>
      <c r="U19" s="600"/>
      <c r="V19" s="600"/>
      <c r="W19" s="600"/>
      <c r="X19" s="600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15"/>
      <c r="B20" s="616"/>
      <c r="C20" s="616"/>
      <c r="D20" s="617"/>
      <c r="E20" s="622"/>
      <c r="F20" s="630" t="s">
        <v>73</v>
      </c>
      <c r="G20" s="630"/>
      <c r="H20" s="630"/>
      <c r="I20" s="631" t="s">
        <v>74</v>
      </c>
      <c r="J20" s="632"/>
      <c r="K20" s="633"/>
      <c r="L20" s="627" t="s">
        <v>220</v>
      </c>
      <c r="M20" s="628"/>
      <c r="N20" s="628"/>
      <c r="O20" s="629"/>
      <c r="P20" s="600"/>
      <c r="Q20" s="600"/>
      <c r="R20" s="600"/>
      <c r="S20" s="600"/>
      <c r="T20" s="600"/>
      <c r="U20" s="600"/>
      <c r="V20" s="600"/>
      <c r="W20" s="600"/>
      <c r="X20" s="600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18"/>
      <c r="B21" s="619"/>
      <c r="C21" s="619"/>
      <c r="D21" s="620"/>
      <c r="E21" s="623"/>
      <c r="F21" s="610" t="s">
        <v>75</v>
      </c>
      <c r="G21" s="610"/>
      <c r="H21" s="610"/>
      <c r="I21" s="610" t="s">
        <v>75</v>
      </c>
      <c r="J21" s="610"/>
      <c r="K21" s="610"/>
      <c r="L21" s="610" t="s">
        <v>75</v>
      </c>
      <c r="M21" s="610"/>
      <c r="N21" s="610"/>
      <c r="O21" s="610"/>
      <c r="P21" s="597" t="s">
        <v>76</v>
      </c>
      <c r="Q21" s="597"/>
      <c r="R21" s="597"/>
      <c r="S21" s="597" t="s">
        <v>76</v>
      </c>
      <c r="T21" s="597"/>
      <c r="U21" s="597"/>
      <c r="V21" s="597" t="s">
        <v>76</v>
      </c>
      <c r="W21" s="597"/>
      <c r="X21" s="597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595">
        <f>Eingabe_!A77</f>
        <v>158.04999999999995</v>
      </c>
      <c r="B22" s="595"/>
      <c r="C22" s="595"/>
      <c r="D22" s="595"/>
      <c r="E22" s="131">
        <v>1</v>
      </c>
      <c r="F22" s="607">
        <f>Eingabe_!D77</f>
        <v>453328</v>
      </c>
      <c r="G22" s="607"/>
      <c r="H22" s="607"/>
      <c r="I22" s="607">
        <f>F22*100</f>
        <v>45332800</v>
      </c>
      <c r="J22" s="607"/>
      <c r="K22" s="607"/>
      <c r="L22" s="608">
        <f>Eingabe_!C77</f>
        <v>15</v>
      </c>
      <c r="M22" s="608"/>
      <c r="N22" s="608"/>
      <c r="O22" s="608"/>
      <c r="P22" s="609">
        <f>IFERROR((ROUNDUP((L22/I22*100),3)),"-")</f>
        <v>1E-3</v>
      </c>
      <c r="Q22" s="609"/>
      <c r="R22" s="609"/>
      <c r="S22" s="609">
        <f>IF(A22="-","-",MAX(P22:R26))</f>
        <v>1E-3</v>
      </c>
      <c r="T22" s="609"/>
      <c r="U22" s="609"/>
      <c r="V22" s="634">
        <f>IF(A22="-","-",(IF($E$12="H14",0.01,0.1)))</f>
        <v>0.01</v>
      </c>
      <c r="W22" s="634"/>
      <c r="X22" s="634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595"/>
      <c r="B23" s="595"/>
      <c r="C23" s="595"/>
      <c r="D23" s="595"/>
      <c r="E23" s="131">
        <v>2</v>
      </c>
      <c r="F23" s="607">
        <f>Eingabe_!D78</f>
        <v>432821</v>
      </c>
      <c r="G23" s="607"/>
      <c r="H23" s="607"/>
      <c r="I23" s="607">
        <f t="shared" ref="I23:I26" si="0">F23*100</f>
        <v>43282100</v>
      </c>
      <c r="J23" s="607"/>
      <c r="K23" s="607"/>
      <c r="L23" s="608">
        <f>Eingabe_!C78</f>
        <v>6</v>
      </c>
      <c r="M23" s="608"/>
      <c r="N23" s="608"/>
      <c r="O23" s="608"/>
      <c r="P23" s="609">
        <f t="shared" ref="P23:P26" si="1">IFERROR((ROUNDUP((L23/I23*100),3)),"-")</f>
        <v>1E-3</v>
      </c>
      <c r="Q23" s="609"/>
      <c r="R23" s="609"/>
      <c r="S23" s="609"/>
      <c r="T23" s="609"/>
      <c r="U23" s="609"/>
      <c r="V23" s="634"/>
      <c r="W23" s="634"/>
      <c r="X23" s="634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595"/>
      <c r="B24" s="595"/>
      <c r="C24" s="595"/>
      <c r="D24" s="595"/>
      <c r="E24" s="131">
        <v>3</v>
      </c>
      <c r="F24" s="607">
        <f>Eingabe_!D79</f>
        <v>434452</v>
      </c>
      <c r="G24" s="607"/>
      <c r="H24" s="607"/>
      <c r="I24" s="607">
        <f t="shared" si="0"/>
        <v>43445200</v>
      </c>
      <c r="J24" s="607"/>
      <c r="K24" s="607"/>
      <c r="L24" s="608">
        <f>Eingabe_!C79</f>
        <v>8</v>
      </c>
      <c r="M24" s="608"/>
      <c r="N24" s="608"/>
      <c r="O24" s="608"/>
      <c r="P24" s="609">
        <f t="shared" si="1"/>
        <v>1E-3</v>
      </c>
      <c r="Q24" s="609"/>
      <c r="R24" s="609"/>
      <c r="S24" s="609"/>
      <c r="T24" s="609"/>
      <c r="U24" s="609"/>
      <c r="V24" s="634"/>
      <c r="W24" s="634"/>
      <c r="X24" s="634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595"/>
      <c r="B25" s="595"/>
      <c r="C25" s="595"/>
      <c r="D25" s="595"/>
      <c r="E25" s="131">
        <v>4</v>
      </c>
      <c r="F25" s="607">
        <f>Eingabe_!D80</f>
        <v>381789</v>
      </c>
      <c r="G25" s="607"/>
      <c r="H25" s="607"/>
      <c r="I25" s="607">
        <f t="shared" si="0"/>
        <v>38178900</v>
      </c>
      <c r="J25" s="607"/>
      <c r="K25" s="607"/>
      <c r="L25" s="608">
        <f>Eingabe_!C80</f>
        <v>9</v>
      </c>
      <c r="M25" s="608"/>
      <c r="N25" s="608"/>
      <c r="O25" s="608"/>
      <c r="P25" s="609">
        <f t="shared" si="1"/>
        <v>1E-3</v>
      </c>
      <c r="Q25" s="609"/>
      <c r="R25" s="609"/>
      <c r="S25" s="609"/>
      <c r="T25" s="609"/>
      <c r="U25" s="609"/>
      <c r="V25" s="634"/>
      <c r="W25" s="634"/>
      <c r="X25" s="634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595"/>
      <c r="B26" s="595"/>
      <c r="C26" s="595"/>
      <c r="D26" s="595"/>
      <c r="E26" s="131">
        <v>5</v>
      </c>
      <c r="F26" s="607">
        <f>Eingabe_!D81</f>
        <v>362922</v>
      </c>
      <c r="G26" s="607"/>
      <c r="H26" s="607"/>
      <c r="I26" s="607">
        <f t="shared" si="0"/>
        <v>36292200</v>
      </c>
      <c r="J26" s="607"/>
      <c r="K26" s="607"/>
      <c r="L26" s="608">
        <f>Eingabe_!C81</f>
        <v>12</v>
      </c>
      <c r="M26" s="608"/>
      <c r="N26" s="608"/>
      <c r="O26" s="608"/>
      <c r="P26" s="609">
        <f t="shared" si="1"/>
        <v>1E-3</v>
      </c>
      <c r="Q26" s="609"/>
      <c r="R26" s="609"/>
      <c r="S26" s="609"/>
      <c r="T26" s="609"/>
      <c r="U26" s="609"/>
      <c r="V26" s="634"/>
      <c r="W26" s="634"/>
      <c r="X26" s="634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595">
        <f>A22+0.01</f>
        <v>158.05999999999995</v>
      </c>
      <c r="B27" s="595"/>
      <c r="C27" s="595"/>
      <c r="D27" s="595"/>
      <c r="E27" s="131">
        <v>1</v>
      </c>
      <c r="F27" s="607">
        <f>Eingabe_!D86</f>
        <v>475522</v>
      </c>
      <c r="G27" s="607"/>
      <c r="H27" s="607"/>
      <c r="I27" s="607">
        <f>F27*100</f>
        <v>47552200</v>
      </c>
      <c r="J27" s="607"/>
      <c r="K27" s="607"/>
      <c r="L27" s="608">
        <f>Eingabe_!C86</f>
        <v>12</v>
      </c>
      <c r="M27" s="608"/>
      <c r="N27" s="608"/>
      <c r="O27" s="608"/>
      <c r="P27" s="609">
        <f>IFERROR((ROUNDUP((L27/I27*100),3)),"-")</f>
        <v>1E-3</v>
      </c>
      <c r="Q27" s="609"/>
      <c r="R27" s="609"/>
      <c r="S27" s="609">
        <f>IF(A27="-","-",MAX(P27:R31))</f>
        <v>1E-3</v>
      </c>
      <c r="T27" s="609"/>
      <c r="U27" s="609"/>
      <c r="V27" s="634">
        <f t="shared" ref="V27" si="2">IF(A27="-","-",(IF($E$12="H14",0.01,0.1)))</f>
        <v>0.01</v>
      </c>
      <c r="W27" s="634"/>
      <c r="X27" s="634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595"/>
      <c r="B28" s="595"/>
      <c r="C28" s="595"/>
      <c r="D28" s="595"/>
      <c r="E28" s="131">
        <v>2</v>
      </c>
      <c r="F28" s="607">
        <f>Eingabe_!D87</f>
        <v>434080</v>
      </c>
      <c r="G28" s="607"/>
      <c r="H28" s="607"/>
      <c r="I28" s="607">
        <f t="shared" ref="I28:I31" si="3">F28*100</f>
        <v>43408000</v>
      </c>
      <c r="J28" s="607"/>
      <c r="K28" s="607"/>
      <c r="L28" s="608">
        <f>Eingabe_!C87</f>
        <v>14</v>
      </c>
      <c r="M28" s="608"/>
      <c r="N28" s="608"/>
      <c r="O28" s="608"/>
      <c r="P28" s="609">
        <f t="shared" ref="P28:P31" si="4">IFERROR((ROUNDUP((L28/I28*100),3)),"-")</f>
        <v>1E-3</v>
      </c>
      <c r="Q28" s="609"/>
      <c r="R28" s="609"/>
      <c r="S28" s="609"/>
      <c r="T28" s="609"/>
      <c r="U28" s="609"/>
      <c r="V28" s="634"/>
      <c r="W28" s="634"/>
      <c r="X28" s="634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595"/>
      <c r="B29" s="595"/>
      <c r="C29" s="595"/>
      <c r="D29" s="595"/>
      <c r="E29" s="131">
        <v>3</v>
      </c>
      <c r="F29" s="607">
        <f>Eingabe_!D88</f>
        <v>461195</v>
      </c>
      <c r="G29" s="607"/>
      <c r="H29" s="607"/>
      <c r="I29" s="607">
        <f t="shared" si="3"/>
        <v>46119500</v>
      </c>
      <c r="J29" s="607"/>
      <c r="K29" s="607"/>
      <c r="L29" s="608">
        <f>Eingabe_!C88</f>
        <v>5</v>
      </c>
      <c r="M29" s="608"/>
      <c r="N29" s="608"/>
      <c r="O29" s="608"/>
      <c r="P29" s="609">
        <f t="shared" si="4"/>
        <v>1E-3</v>
      </c>
      <c r="Q29" s="609"/>
      <c r="R29" s="609"/>
      <c r="S29" s="609"/>
      <c r="T29" s="609"/>
      <c r="U29" s="609"/>
      <c r="V29" s="634"/>
      <c r="W29" s="634"/>
      <c r="X29" s="634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595"/>
      <c r="B30" s="595"/>
      <c r="C30" s="595"/>
      <c r="D30" s="595"/>
      <c r="E30" s="131">
        <v>4</v>
      </c>
      <c r="F30" s="607">
        <f>Eingabe_!D89</f>
        <v>480323</v>
      </c>
      <c r="G30" s="607"/>
      <c r="H30" s="607"/>
      <c r="I30" s="607">
        <f t="shared" si="3"/>
        <v>48032300</v>
      </c>
      <c r="J30" s="607"/>
      <c r="K30" s="607"/>
      <c r="L30" s="608">
        <f>Eingabe_!C89</f>
        <v>6</v>
      </c>
      <c r="M30" s="608"/>
      <c r="N30" s="608"/>
      <c r="O30" s="608"/>
      <c r="P30" s="609">
        <f t="shared" si="4"/>
        <v>1E-3</v>
      </c>
      <c r="Q30" s="609"/>
      <c r="R30" s="609"/>
      <c r="S30" s="609"/>
      <c r="T30" s="609"/>
      <c r="U30" s="609"/>
      <c r="V30" s="634"/>
      <c r="W30" s="634"/>
      <c r="X30" s="634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595"/>
      <c r="B31" s="595"/>
      <c r="C31" s="595"/>
      <c r="D31" s="595"/>
      <c r="E31" s="131">
        <v>5</v>
      </c>
      <c r="F31" s="607">
        <f>Eingabe_!D90</f>
        <v>461144</v>
      </c>
      <c r="G31" s="607"/>
      <c r="H31" s="607"/>
      <c r="I31" s="607">
        <f t="shared" si="3"/>
        <v>46114400</v>
      </c>
      <c r="J31" s="607"/>
      <c r="K31" s="607"/>
      <c r="L31" s="608">
        <f>Eingabe_!C90</f>
        <v>16</v>
      </c>
      <c r="M31" s="608"/>
      <c r="N31" s="608"/>
      <c r="O31" s="608"/>
      <c r="P31" s="609">
        <f t="shared" si="4"/>
        <v>1E-3</v>
      </c>
      <c r="Q31" s="609"/>
      <c r="R31" s="609"/>
      <c r="S31" s="609"/>
      <c r="T31" s="609"/>
      <c r="U31" s="609"/>
      <c r="V31" s="634"/>
      <c r="W31" s="634"/>
      <c r="X31" s="634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595">
        <f>A27+0.01</f>
        <v>158.06999999999994</v>
      </c>
      <c r="B32" s="595"/>
      <c r="C32" s="595"/>
      <c r="D32" s="595"/>
      <c r="E32" s="131">
        <v>1</v>
      </c>
      <c r="F32" s="607">
        <f>Eingabe_!D95</f>
        <v>472958</v>
      </c>
      <c r="G32" s="607"/>
      <c r="H32" s="607"/>
      <c r="I32" s="607">
        <f>F32*100</f>
        <v>47295800</v>
      </c>
      <c r="J32" s="607"/>
      <c r="K32" s="607"/>
      <c r="L32" s="608">
        <f>Eingabe_!C95</f>
        <v>9</v>
      </c>
      <c r="M32" s="608"/>
      <c r="N32" s="608"/>
      <c r="O32" s="608"/>
      <c r="P32" s="609">
        <f>IFERROR((ROUNDUP((L32/I32*100),3)),"-")</f>
        <v>1E-3</v>
      </c>
      <c r="Q32" s="609"/>
      <c r="R32" s="609"/>
      <c r="S32" s="609">
        <f>IF(A32="-","-",MAX(P32:R36))</f>
        <v>1E-3</v>
      </c>
      <c r="T32" s="609"/>
      <c r="U32" s="609"/>
      <c r="V32" s="634">
        <f t="shared" ref="V32" si="5">IF(A32="-","-",(IF($E$12="H14",0.01,0.1)))</f>
        <v>0.01</v>
      </c>
      <c r="W32" s="634"/>
      <c r="X32" s="634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595"/>
      <c r="B33" s="595"/>
      <c r="C33" s="595"/>
      <c r="D33" s="595"/>
      <c r="E33" s="131">
        <v>2</v>
      </c>
      <c r="F33" s="607">
        <f>Eingabe_!D96</f>
        <v>446112</v>
      </c>
      <c r="G33" s="607"/>
      <c r="H33" s="607"/>
      <c r="I33" s="607">
        <f t="shared" ref="I33:I36" si="6">F33*100</f>
        <v>44611200</v>
      </c>
      <c r="J33" s="607"/>
      <c r="K33" s="607"/>
      <c r="L33" s="608">
        <f>Eingabe_!C96</f>
        <v>3</v>
      </c>
      <c r="M33" s="608"/>
      <c r="N33" s="608"/>
      <c r="O33" s="608"/>
      <c r="P33" s="609">
        <f t="shared" ref="P33:P36" si="7">IFERROR((ROUNDUP((L33/I33*100),3)),"-")</f>
        <v>1E-3</v>
      </c>
      <c r="Q33" s="609"/>
      <c r="R33" s="609"/>
      <c r="S33" s="609"/>
      <c r="T33" s="609"/>
      <c r="U33" s="609"/>
      <c r="V33" s="634"/>
      <c r="W33" s="634"/>
      <c r="X33" s="634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595"/>
      <c r="B34" s="595"/>
      <c r="C34" s="595"/>
      <c r="D34" s="595"/>
      <c r="E34" s="131">
        <v>3</v>
      </c>
      <c r="F34" s="607">
        <f>Eingabe_!D97</f>
        <v>404247</v>
      </c>
      <c r="G34" s="607"/>
      <c r="H34" s="607"/>
      <c r="I34" s="607">
        <f t="shared" si="6"/>
        <v>40424700</v>
      </c>
      <c r="J34" s="607"/>
      <c r="K34" s="607"/>
      <c r="L34" s="608">
        <f>Eingabe_!C97</f>
        <v>3</v>
      </c>
      <c r="M34" s="608"/>
      <c r="N34" s="608"/>
      <c r="O34" s="608"/>
      <c r="P34" s="609">
        <f t="shared" si="7"/>
        <v>1E-3</v>
      </c>
      <c r="Q34" s="609"/>
      <c r="R34" s="609"/>
      <c r="S34" s="609"/>
      <c r="T34" s="609"/>
      <c r="U34" s="609"/>
      <c r="V34" s="634"/>
      <c r="W34" s="634"/>
      <c r="X34" s="63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595"/>
      <c r="B35" s="595"/>
      <c r="C35" s="595"/>
      <c r="D35" s="595"/>
      <c r="E35" s="131">
        <v>4</v>
      </c>
      <c r="F35" s="607">
        <f>Eingabe_!D98</f>
        <v>387261</v>
      </c>
      <c r="G35" s="607"/>
      <c r="H35" s="607"/>
      <c r="I35" s="607">
        <f t="shared" si="6"/>
        <v>38726100</v>
      </c>
      <c r="J35" s="607"/>
      <c r="K35" s="607"/>
      <c r="L35" s="608">
        <f>Eingabe_!C98</f>
        <v>5</v>
      </c>
      <c r="M35" s="608"/>
      <c r="N35" s="608"/>
      <c r="O35" s="608"/>
      <c r="P35" s="609">
        <f t="shared" si="7"/>
        <v>1E-3</v>
      </c>
      <c r="Q35" s="609"/>
      <c r="R35" s="609"/>
      <c r="S35" s="609"/>
      <c r="T35" s="609"/>
      <c r="U35" s="609"/>
      <c r="V35" s="634"/>
      <c r="W35" s="634"/>
      <c r="X35" s="634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595"/>
      <c r="B36" s="595"/>
      <c r="C36" s="595"/>
      <c r="D36" s="595"/>
      <c r="E36" s="131">
        <v>5</v>
      </c>
      <c r="F36" s="607">
        <f>Eingabe_!D99</f>
        <v>403650</v>
      </c>
      <c r="G36" s="607"/>
      <c r="H36" s="607"/>
      <c r="I36" s="607">
        <f t="shared" si="6"/>
        <v>40365000</v>
      </c>
      <c r="J36" s="607"/>
      <c r="K36" s="607"/>
      <c r="L36" s="608">
        <f>Eingabe_!C99</f>
        <v>3</v>
      </c>
      <c r="M36" s="608"/>
      <c r="N36" s="608"/>
      <c r="O36" s="608"/>
      <c r="P36" s="609">
        <f t="shared" si="7"/>
        <v>1E-3</v>
      </c>
      <c r="Q36" s="609"/>
      <c r="R36" s="609"/>
      <c r="S36" s="609"/>
      <c r="T36" s="609"/>
      <c r="U36" s="609"/>
      <c r="V36" s="634"/>
      <c r="W36" s="634"/>
      <c r="X36" s="634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402"/>
      <c r="B37" s="402"/>
      <c r="C37" s="402"/>
      <c r="D37" s="402"/>
      <c r="E37" s="363"/>
      <c r="F37" s="175"/>
      <c r="G37" s="175"/>
      <c r="H37" s="175"/>
      <c r="I37" s="175"/>
      <c r="J37" s="175"/>
      <c r="K37" s="175"/>
      <c r="L37" s="401"/>
      <c r="M37" s="401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111" t="s">
        <v>219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V54" s="134"/>
      <c r="W54" s="134"/>
      <c r="X54" s="133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 s="63" t="s">
        <v>37</v>
      </c>
      <c r="B55" s="63"/>
      <c r="D55" s="63"/>
      <c r="F55" s="49" t="str">
        <f>IF((OR(V27&lt;S27,V32&lt;S32,V22&lt;S22)),"Die zulässige Leckpenetration wird überschritten.","Die zulässige Leckpenetration wird an keinem Filter überschritten.")</f>
        <v>Die zulässige Leckpenetration wird an keinem Filter überschritten.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Z55"/>
      <c r="AA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 s="69" t="s">
        <v>38</v>
      </c>
      <c r="B56" s="69"/>
      <c r="C56" s="69"/>
      <c r="D56" s="69"/>
      <c r="E56" s="69"/>
      <c r="F56" s="69" t="str">
        <f>IF((OR(V22&lt;S22,V32&lt;S32,V27&lt;S27)),"Die geprüften Filter entsprechen den Anforderungen nicht.","Die geprüften Filter entsprechen den Anforderungen.")</f>
        <v>Die geprüften Filter entsprechen den Anforderungen.</v>
      </c>
      <c r="G56" s="69"/>
      <c r="H56" s="69"/>
      <c r="I56" s="69"/>
      <c r="J56" s="69"/>
      <c r="K56" s="69"/>
      <c r="L56" s="69"/>
      <c r="M56" s="6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/>
  </sheetData>
  <mergeCells count="91">
    <mergeCell ref="S32:U36"/>
    <mergeCell ref="V32:X36"/>
    <mergeCell ref="A22:D26"/>
    <mergeCell ref="S22:U26"/>
    <mergeCell ref="V22:X26"/>
    <mergeCell ref="A27:D31"/>
    <mergeCell ref="S27:U31"/>
    <mergeCell ref="V27:X31"/>
    <mergeCell ref="F36:H36"/>
    <mergeCell ref="I36:K36"/>
    <mergeCell ref="L36:O36"/>
    <mergeCell ref="F33:H33"/>
    <mergeCell ref="P36:R36"/>
    <mergeCell ref="I34:K34"/>
    <mergeCell ref="L34:O34"/>
    <mergeCell ref="F35:H35"/>
    <mergeCell ref="I35:K35"/>
    <mergeCell ref="L35:O35"/>
    <mergeCell ref="P35:R35"/>
    <mergeCell ref="A32:D36"/>
    <mergeCell ref="I33:K33"/>
    <mergeCell ref="L33:O33"/>
    <mergeCell ref="P33:R33"/>
    <mergeCell ref="F34:H34"/>
    <mergeCell ref="F32:H32"/>
    <mergeCell ref="I32:K32"/>
    <mergeCell ref="L32:O32"/>
    <mergeCell ref="P32:R32"/>
    <mergeCell ref="P34:R34"/>
    <mergeCell ref="F31:H31"/>
    <mergeCell ref="I31:K31"/>
    <mergeCell ref="L31:O31"/>
    <mergeCell ref="P31:R31"/>
    <mergeCell ref="F27:H27"/>
    <mergeCell ref="I27:K27"/>
    <mergeCell ref="L27:O27"/>
    <mergeCell ref="P27:R27"/>
    <mergeCell ref="F28:H28"/>
    <mergeCell ref="I28:K28"/>
    <mergeCell ref="L28:O28"/>
    <mergeCell ref="P28:R28"/>
    <mergeCell ref="F29:H29"/>
    <mergeCell ref="I29:K29"/>
    <mergeCell ref="L29:O29"/>
    <mergeCell ref="P29:R29"/>
    <mergeCell ref="F30:H30"/>
    <mergeCell ref="I30:K30"/>
    <mergeCell ref="L30:O30"/>
    <mergeCell ref="P30:R30"/>
    <mergeCell ref="F23:H23"/>
    <mergeCell ref="I23:K23"/>
    <mergeCell ref="L23:O23"/>
    <mergeCell ref="P23:R23"/>
    <mergeCell ref="F24:H24"/>
    <mergeCell ref="I24:K24"/>
    <mergeCell ref="L24:O24"/>
    <mergeCell ref="P24:R24"/>
    <mergeCell ref="F25:H25"/>
    <mergeCell ref="F26:H26"/>
    <mergeCell ref="P21:R21"/>
    <mergeCell ref="I26:K26"/>
    <mergeCell ref="L26:O26"/>
    <mergeCell ref="P26:R26"/>
    <mergeCell ref="F22:H22"/>
    <mergeCell ref="I22:K22"/>
    <mergeCell ref="L22:O22"/>
    <mergeCell ref="P22:R22"/>
    <mergeCell ref="I25:K25"/>
    <mergeCell ref="L25:O25"/>
    <mergeCell ref="P25:R25"/>
    <mergeCell ref="I20:K20"/>
    <mergeCell ref="L20:O20"/>
    <mergeCell ref="F21:H21"/>
    <mergeCell ref="I21:K21"/>
    <mergeCell ref="L21:O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S21:U21"/>
    <mergeCell ref="V21:X21"/>
    <mergeCell ref="V18:X20"/>
    <mergeCell ref="F19:K19"/>
    <mergeCell ref="L19:O19"/>
    <mergeCell ref="F20:H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F5BC-8277-4D81-8A9F-1317551969A6}">
  <sheetPr>
    <tabColor theme="5" tint="0.79998168889431442"/>
    <pageSetUpPr fitToPage="1"/>
  </sheetPr>
  <dimension ref="A1:BD213"/>
  <sheetViews>
    <sheetView view="pageLayout" zoomScale="139" zoomScaleNormal="127" zoomScaleSheetLayoutView="124" zoomScalePageLayoutView="139" workbookViewId="0">
      <selection activeCell="P30" sqref="P3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Seitenregister!X17</f>
        <v>13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e">
        <f>Eingabe_!G8</f>
        <v>#NUM!</v>
      </c>
      <c r="S5" s="603"/>
      <c r="T5" s="603"/>
      <c r="U5" s="603"/>
      <c r="V5" s="603"/>
      <c r="W5" s="603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04" t="str">
        <f>Eingabe_!$G$13</f>
        <v>OP 1</v>
      </c>
      <c r="S7" s="604"/>
      <c r="T7" s="604"/>
      <c r="U7" s="604"/>
      <c r="V7" s="604"/>
      <c r="W7" s="604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11" t="str">
        <f>Eingabe_!B42</f>
        <v>Filter Nr. 158.08 - Filter Nr. 158.09</v>
      </c>
      <c r="F9" s="611"/>
      <c r="G9" s="611"/>
      <c r="H9" s="611"/>
      <c r="I9" s="611"/>
      <c r="J9" s="611"/>
      <c r="K9" s="611"/>
      <c r="L9" s="611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659" t="str">
        <f>_xlfn.TEXTJOIN(,,Eingabe_!D42,"1 Stk.")</f>
        <v>0914x0914x0078 [mm] 1 Stk.</v>
      </c>
      <c r="F11" s="659"/>
      <c r="G11" s="659"/>
      <c r="H11" s="659"/>
      <c r="I11" s="659" t="str">
        <f>_xlfn.TEXTJOIN(,,Eingabe_!E42,"1 Stk.")</f>
        <v>0457x0457x0078 [mm] 1 Stk.</v>
      </c>
      <c r="J11" s="659"/>
      <c r="K11" s="659"/>
      <c r="L11" s="659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692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37" t="s">
        <v>195</v>
      </c>
      <c r="B16" s="537"/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37"/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2" t="s">
        <v>66</v>
      </c>
      <c r="B18" s="613"/>
      <c r="C18" s="613"/>
      <c r="D18" s="614"/>
      <c r="E18" s="635" t="s">
        <v>67</v>
      </c>
      <c r="F18" s="624" t="s">
        <v>68</v>
      </c>
      <c r="G18" s="625"/>
      <c r="H18" s="625"/>
      <c r="I18" s="625"/>
      <c r="J18" s="625"/>
      <c r="K18" s="626"/>
      <c r="L18" s="624" t="s">
        <v>8</v>
      </c>
      <c r="M18" s="625"/>
      <c r="N18" s="625"/>
      <c r="O18" s="626"/>
      <c r="P18" s="638" t="s">
        <v>70</v>
      </c>
      <c r="Q18" s="639"/>
      <c r="R18" s="640"/>
      <c r="S18" s="598" t="s">
        <v>100</v>
      </c>
      <c r="T18" s="599"/>
      <c r="U18" s="599"/>
      <c r="V18" s="598" t="s">
        <v>697</v>
      </c>
      <c r="W18" s="599"/>
      <c r="X18" s="599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15"/>
      <c r="B19" s="616"/>
      <c r="C19" s="616"/>
      <c r="D19" s="617"/>
      <c r="E19" s="636"/>
      <c r="F19" s="627" t="s">
        <v>71</v>
      </c>
      <c r="G19" s="628"/>
      <c r="H19" s="628"/>
      <c r="I19" s="628"/>
      <c r="J19" s="628"/>
      <c r="K19" s="629"/>
      <c r="L19" s="627" t="s">
        <v>72</v>
      </c>
      <c r="M19" s="628"/>
      <c r="N19" s="628"/>
      <c r="O19" s="629"/>
      <c r="P19" s="551"/>
      <c r="Q19" s="552"/>
      <c r="R19" s="553"/>
      <c r="S19" s="600"/>
      <c r="T19" s="600"/>
      <c r="U19" s="600"/>
      <c r="V19" s="600"/>
      <c r="W19" s="600"/>
      <c r="X19" s="600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15"/>
      <c r="B20" s="616"/>
      <c r="C20" s="616"/>
      <c r="D20" s="617"/>
      <c r="E20" s="636"/>
      <c r="F20" s="641" t="s">
        <v>73</v>
      </c>
      <c r="G20" s="642"/>
      <c r="H20" s="643"/>
      <c r="I20" s="631" t="s">
        <v>74</v>
      </c>
      <c r="J20" s="632"/>
      <c r="K20" s="633"/>
      <c r="L20" s="627" t="s">
        <v>220</v>
      </c>
      <c r="M20" s="628"/>
      <c r="N20" s="628"/>
      <c r="O20" s="629"/>
      <c r="P20" s="551"/>
      <c r="Q20" s="552"/>
      <c r="R20" s="553"/>
      <c r="S20" s="600"/>
      <c r="T20" s="600"/>
      <c r="U20" s="600"/>
      <c r="V20" s="600"/>
      <c r="W20" s="600"/>
      <c r="X20" s="600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18"/>
      <c r="B21" s="619"/>
      <c r="C21" s="619"/>
      <c r="D21" s="620"/>
      <c r="E21" s="637"/>
      <c r="F21" s="644" t="s">
        <v>75</v>
      </c>
      <c r="G21" s="645"/>
      <c r="H21" s="646"/>
      <c r="I21" s="644" t="s">
        <v>75</v>
      </c>
      <c r="J21" s="645"/>
      <c r="K21" s="646"/>
      <c r="L21" s="644" t="s">
        <v>75</v>
      </c>
      <c r="M21" s="645"/>
      <c r="N21" s="645"/>
      <c r="O21" s="646"/>
      <c r="P21" s="647" t="s">
        <v>76</v>
      </c>
      <c r="Q21" s="648"/>
      <c r="R21" s="649"/>
      <c r="S21" s="597" t="s">
        <v>76</v>
      </c>
      <c r="T21" s="597"/>
      <c r="U21" s="597"/>
      <c r="V21" s="597" t="s">
        <v>76</v>
      </c>
      <c r="W21" s="597"/>
      <c r="X21" s="597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595">
        <f>Eingabe_!A104</f>
        <v>158.07999999999993</v>
      </c>
      <c r="B22" s="595"/>
      <c r="C22" s="595"/>
      <c r="D22" s="595"/>
      <c r="E22" s="131">
        <v>1</v>
      </c>
      <c r="F22" s="650">
        <f>Eingabe_!D104</f>
        <v>454927</v>
      </c>
      <c r="G22" s="651"/>
      <c r="H22" s="652"/>
      <c r="I22" s="650">
        <f>F22*100</f>
        <v>45492700</v>
      </c>
      <c r="J22" s="651"/>
      <c r="K22" s="652"/>
      <c r="L22" s="653">
        <f>Eingabe_!C104</f>
        <v>14</v>
      </c>
      <c r="M22" s="654"/>
      <c r="N22" s="654"/>
      <c r="O22" s="655"/>
      <c r="P22" s="656">
        <f>IFERROR((ROUNDUP((L22/I22*100),3)),"-")</f>
        <v>1E-3</v>
      </c>
      <c r="Q22" s="657"/>
      <c r="R22" s="658"/>
      <c r="S22" s="666">
        <f>IF(A22="-","-",MAX(P22:R23))</f>
        <v>1E-3</v>
      </c>
      <c r="T22" s="667"/>
      <c r="U22" s="668"/>
      <c r="V22" s="660">
        <f>IF(A22="-","-",(IF($E$12="H14",0.01,0.1)))</f>
        <v>0.01</v>
      </c>
      <c r="W22" s="661"/>
      <c r="X22" s="662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595"/>
      <c r="B23" s="595"/>
      <c r="C23" s="595"/>
      <c r="D23" s="595"/>
      <c r="E23" s="131">
        <v>2</v>
      </c>
      <c r="F23" s="650">
        <f>Eingabe_!D105</f>
        <v>501085</v>
      </c>
      <c r="G23" s="651"/>
      <c r="H23" s="652"/>
      <c r="I23" s="650">
        <f t="shared" ref="I23:I28" si="0">F23*100</f>
        <v>50108500</v>
      </c>
      <c r="J23" s="651"/>
      <c r="K23" s="652"/>
      <c r="L23" s="653">
        <f>Eingabe_!C105</f>
        <v>12</v>
      </c>
      <c r="M23" s="654"/>
      <c r="N23" s="654"/>
      <c r="O23" s="655"/>
      <c r="P23" s="656">
        <f t="shared" ref="P23:P28" si="1">IFERROR((ROUNDUP((L23/I23*100),3)),"-")</f>
        <v>1E-3</v>
      </c>
      <c r="Q23" s="657"/>
      <c r="R23" s="658"/>
      <c r="S23" s="669"/>
      <c r="T23" s="670"/>
      <c r="U23" s="671"/>
      <c r="V23" s="663"/>
      <c r="W23" s="664"/>
      <c r="X23" s="665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595">
        <f>A22+0.01</f>
        <v>158.08999999999992</v>
      </c>
      <c r="B24" s="595"/>
      <c r="C24" s="595"/>
      <c r="D24" s="595"/>
      <c r="E24" s="131">
        <v>1</v>
      </c>
      <c r="F24" s="650">
        <f>Eingabe_!D108</f>
        <v>440672</v>
      </c>
      <c r="G24" s="651"/>
      <c r="H24" s="652"/>
      <c r="I24" s="650">
        <f t="shared" si="0"/>
        <v>44067200</v>
      </c>
      <c r="J24" s="651"/>
      <c r="K24" s="652"/>
      <c r="L24" s="653">
        <f>Eingabe_!C108</f>
        <v>29</v>
      </c>
      <c r="M24" s="654"/>
      <c r="N24" s="654"/>
      <c r="O24" s="655"/>
      <c r="P24" s="656">
        <f t="shared" si="1"/>
        <v>1E-3</v>
      </c>
      <c r="Q24" s="657"/>
      <c r="R24" s="658"/>
      <c r="S24" s="609">
        <f>IF(A24="-","-",MAX(P24:R29))</f>
        <v>1E-3</v>
      </c>
      <c r="T24" s="609"/>
      <c r="U24" s="609"/>
      <c r="V24" s="634">
        <f>IF(A24="-","-",(IF($E$12="H14",0.01,0.1)))</f>
        <v>0.01</v>
      </c>
      <c r="W24" s="634"/>
      <c r="X24" s="634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595"/>
      <c r="B25" s="595"/>
      <c r="C25" s="595"/>
      <c r="D25" s="595"/>
      <c r="E25" s="131">
        <v>2</v>
      </c>
      <c r="F25" s="650">
        <f>Eingabe_!D109</f>
        <v>433153</v>
      </c>
      <c r="G25" s="651"/>
      <c r="H25" s="652"/>
      <c r="I25" s="650">
        <f t="shared" si="0"/>
        <v>43315300</v>
      </c>
      <c r="J25" s="651"/>
      <c r="K25" s="652"/>
      <c r="L25" s="653">
        <f>Eingabe_!C109</f>
        <v>17</v>
      </c>
      <c r="M25" s="654"/>
      <c r="N25" s="654"/>
      <c r="O25" s="655"/>
      <c r="P25" s="656">
        <f t="shared" si="1"/>
        <v>1E-3</v>
      </c>
      <c r="Q25" s="657"/>
      <c r="R25" s="658"/>
      <c r="S25" s="609"/>
      <c r="T25" s="609"/>
      <c r="U25" s="609"/>
      <c r="V25" s="634"/>
      <c r="W25" s="634"/>
      <c r="X25" s="634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595"/>
      <c r="B26" s="595"/>
      <c r="C26" s="595"/>
      <c r="D26" s="595"/>
      <c r="E26" s="131">
        <v>3</v>
      </c>
      <c r="F26" s="650">
        <f>Eingabe_!D110</f>
        <v>441629</v>
      </c>
      <c r="G26" s="651"/>
      <c r="H26" s="652"/>
      <c r="I26" s="650">
        <f t="shared" si="0"/>
        <v>44162900</v>
      </c>
      <c r="J26" s="651"/>
      <c r="K26" s="652"/>
      <c r="L26" s="653">
        <f>Eingabe_!C110</f>
        <v>21</v>
      </c>
      <c r="M26" s="654"/>
      <c r="N26" s="654"/>
      <c r="O26" s="655"/>
      <c r="P26" s="656">
        <f t="shared" si="1"/>
        <v>1E-3</v>
      </c>
      <c r="Q26" s="657"/>
      <c r="R26" s="658"/>
      <c r="S26" s="609"/>
      <c r="T26" s="609"/>
      <c r="U26" s="609"/>
      <c r="V26" s="634"/>
      <c r="W26" s="634"/>
      <c r="X26" s="634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595"/>
      <c r="B27" s="595"/>
      <c r="C27" s="595"/>
      <c r="D27" s="595"/>
      <c r="E27" s="131">
        <v>4</v>
      </c>
      <c r="F27" s="650">
        <f>Eingabe_!D111</f>
        <v>462954</v>
      </c>
      <c r="G27" s="651"/>
      <c r="H27" s="652"/>
      <c r="I27" s="650">
        <f t="shared" si="0"/>
        <v>46295400</v>
      </c>
      <c r="J27" s="651"/>
      <c r="K27" s="652"/>
      <c r="L27" s="653">
        <f>Eingabe_!C111</f>
        <v>21</v>
      </c>
      <c r="M27" s="654"/>
      <c r="N27" s="654"/>
      <c r="O27" s="655"/>
      <c r="P27" s="656">
        <f t="shared" si="1"/>
        <v>1E-3</v>
      </c>
      <c r="Q27" s="657"/>
      <c r="R27" s="658"/>
      <c r="S27" s="609"/>
      <c r="T27" s="609"/>
      <c r="U27" s="609"/>
      <c r="V27" s="634"/>
      <c r="W27" s="634"/>
      <c r="X27" s="634"/>
      <c r="Y27" s="10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595"/>
      <c r="B28" s="595"/>
      <c r="C28" s="595"/>
      <c r="D28" s="595"/>
      <c r="E28" s="131">
        <v>5</v>
      </c>
      <c r="F28" s="650">
        <f>Eingabe_!D112</f>
        <v>435770</v>
      </c>
      <c r="G28" s="651"/>
      <c r="H28" s="652"/>
      <c r="I28" s="650">
        <f t="shared" si="0"/>
        <v>43577000</v>
      </c>
      <c r="J28" s="651"/>
      <c r="K28" s="652"/>
      <c r="L28" s="653">
        <f>Eingabe_!C112</f>
        <v>25</v>
      </c>
      <c r="M28" s="654"/>
      <c r="N28" s="654"/>
      <c r="O28" s="655"/>
      <c r="P28" s="656">
        <f t="shared" si="1"/>
        <v>1E-3</v>
      </c>
      <c r="Q28" s="657"/>
      <c r="R28" s="658"/>
      <c r="S28" s="609"/>
      <c r="T28" s="609"/>
      <c r="U28" s="609"/>
      <c r="V28" s="634"/>
      <c r="W28" s="634"/>
      <c r="X28" s="634"/>
      <c r="Y28" s="10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595"/>
      <c r="B29" s="595"/>
      <c r="C29" s="595"/>
      <c r="D29" s="595"/>
      <c r="E29" s="131">
        <v>6</v>
      </c>
      <c r="F29" s="650">
        <f>Eingabe_!D113</f>
        <v>413349</v>
      </c>
      <c r="G29" s="651"/>
      <c r="H29" s="652"/>
      <c r="I29" s="650">
        <f>F29*100</f>
        <v>41334900</v>
      </c>
      <c r="J29" s="651"/>
      <c r="K29" s="652"/>
      <c r="L29" s="653">
        <f>Eingabe_!C113</f>
        <v>41</v>
      </c>
      <c r="M29" s="654"/>
      <c r="N29" s="654"/>
      <c r="O29" s="655"/>
      <c r="P29" s="656">
        <f>IFERROR((ROUNDUP((L29/I29*100),3)),"-")</f>
        <v>1E-3</v>
      </c>
      <c r="Q29" s="657"/>
      <c r="R29" s="658"/>
      <c r="S29" s="609"/>
      <c r="T29" s="609"/>
      <c r="U29" s="609"/>
      <c r="V29" s="634"/>
      <c r="W29" s="634"/>
      <c r="X29" s="634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402"/>
      <c r="B30" s="402"/>
      <c r="C30" s="402"/>
      <c r="D30" s="402"/>
      <c r="E30" s="363"/>
      <c r="F30" s="175"/>
      <c r="G30" s="175"/>
      <c r="H30" s="175"/>
      <c r="I30" s="175"/>
      <c r="J30" s="175"/>
      <c r="K30" s="175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111" t="s">
        <v>219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11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 s="63" t="s">
        <v>37</v>
      </c>
      <c r="B51" s="63"/>
      <c r="D51" s="63"/>
      <c r="F51" s="49" t="str">
        <f>IF((OR(V24&lt;S24,V22&lt;S22)),"Die zulässige Leckpenetration wird überschritten.","Die zulässige Leckpenetration wird an keinem Filter überschritten.")</f>
        <v>Die zulässige Leckpenetration wird an keinem Filter überschritten.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Z51"/>
      <c r="AA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 s="69" t="s">
        <v>38</v>
      </c>
      <c r="B52" s="69"/>
      <c r="C52" s="69"/>
      <c r="D52" s="69"/>
      <c r="E52" s="69"/>
      <c r="F52" s="69" t="str">
        <f>IF((OR(V22&lt;S22,V24&lt;S24)),"Die geprüften Filter entsprechen den Anforderungen nicht.","Die geprüften Filter entsprechen den Anforderungen.")</f>
        <v>Die geprüften Filter entsprechen den Anforderungen.</v>
      </c>
      <c r="G52" s="69"/>
      <c r="H52" s="69"/>
      <c r="I52" s="69"/>
      <c r="J52" s="69"/>
      <c r="K52" s="69"/>
      <c r="L52" s="69"/>
      <c r="M52" s="6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/>
  </sheetData>
  <mergeCells count="62">
    <mergeCell ref="I23:K23"/>
    <mergeCell ref="F23:H23"/>
    <mergeCell ref="I22:K22"/>
    <mergeCell ref="F22:H22"/>
    <mergeCell ref="P23:R23"/>
    <mergeCell ref="L23:O23"/>
    <mergeCell ref="P22:R22"/>
    <mergeCell ref="L22:O22"/>
    <mergeCell ref="E11:H11"/>
    <mergeCell ref="I11:L11"/>
    <mergeCell ref="V22:X23"/>
    <mergeCell ref="A24:D29"/>
    <mergeCell ref="S24:U29"/>
    <mergeCell ref="V24:X29"/>
    <mergeCell ref="A22:D23"/>
    <mergeCell ref="S22:U23"/>
    <mergeCell ref="F28:H28"/>
    <mergeCell ref="I28:K28"/>
    <mergeCell ref="L28:O28"/>
    <mergeCell ref="P28:R28"/>
    <mergeCell ref="F29:H29"/>
    <mergeCell ref="I29:K29"/>
    <mergeCell ref="L29:O29"/>
    <mergeCell ref="P29:R29"/>
    <mergeCell ref="F26:H26"/>
    <mergeCell ref="I26:K26"/>
    <mergeCell ref="L26:O26"/>
    <mergeCell ref="P26:R26"/>
    <mergeCell ref="F27:H27"/>
    <mergeCell ref="I27:K27"/>
    <mergeCell ref="L27:O27"/>
    <mergeCell ref="P27:R27"/>
    <mergeCell ref="I24:K24"/>
    <mergeCell ref="L24:O24"/>
    <mergeCell ref="P24:R24"/>
    <mergeCell ref="F25:H25"/>
    <mergeCell ref="I25:K25"/>
    <mergeCell ref="L25:O25"/>
    <mergeCell ref="P25:R25"/>
    <mergeCell ref="F24:H24"/>
    <mergeCell ref="S21:U21"/>
    <mergeCell ref="L20:O20"/>
    <mergeCell ref="F21:H21"/>
    <mergeCell ref="I21:K21"/>
    <mergeCell ref="L21:O21"/>
    <mergeCell ref="P21:R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V21:X21"/>
    <mergeCell ref="V18:X20"/>
    <mergeCell ref="F19:K19"/>
    <mergeCell ref="L19:O19"/>
    <mergeCell ref="F20:H20"/>
    <mergeCell ref="I20:K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05CF-D7D1-48A6-B247-37CC2A34E93B}">
  <sheetPr codeName="Tabelle10">
    <tabColor theme="5" tint="0.79998168889431442"/>
    <pageSetUpPr fitToPage="1"/>
  </sheetPr>
  <dimension ref="A1:BC199"/>
  <sheetViews>
    <sheetView zoomScale="90" zoomScaleNormal="90" zoomScaleSheetLayoutView="98" zoomScalePageLayoutView="75" workbookViewId="0">
      <selection activeCell="F15" sqref="F15:L1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622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Seitenregister!X18</f>
        <v>14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Eingabe_!H8</f>
        <v>07.05.2022</v>
      </c>
      <c r="S5" s="603"/>
      <c r="T5" s="603"/>
      <c r="U5" s="603"/>
      <c r="V5" s="603"/>
      <c r="W5" s="603"/>
      <c r="X5" s="2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76" t="str">
        <f>Eingabe_!$G$15</f>
        <v>OP 1</v>
      </c>
      <c r="S7" s="676"/>
      <c r="T7" s="676"/>
      <c r="U7" s="676"/>
      <c r="V7" s="676"/>
      <c r="W7" s="676"/>
      <c r="X7" s="29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37" t="s">
        <v>294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/>
      <c r="Z10"/>
      <c r="AA10"/>
      <c r="AF10"/>
      <c r="AG10"/>
      <c r="AH10"/>
      <c r="AI10"/>
      <c r="AJ10"/>
      <c r="AK10"/>
      <c r="AL10"/>
      <c r="AM10"/>
      <c r="AN10"/>
      <c r="AO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195"/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/>
      <c r="Z11"/>
      <c r="AA11"/>
      <c r="AF11"/>
      <c r="AG11"/>
      <c r="AH11"/>
      <c r="AI11"/>
      <c r="AJ11"/>
      <c r="AK11"/>
      <c r="AL11"/>
      <c r="AM11"/>
      <c r="AN11"/>
      <c r="AO11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606" t="s">
        <v>88</v>
      </c>
      <c r="B12" s="606"/>
      <c r="C12" s="606"/>
      <c r="D12" s="606"/>
      <c r="E12" s="606"/>
      <c r="F12" s="524" t="s">
        <v>507</v>
      </c>
      <c r="G12" s="524"/>
      <c r="H12" s="524"/>
      <c r="I12" s="524"/>
      <c r="J12" s="524"/>
      <c r="K12" s="524"/>
      <c r="L12" s="524"/>
      <c r="M12" s="524" t="s">
        <v>508</v>
      </c>
      <c r="N12" s="524"/>
      <c r="O12" s="524"/>
      <c r="P12" s="524"/>
      <c r="Q12" s="524"/>
      <c r="R12" s="524"/>
      <c r="S12" s="524"/>
      <c r="T12" s="524" t="s">
        <v>509</v>
      </c>
      <c r="U12" s="524"/>
      <c r="V12" s="524"/>
      <c r="W12" s="524"/>
      <c r="X12" s="524"/>
      <c r="Y12"/>
      <c r="Z12"/>
      <c r="AA12"/>
      <c r="AF12"/>
      <c r="AG12"/>
      <c r="AH12"/>
      <c r="AI12"/>
      <c r="AJ12"/>
      <c r="AK12"/>
      <c r="AL12"/>
      <c r="AM12"/>
      <c r="AN12"/>
      <c r="AO12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2" customHeight="1">
      <c r="A13" s="606"/>
      <c r="B13" s="606"/>
      <c r="C13" s="606"/>
      <c r="D13" s="606"/>
      <c r="E13" s="606"/>
      <c r="F13" s="601"/>
      <c r="G13" s="601"/>
      <c r="H13" s="601"/>
      <c r="I13" s="601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/>
      <c r="Z13"/>
      <c r="AA13"/>
      <c r="AF13"/>
      <c r="AG13"/>
      <c r="AH13"/>
      <c r="AI13"/>
      <c r="AJ13"/>
      <c r="AK13"/>
      <c r="AL13"/>
      <c r="AM13"/>
      <c r="AN13"/>
      <c r="AO13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2" customHeight="1">
      <c r="A14" s="606"/>
      <c r="B14" s="606"/>
      <c r="C14" s="606"/>
      <c r="D14" s="606"/>
      <c r="E14" s="606"/>
      <c r="F14" s="602" t="s">
        <v>494</v>
      </c>
      <c r="G14" s="602"/>
      <c r="H14" s="602"/>
      <c r="I14" s="602"/>
      <c r="J14" s="602"/>
      <c r="K14" s="602"/>
      <c r="L14" s="602"/>
      <c r="M14" s="602" t="s">
        <v>510</v>
      </c>
      <c r="N14" s="602"/>
      <c r="O14" s="602"/>
      <c r="P14" s="602"/>
      <c r="Q14" s="602"/>
      <c r="R14" s="602"/>
      <c r="S14" s="602"/>
      <c r="T14" s="602" t="s">
        <v>79</v>
      </c>
      <c r="U14" s="602"/>
      <c r="V14" s="602"/>
      <c r="W14" s="602"/>
      <c r="X14" s="602"/>
      <c r="Y14"/>
      <c r="Z14"/>
      <c r="AA14"/>
      <c r="AF14"/>
      <c r="AG14"/>
      <c r="AH14"/>
      <c r="AI14"/>
      <c r="AJ14"/>
      <c r="AK14"/>
      <c r="AL14"/>
      <c r="AM14"/>
      <c r="AN14"/>
      <c r="AO14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2" customHeight="1">
      <c r="A15" s="677" t="s">
        <v>84</v>
      </c>
      <c r="B15" s="677"/>
      <c r="C15" s="677"/>
      <c r="D15" s="677"/>
      <c r="E15" s="677"/>
      <c r="F15" s="678">
        <f>'P vZuluft'!V38</f>
        <v>0.24056023506162144</v>
      </c>
      <c r="G15" s="678"/>
      <c r="H15" s="678"/>
      <c r="I15" s="678"/>
      <c r="J15" s="678"/>
      <c r="K15" s="678"/>
      <c r="L15" s="678"/>
      <c r="M15" s="678">
        <v>6</v>
      </c>
      <c r="N15" s="678"/>
      <c r="O15" s="678"/>
      <c r="P15" s="678"/>
      <c r="Q15" s="678"/>
      <c r="R15" s="678"/>
      <c r="S15" s="678"/>
      <c r="T15" s="679">
        <f>$M$15*$F$15*3600</f>
        <v>5196.1010773310236</v>
      </c>
      <c r="U15" s="679"/>
      <c r="V15" s="679"/>
      <c r="W15" s="679"/>
      <c r="X15" s="679"/>
      <c r="Y15"/>
      <c r="Z15"/>
      <c r="AA15"/>
      <c r="AF15"/>
      <c r="AG15"/>
      <c r="AH15"/>
      <c r="AI15"/>
      <c r="AJ15"/>
      <c r="AK15"/>
      <c r="AL15"/>
      <c r="AM15"/>
      <c r="AN15"/>
      <c r="AO15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2" customHeight="1">
      <c r="A16" s="677"/>
      <c r="B16" s="677"/>
      <c r="C16" s="677"/>
      <c r="D16" s="677"/>
      <c r="E16" s="677"/>
      <c r="F16" s="678"/>
      <c r="G16" s="678"/>
      <c r="H16" s="678"/>
      <c r="I16" s="678"/>
      <c r="J16" s="678"/>
      <c r="K16" s="678"/>
      <c r="L16" s="678"/>
      <c r="M16" s="678"/>
      <c r="N16" s="678"/>
      <c r="O16" s="678"/>
      <c r="P16" s="678"/>
      <c r="Q16" s="678"/>
      <c r="R16" s="678"/>
      <c r="S16" s="678"/>
      <c r="T16" s="679"/>
      <c r="U16" s="679"/>
      <c r="V16" s="679"/>
      <c r="W16" s="679"/>
      <c r="X16" s="679"/>
      <c r="Y16"/>
      <c r="Z16"/>
      <c r="AA16"/>
      <c r="AF16"/>
      <c r="AG16"/>
      <c r="AH16"/>
      <c r="AI16"/>
      <c r="AJ16"/>
      <c r="AK16"/>
      <c r="AL16"/>
      <c r="AM16"/>
      <c r="AN16"/>
      <c r="AO1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2" customHeight="1">
      <c r="A17" s="677"/>
      <c r="B17" s="677"/>
      <c r="C17" s="677"/>
      <c r="D17" s="677"/>
      <c r="E17" s="677"/>
      <c r="F17" s="678"/>
      <c r="G17" s="678"/>
      <c r="H17" s="678"/>
      <c r="I17" s="678"/>
      <c r="J17" s="678"/>
      <c r="K17" s="678"/>
      <c r="L17" s="678"/>
      <c r="M17" s="678"/>
      <c r="N17" s="678"/>
      <c r="O17" s="678"/>
      <c r="P17" s="678"/>
      <c r="Q17" s="678"/>
      <c r="R17" s="678"/>
      <c r="S17" s="678"/>
      <c r="T17" s="679"/>
      <c r="U17" s="679"/>
      <c r="V17" s="679"/>
      <c r="W17" s="679"/>
      <c r="X17" s="679"/>
      <c r="Y17"/>
      <c r="Z17"/>
      <c r="AA17"/>
      <c r="AF17"/>
      <c r="AG17"/>
      <c r="AH17"/>
      <c r="AI17"/>
      <c r="AJ17"/>
      <c r="AK17"/>
      <c r="AL17"/>
      <c r="AM17"/>
      <c r="AN17"/>
      <c r="AO17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2" customHeight="1">
      <c r="A18" s="31" t="s">
        <v>330</v>
      </c>
      <c r="B18" s="3"/>
      <c r="C18" s="3"/>
      <c r="D18" s="3"/>
      <c r="E18" s="3"/>
      <c r="F18" s="146"/>
      <c r="G18" s="146"/>
      <c r="H18" s="146"/>
      <c r="I18" s="146"/>
      <c r="J18" s="146"/>
      <c r="K18" s="146"/>
      <c r="L18" s="146"/>
      <c r="M18" s="148"/>
      <c r="N18" s="148"/>
      <c r="O18" s="148"/>
      <c r="P18" s="148"/>
      <c r="Q18" s="148"/>
      <c r="R18" s="148"/>
      <c r="S18" s="148"/>
      <c r="T18" s="175"/>
      <c r="U18" s="175"/>
      <c r="V18" s="175"/>
      <c r="W18" s="175"/>
      <c r="X18" s="175"/>
      <c r="Y18"/>
      <c r="Z18"/>
      <c r="AA18"/>
      <c r="AF18"/>
      <c r="AG18"/>
      <c r="AH18"/>
      <c r="AI18"/>
      <c r="AJ18"/>
      <c r="AK18"/>
      <c r="AL18"/>
      <c r="AM18"/>
      <c r="AN18"/>
      <c r="AO18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672" t="s">
        <v>82</v>
      </c>
      <c r="B20" s="673"/>
      <c r="C20" s="673"/>
      <c r="D20" s="673"/>
      <c r="E20" s="473" t="str">
        <f>Eingabe_!$B$7</f>
        <v>OP 1</v>
      </c>
      <c r="F20" s="473"/>
      <c r="G20" s="673" t="s">
        <v>511</v>
      </c>
      <c r="H20" s="673"/>
      <c r="I20" s="673"/>
      <c r="J20" s="673"/>
      <c r="K20" s="673"/>
      <c r="L20" s="673"/>
      <c r="M20" s="673"/>
      <c r="N20" s="673"/>
      <c r="O20" s="182"/>
      <c r="P20" s="140"/>
      <c r="Q20" s="140"/>
      <c r="R20" s="140"/>
      <c r="S20" s="140"/>
      <c r="T20" s="680">
        <f>T15</f>
        <v>5196.1010773310236</v>
      </c>
      <c r="U20" s="680"/>
      <c r="V20" s="680"/>
      <c r="W20" s="680"/>
      <c r="X20" s="681"/>
      <c r="Y20"/>
      <c r="BA20" s="10"/>
      <c r="BB20" s="10"/>
      <c r="BC20" s="10"/>
    </row>
    <row r="21" spans="1:55" ht="11.9" customHeight="1">
      <c r="A21" s="674"/>
      <c r="B21" s="675"/>
      <c r="C21" s="675"/>
      <c r="D21" s="675"/>
      <c r="E21" s="506"/>
      <c r="F21" s="506"/>
      <c r="G21" s="675"/>
      <c r="H21" s="675"/>
      <c r="I21" s="675"/>
      <c r="J21" s="675"/>
      <c r="K21" s="675"/>
      <c r="L21" s="675"/>
      <c r="M21" s="675"/>
      <c r="N21" s="675"/>
      <c r="O21" s="141"/>
      <c r="P21" s="141"/>
      <c r="Q21" s="141"/>
      <c r="R21" s="141"/>
      <c r="S21" s="141"/>
      <c r="T21" s="682"/>
      <c r="U21" s="682"/>
      <c r="V21" s="682"/>
      <c r="W21" s="682"/>
      <c r="X21" s="683"/>
      <c r="Y21"/>
      <c r="BA21" s="10"/>
      <c r="BB21" s="10"/>
      <c r="BC21" s="10"/>
    </row>
    <row r="22" spans="1:55" ht="11.9" customHeight="1">
      <c r="A22" s="69" t="s">
        <v>334</v>
      </c>
      <c r="G22" s="65"/>
      <c r="H22" s="67"/>
      <c r="I22" s="67"/>
      <c r="K22" s="67"/>
      <c r="L22" s="68"/>
      <c r="M22" s="67"/>
      <c r="N22" s="67"/>
      <c r="O22" s="91"/>
      <c r="P22" s="91"/>
      <c r="Q22" s="91"/>
      <c r="R22" s="91"/>
      <c r="S22" s="91"/>
      <c r="T22" s="684">
        <f>Eingabe_!H35</f>
        <v>5190</v>
      </c>
      <c r="U22" s="684"/>
      <c r="V22" s="684"/>
      <c r="W22" s="684"/>
      <c r="X22" s="684"/>
      <c r="Y22"/>
      <c r="Z22"/>
      <c r="AA22"/>
      <c r="AB22"/>
      <c r="BA22" s="10"/>
      <c r="BB22" s="10"/>
      <c r="BC22" s="10"/>
    </row>
    <row r="23" spans="1:55" ht="11.9" customHeight="1">
      <c r="A23" s="3"/>
      <c r="B23" s="3"/>
      <c r="C23" s="3"/>
      <c r="D23" s="3"/>
      <c r="E23" s="3"/>
      <c r="F23" s="146"/>
      <c r="G23" s="146"/>
      <c r="H23" s="146"/>
      <c r="I23" s="146"/>
      <c r="J23" s="146"/>
      <c r="K23" s="148"/>
      <c r="L23" s="148"/>
      <c r="M23" s="148"/>
      <c r="N23" s="148"/>
      <c r="O23" s="148"/>
      <c r="P23" s="10"/>
      <c r="Q23" s="10"/>
      <c r="R23" s="10"/>
      <c r="S23" s="10"/>
      <c r="T23" s="10"/>
      <c r="U23" s="146"/>
      <c r="V23" s="146"/>
      <c r="W23" s="146"/>
      <c r="X23" s="146"/>
      <c r="Y23"/>
      <c r="Z23"/>
      <c r="AA23"/>
      <c r="AB23"/>
      <c r="BA23" s="10"/>
      <c r="BB23" s="10"/>
      <c r="BC23" s="10"/>
    </row>
    <row r="24" spans="1:55" ht="11.9" customHeight="1">
      <c r="A24" s="63" t="s">
        <v>37</v>
      </c>
      <c r="B24" s="63"/>
      <c r="D24" s="63"/>
      <c r="F24" s="688" t="str">
        <f>IF(T22&lt;=T20,"Das geforderte Zuluftvolumen wird erreicht.","Das geforderte Zuluftvolumen wird nicht erreicht.")</f>
        <v>Das geforderte Zuluftvolumen wird erreicht.</v>
      </c>
      <c r="G24" s="688"/>
      <c r="H24" s="688"/>
      <c r="I24" s="688"/>
      <c r="J24" s="688"/>
      <c r="K24" s="688"/>
      <c r="L24" s="688"/>
      <c r="M24" s="688"/>
      <c r="N24" s="688"/>
      <c r="O24" s="688"/>
      <c r="P24" s="688"/>
      <c r="Q24" s="688"/>
      <c r="R24" s="688"/>
      <c r="S24" s="688"/>
      <c r="T24" s="10"/>
      <c r="U24" s="146"/>
      <c r="V24" s="146"/>
      <c r="W24" s="146"/>
      <c r="X24" s="146"/>
      <c r="Y24"/>
      <c r="Z24" s="139"/>
      <c r="AA24"/>
      <c r="AB24"/>
      <c r="BA24" s="10"/>
      <c r="BB24" s="10"/>
      <c r="BC24" s="10"/>
    </row>
    <row r="25" spans="1:55" ht="11.9" customHeight="1">
      <c r="A25" s="63"/>
      <c r="B25" s="63"/>
      <c r="D25" s="63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0"/>
      <c r="U25" s="146"/>
      <c r="V25" s="146"/>
      <c r="W25" s="146"/>
      <c r="X25" s="146"/>
      <c r="Y25"/>
      <c r="Z25" s="139"/>
      <c r="AA25"/>
      <c r="AB25"/>
      <c r="BA25" s="10"/>
      <c r="BB25" s="10"/>
      <c r="BC25" s="10"/>
    </row>
    <row r="26" spans="1:55" ht="11.9" customHeight="1">
      <c r="A26" s="63"/>
      <c r="B26" s="63"/>
      <c r="D26" s="63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0"/>
      <c r="U26" s="146"/>
      <c r="V26" s="146"/>
      <c r="W26" s="146"/>
      <c r="X26" s="146"/>
      <c r="Y26"/>
      <c r="Z26" s="139"/>
      <c r="AA26"/>
      <c r="AB26"/>
      <c r="BA26" s="10"/>
      <c r="BB26" s="10"/>
      <c r="BC26" s="10"/>
    </row>
    <row r="27" spans="1:55" ht="11.9" customHeight="1">
      <c r="A27" s="63"/>
      <c r="B27" s="63"/>
      <c r="D27" s="63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0"/>
      <c r="U27" s="146"/>
      <c r="V27" s="146"/>
      <c r="W27" s="146"/>
      <c r="X27" s="146"/>
      <c r="Y27"/>
      <c r="Z27"/>
      <c r="AA27"/>
      <c r="AB27"/>
      <c r="BA27" s="10"/>
      <c r="BB27" s="10"/>
      <c r="BC27" s="10"/>
    </row>
    <row r="28" spans="1:55" ht="12" customHeight="1">
      <c r="A28" s="3"/>
      <c r="B28" s="3"/>
      <c r="C28" s="3"/>
      <c r="D28" s="3"/>
      <c r="E28" s="3"/>
      <c r="F28" s="146"/>
      <c r="G28" s="146"/>
      <c r="H28" s="146"/>
      <c r="I28" s="146"/>
      <c r="J28" s="146"/>
      <c r="K28" s="148"/>
      <c r="L28" s="148"/>
      <c r="M28" s="148"/>
      <c r="N28" s="148"/>
      <c r="O28" s="148"/>
      <c r="P28" s="144"/>
      <c r="Q28" s="144"/>
      <c r="R28" s="144"/>
      <c r="S28" s="144"/>
      <c r="T28" s="144"/>
      <c r="U28" s="146"/>
      <c r="V28" s="146"/>
      <c r="W28" s="146"/>
      <c r="X28" s="146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606" t="s">
        <v>88</v>
      </c>
      <c r="B29" s="606"/>
      <c r="C29" s="606"/>
      <c r="D29" s="606"/>
      <c r="E29" s="606"/>
      <c r="F29" s="685" t="s">
        <v>0</v>
      </c>
      <c r="G29" s="685"/>
      <c r="H29" s="685"/>
      <c r="I29" s="685"/>
      <c r="J29" s="685"/>
      <c r="K29" s="685"/>
      <c r="L29" s="685"/>
      <c r="M29" s="685"/>
      <c r="N29" s="685"/>
      <c r="O29" s="685"/>
      <c r="P29" s="685"/>
      <c r="Q29" s="685"/>
      <c r="R29" s="685"/>
      <c r="S29" s="685"/>
      <c r="T29" s="685" t="s">
        <v>87</v>
      </c>
      <c r="U29" s="685"/>
      <c r="V29" s="685"/>
      <c r="W29" s="685"/>
      <c r="X29" s="685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606"/>
      <c r="B30" s="606"/>
      <c r="C30" s="606"/>
      <c r="D30" s="606"/>
      <c r="E30" s="606"/>
      <c r="F30" s="689" t="s">
        <v>121</v>
      </c>
      <c r="G30" s="689"/>
      <c r="H30" s="689"/>
      <c r="I30" s="689"/>
      <c r="J30" s="602" t="s">
        <v>79</v>
      </c>
      <c r="K30" s="602"/>
      <c r="L30" s="602"/>
      <c r="M30" s="602"/>
      <c r="N30" s="602"/>
      <c r="O30" s="602"/>
      <c r="P30" s="602"/>
      <c r="Q30" s="602"/>
      <c r="R30" s="602"/>
      <c r="S30" s="602"/>
      <c r="T30" s="602" t="s">
        <v>79</v>
      </c>
      <c r="U30" s="602"/>
      <c r="V30" s="602"/>
      <c r="W30" s="602"/>
      <c r="X30" s="602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</row>
    <row r="31" spans="1:55" ht="12" customHeight="1">
      <c r="A31" s="677" t="s">
        <v>85</v>
      </c>
      <c r="B31" s="677"/>
      <c r="C31" s="677"/>
      <c r="D31" s="677"/>
      <c r="E31" s="677"/>
      <c r="F31" s="687">
        <f>IF(J31="-","-",Eingabe_!F172)</f>
        <v>158.01</v>
      </c>
      <c r="G31" s="687"/>
      <c r="H31" s="687"/>
      <c r="I31" s="687"/>
      <c r="J31" s="686">
        <f>IF('RD Volumenströme'!J15="-","-",Eingabe_!$G$172)</f>
        <v>1180</v>
      </c>
      <c r="K31" s="686"/>
      <c r="L31" s="686"/>
      <c r="M31" s="686"/>
      <c r="N31" s="686"/>
      <c r="O31" s="686"/>
      <c r="P31" s="686"/>
      <c r="Q31" s="686"/>
      <c r="R31" s="686"/>
      <c r="S31" s="686"/>
      <c r="T31" s="679">
        <f>SUM(J31:S37)</f>
        <v>4818</v>
      </c>
      <c r="U31" s="679"/>
      <c r="V31" s="679"/>
      <c r="W31" s="679"/>
      <c r="X31" s="679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12" customHeight="1">
      <c r="A32" s="677"/>
      <c r="B32" s="677"/>
      <c r="C32" s="677"/>
      <c r="D32" s="677"/>
      <c r="E32" s="677"/>
      <c r="F32" s="687">
        <f>IF(J32="-","-",Eingabe_!F173)</f>
        <v>158.01999999999998</v>
      </c>
      <c r="G32" s="687"/>
      <c r="H32" s="687"/>
      <c r="I32" s="687"/>
      <c r="J32" s="686">
        <f>IF('RD Volumenströme'!J16="-","-",Eingabe_!$G$173)</f>
        <v>1024</v>
      </c>
      <c r="K32" s="686"/>
      <c r="L32" s="686"/>
      <c r="M32" s="686"/>
      <c r="N32" s="686"/>
      <c r="O32" s="686"/>
      <c r="P32" s="686"/>
      <c r="Q32" s="686"/>
      <c r="R32" s="686"/>
      <c r="S32" s="686"/>
      <c r="T32" s="679"/>
      <c r="U32" s="679"/>
      <c r="V32" s="679"/>
      <c r="W32" s="679"/>
      <c r="X32" s="679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</row>
    <row r="33" spans="1:55" ht="12" customHeight="1">
      <c r="A33" s="677"/>
      <c r="B33" s="677"/>
      <c r="C33" s="677"/>
      <c r="D33" s="677"/>
      <c r="E33" s="677"/>
      <c r="F33" s="687">
        <f>IF(J33="-","-",Eingabe_!F174)</f>
        <v>158.02999999999997</v>
      </c>
      <c r="G33" s="687"/>
      <c r="H33" s="687"/>
      <c r="I33" s="687"/>
      <c r="J33" s="686">
        <f>IF('RD Volumenströme'!J17="-","-",Eingabe_!$G$174)</f>
        <v>1128</v>
      </c>
      <c r="K33" s="686"/>
      <c r="L33" s="686"/>
      <c r="M33" s="686"/>
      <c r="N33" s="686"/>
      <c r="O33" s="686"/>
      <c r="P33" s="686"/>
      <c r="Q33" s="686"/>
      <c r="R33" s="686"/>
      <c r="S33" s="686"/>
      <c r="T33" s="679"/>
      <c r="U33" s="679"/>
      <c r="V33" s="679"/>
      <c r="W33" s="679"/>
      <c r="X33" s="679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</row>
    <row r="34" spans="1:55" ht="12" customHeight="1">
      <c r="A34" s="677"/>
      <c r="B34" s="677"/>
      <c r="C34" s="677"/>
      <c r="D34" s="677"/>
      <c r="E34" s="677"/>
      <c r="F34" s="687">
        <f>IF(J34="-","-",Eingabe_!F175)</f>
        <v>158.03999999999996</v>
      </c>
      <c r="G34" s="687"/>
      <c r="H34" s="687"/>
      <c r="I34" s="687"/>
      <c r="J34" s="686">
        <f>IF('RD Volumenströme'!J18="-","-",Eingabe_!$G$175)</f>
        <v>1146</v>
      </c>
      <c r="K34" s="686"/>
      <c r="L34" s="686"/>
      <c r="M34" s="686"/>
      <c r="N34" s="686"/>
      <c r="O34" s="686"/>
      <c r="P34" s="686"/>
      <c r="Q34" s="686"/>
      <c r="R34" s="686"/>
      <c r="S34" s="686"/>
      <c r="T34" s="679"/>
      <c r="U34" s="679"/>
      <c r="V34" s="679"/>
      <c r="W34" s="679"/>
      <c r="X34" s="679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 s="677"/>
      <c r="B35" s="677"/>
      <c r="C35" s="677"/>
      <c r="D35" s="677"/>
      <c r="E35" s="677"/>
      <c r="F35" s="687">
        <f>IF(J35="-","-",Eingabe_!F176)</f>
        <v>158.04999999999995</v>
      </c>
      <c r="G35" s="687"/>
      <c r="H35" s="687"/>
      <c r="I35" s="687"/>
      <c r="J35" s="686">
        <f>IF('RD Volumenströme'!J19="-","-",Eingabe_!$G$176)</f>
        <v>340</v>
      </c>
      <c r="K35" s="686"/>
      <c r="L35" s="686"/>
      <c r="M35" s="686"/>
      <c r="N35" s="686"/>
      <c r="O35" s="686"/>
      <c r="P35" s="686"/>
      <c r="Q35" s="686"/>
      <c r="R35" s="686"/>
      <c r="S35" s="686"/>
      <c r="T35" s="679"/>
      <c r="U35" s="679"/>
      <c r="V35" s="679"/>
      <c r="W35" s="679"/>
      <c r="X35" s="679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 s="677"/>
      <c r="B36" s="677"/>
      <c r="C36" s="677"/>
      <c r="D36" s="677"/>
      <c r="E36" s="677"/>
      <c r="F36" s="687" t="str">
        <f>IF(J36="-","-",Eingabe_!F177)</f>
        <v>-</v>
      </c>
      <c r="G36" s="687"/>
      <c r="H36" s="687"/>
      <c r="I36" s="687"/>
      <c r="J36" s="686" t="str">
        <f>IF('RD Volumenströme'!J20="-","-",Eingabe_!$G$177)</f>
        <v>-</v>
      </c>
      <c r="K36" s="686"/>
      <c r="L36" s="686"/>
      <c r="M36" s="686"/>
      <c r="N36" s="686"/>
      <c r="O36" s="686"/>
      <c r="P36" s="686"/>
      <c r="Q36" s="686"/>
      <c r="R36" s="686"/>
      <c r="S36" s="686"/>
      <c r="T36" s="679"/>
      <c r="U36" s="679"/>
      <c r="V36" s="679"/>
      <c r="W36" s="679"/>
      <c r="X36" s="679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 s="677"/>
      <c r="B37" s="677"/>
      <c r="C37" s="677"/>
      <c r="D37" s="677"/>
      <c r="E37" s="677"/>
      <c r="F37" s="687" t="str">
        <f>IF(J37="-","-",Eingabe_!F178)</f>
        <v>-</v>
      </c>
      <c r="G37" s="687"/>
      <c r="H37" s="687"/>
      <c r="I37" s="687"/>
      <c r="J37" s="686" t="str">
        <f>IF('RD Volumenströme'!J21="","-",Eingabe_!$G$178)</f>
        <v>-</v>
      </c>
      <c r="K37" s="686"/>
      <c r="L37" s="686"/>
      <c r="M37" s="686"/>
      <c r="N37" s="686"/>
      <c r="O37" s="686"/>
      <c r="P37" s="686"/>
      <c r="Q37" s="686"/>
      <c r="R37" s="686"/>
      <c r="S37" s="686"/>
      <c r="T37" s="679"/>
      <c r="U37" s="679"/>
      <c r="V37" s="679"/>
      <c r="W37" s="679"/>
      <c r="X37" s="679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 s="181"/>
      <c r="B38" s="3"/>
      <c r="C38" s="3"/>
      <c r="D38" s="3"/>
      <c r="E38" s="3"/>
      <c r="F38" s="146"/>
      <c r="G38" s="146"/>
      <c r="H38" s="146"/>
      <c r="I38" s="146"/>
      <c r="J38" s="146"/>
      <c r="K38" s="148"/>
      <c r="L38" s="148"/>
      <c r="M38" s="148"/>
      <c r="N38" s="148"/>
      <c r="O38" s="148"/>
      <c r="P38" s="10"/>
      <c r="Q38" s="10"/>
      <c r="R38" s="10"/>
      <c r="S38" s="10"/>
      <c r="T38" s="10"/>
      <c r="U38" s="146"/>
      <c r="V38" s="146"/>
      <c r="W38" s="146"/>
      <c r="X38" s="146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 s="672" t="s">
        <v>82</v>
      </c>
      <c r="B39" s="673"/>
      <c r="C39" s="673"/>
      <c r="D39" s="673"/>
      <c r="E39" s="473" t="str">
        <f>Eingabe_!$B$7</f>
        <v>OP 1</v>
      </c>
      <c r="F39" s="473"/>
      <c r="G39" s="673" t="s">
        <v>103</v>
      </c>
      <c r="H39" s="673"/>
      <c r="I39" s="673"/>
      <c r="J39" s="673"/>
      <c r="K39" s="673"/>
      <c r="L39" s="673"/>
      <c r="M39" s="673"/>
      <c r="N39" s="673"/>
      <c r="O39" s="182"/>
      <c r="P39" s="140"/>
      <c r="Q39" s="140"/>
      <c r="R39" s="140"/>
      <c r="S39" s="140"/>
      <c r="T39" s="680">
        <f>T31</f>
        <v>4818</v>
      </c>
      <c r="U39" s="680"/>
      <c r="V39" s="680"/>
      <c r="W39" s="680"/>
      <c r="X39" s="681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 s="674"/>
      <c r="B40" s="675"/>
      <c r="C40" s="675"/>
      <c r="D40" s="675"/>
      <c r="E40" s="506"/>
      <c r="F40" s="506"/>
      <c r="G40" s="675"/>
      <c r="H40" s="675"/>
      <c r="I40" s="675"/>
      <c r="J40" s="675"/>
      <c r="K40" s="675"/>
      <c r="L40" s="675"/>
      <c r="M40" s="675"/>
      <c r="N40" s="675"/>
      <c r="O40" s="141"/>
      <c r="P40" s="141"/>
      <c r="Q40" s="141"/>
      <c r="R40" s="141"/>
      <c r="S40" s="141"/>
      <c r="T40" s="682"/>
      <c r="U40" s="682"/>
      <c r="V40" s="682"/>
      <c r="W40" s="682"/>
      <c r="X40" s="683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 s="69" t="s">
        <v>192</v>
      </c>
      <c r="G41" s="65"/>
      <c r="H41" s="67"/>
      <c r="I41" s="67"/>
      <c r="K41" s="67"/>
      <c r="L41" s="68"/>
      <c r="M41" s="67"/>
      <c r="N41" s="67"/>
      <c r="O41" s="91"/>
      <c r="P41" s="91"/>
      <c r="Q41" s="91"/>
      <c r="R41" s="91"/>
      <c r="S41" s="91"/>
      <c r="T41" s="684" t="str">
        <f>Eingabe_!$H$37</f>
        <v>keine Vorgabe</v>
      </c>
      <c r="U41" s="684"/>
      <c r="V41" s="684"/>
      <c r="W41" s="684"/>
      <c r="X41" s="684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 s="3"/>
      <c r="B42" s="3"/>
      <c r="C42" s="3"/>
      <c r="D42" s="3"/>
      <c r="E42" s="3"/>
      <c r="F42" s="146"/>
      <c r="G42" s="146"/>
      <c r="H42" s="146"/>
      <c r="I42" s="146"/>
      <c r="J42" s="146"/>
      <c r="K42" s="148"/>
      <c r="L42" s="148"/>
      <c r="M42" s="148"/>
      <c r="N42" s="148"/>
      <c r="O42" s="148"/>
      <c r="P42" s="10"/>
      <c r="Q42" s="10"/>
      <c r="R42" s="10"/>
      <c r="S42" s="10"/>
      <c r="T42" s="10"/>
      <c r="U42" s="146"/>
      <c r="V42" s="146"/>
      <c r="W42" s="146"/>
      <c r="X42" s="146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</row>
    <row r="43" spans="1:55" ht="12" customHeight="1">
      <c r="A43" s="63" t="s">
        <v>37</v>
      </c>
      <c r="B43" s="63"/>
      <c r="D43" s="63"/>
      <c r="F43" s="688" t="str">
        <f>IF(T41="keine Vorgabe","IST-Wert Aufnahme",(IF(T39&gt;=T41,"Das geforderte Aussenluftvolumen wird erreicht.","Das geforderte Aussenluftvolumen wird nicht erreicht.")))</f>
        <v>IST-Wert Aufnahme</v>
      </c>
      <c r="G43" s="688"/>
      <c r="H43" s="688"/>
      <c r="I43" s="688"/>
      <c r="J43" s="688"/>
      <c r="K43" s="688"/>
      <c r="L43" s="688"/>
      <c r="M43" s="688"/>
      <c r="N43" s="688"/>
      <c r="O43" s="688"/>
      <c r="P43" s="688"/>
      <c r="Q43" s="688"/>
      <c r="R43" s="688"/>
      <c r="S43" s="688"/>
      <c r="T43" s="10"/>
      <c r="U43" s="146"/>
      <c r="V43" s="146"/>
      <c r="W43" s="146"/>
      <c r="X43" s="146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</row>
    <row r="44" spans="1:55" ht="12" customHeight="1">
      <c r="A44" s="63"/>
      <c r="B44" s="63"/>
      <c r="D44" s="63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0"/>
      <c r="U44" s="146"/>
      <c r="V44" s="146"/>
      <c r="W44" s="146"/>
      <c r="X44" s="14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</row>
    <row r="45" spans="1:55" ht="12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6"/>
      <c r="V45" s="106"/>
      <c r="W45" s="106"/>
      <c r="X45" s="106"/>
    </row>
    <row r="46" spans="1:55" ht="12" customHeight="1">
      <c r="A46" s="69" t="s">
        <v>38</v>
      </c>
      <c r="B46" s="69"/>
      <c r="C46" s="69"/>
      <c r="D46" s="69"/>
      <c r="E46" s="69"/>
      <c r="F46" s="69" t="str">
        <f>IF((AND(T20&gt;=T22)),"Die Volumenströme entsprechen den Anforderungen.","Die Volumenströme entsprechen den Anforderungen nicht.")</f>
        <v>Die Volumenströme entsprechen den Anforderungen.</v>
      </c>
      <c r="G46" s="69"/>
      <c r="H46" s="69"/>
      <c r="I46" s="69"/>
      <c r="J46" s="69"/>
      <c r="K46" s="69"/>
      <c r="L46" s="69"/>
      <c r="M46" s="69"/>
      <c r="T46" s="10"/>
      <c r="U46" s="106"/>
      <c r="V46" s="106"/>
      <c r="W46" s="106"/>
      <c r="X46" s="106"/>
    </row>
    <row r="47" spans="1:55" ht="12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6"/>
      <c r="V47" s="106"/>
      <c r="W47" s="106"/>
      <c r="X47" s="106"/>
    </row>
    <row r="48" spans="1:55" ht="12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6"/>
      <c r="V48" s="106"/>
      <c r="W48" s="106"/>
      <c r="X48" s="106"/>
    </row>
    <row r="49" spans="1:24" ht="12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6"/>
      <c r="V49" s="106"/>
      <c r="W49" s="106"/>
      <c r="X49" s="106"/>
    </row>
    <row r="50" spans="1:24" ht="12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6"/>
      <c r="V50" s="106"/>
      <c r="W50" s="106"/>
      <c r="X50" s="106"/>
    </row>
    <row r="51" spans="1:24" ht="6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6"/>
      <c r="V51" s="106"/>
      <c r="W51" s="106"/>
      <c r="X51" s="106"/>
    </row>
    <row r="52" spans="1:24" ht="6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6"/>
      <c r="V52" s="106"/>
      <c r="W52" s="106"/>
      <c r="X52" s="106"/>
    </row>
    <row r="53" spans="1:24" ht="6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6"/>
      <c r="V53" s="106"/>
      <c r="W53" s="106"/>
      <c r="X53" s="106"/>
    </row>
    <row r="54" spans="1:24" ht="6" customHeight="1">
      <c r="U54" s="40"/>
      <c r="V54" s="40"/>
      <c r="W54" s="40"/>
      <c r="X54" s="40"/>
    </row>
    <row r="55" spans="1:24" ht="6" customHeight="1">
      <c r="U55" s="40"/>
      <c r="V55" s="40"/>
      <c r="W55" s="40"/>
      <c r="X55" s="40"/>
    </row>
    <row r="56" spans="1:24" ht="6" customHeight="1">
      <c r="U56" s="40"/>
      <c r="V56" s="40"/>
      <c r="W56" s="40"/>
      <c r="X56" s="40"/>
    </row>
    <row r="57" spans="1:24" ht="6" customHeight="1">
      <c r="U57" s="40"/>
      <c r="V57" s="40"/>
      <c r="W57" s="40"/>
      <c r="X57" s="40"/>
    </row>
    <row r="58" spans="1:24" ht="6" customHeight="1">
      <c r="U58" s="40"/>
      <c r="V58" s="40"/>
      <c r="W58" s="40"/>
      <c r="X58" s="40"/>
    </row>
    <row r="59" spans="1:24" ht="6" customHeight="1">
      <c r="U59" s="40"/>
      <c r="V59" s="40"/>
      <c r="W59" s="40"/>
      <c r="X59" s="40"/>
    </row>
    <row r="60" spans="1:24" ht="6" customHeight="1">
      <c r="U60" s="40"/>
      <c r="V60" s="40"/>
      <c r="W60" s="40"/>
      <c r="X60" s="40"/>
    </row>
    <row r="61" spans="1:24" ht="6" customHeight="1">
      <c r="U61" s="40"/>
      <c r="V61" s="40"/>
      <c r="W61" s="40"/>
      <c r="X61" s="40"/>
    </row>
    <row r="62" spans="1:24" ht="6" customHeight="1">
      <c r="U62" s="40"/>
      <c r="V62" s="40"/>
      <c r="W62" s="40"/>
      <c r="X62" s="40"/>
    </row>
    <row r="63" spans="1:24" ht="6" customHeight="1">
      <c r="U63" s="40"/>
      <c r="V63" s="40"/>
      <c r="W63" s="40"/>
      <c r="X63" s="40"/>
    </row>
    <row r="64" spans="1:24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/>
    <row r="80" spans="21:24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</sheetData>
  <mergeCells count="48">
    <mergeCell ref="T14:X14"/>
    <mergeCell ref="T41:X41"/>
    <mergeCell ref="F43:S43"/>
    <mergeCell ref="F29:S29"/>
    <mergeCell ref="J30:S30"/>
    <mergeCell ref="F30:I30"/>
    <mergeCell ref="F31:I31"/>
    <mergeCell ref="F34:I34"/>
    <mergeCell ref="F37:I37"/>
    <mergeCell ref="J31:S31"/>
    <mergeCell ref="J34:S34"/>
    <mergeCell ref="J37:S37"/>
    <mergeCell ref="F32:I32"/>
    <mergeCell ref="J32:S32"/>
    <mergeCell ref="F33:I33"/>
    <mergeCell ref="F24:S24"/>
    <mergeCell ref="A31:E37"/>
    <mergeCell ref="T31:X37"/>
    <mergeCell ref="A39:D40"/>
    <mergeCell ref="E39:F40"/>
    <mergeCell ref="G39:N40"/>
    <mergeCell ref="T39:X40"/>
    <mergeCell ref="J33:S33"/>
    <mergeCell ref="F35:I35"/>
    <mergeCell ref="J35:S35"/>
    <mergeCell ref="F36:I36"/>
    <mergeCell ref="J36:S36"/>
    <mergeCell ref="T20:X21"/>
    <mergeCell ref="T22:X22"/>
    <mergeCell ref="A29:E30"/>
    <mergeCell ref="T29:X29"/>
    <mergeCell ref="T30:X30"/>
    <mergeCell ref="R5:W5"/>
    <mergeCell ref="A9:X10"/>
    <mergeCell ref="A20:D21"/>
    <mergeCell ref="E20:F21"/>
    <mergeCell ref="G20:N21"/>
    <mergeCell ref="R7:W7"/>
    <mergeCell ref="A15:E17"/>
    <mergeCell ref="F15:L17"/>
    <mergeCell ref="M15:S17"/>
    <mergeCell ref="T15:X17"/>
    <mergeCell ref="A12:E14"/>
    <mergeCell ref="F12:L13"/>
    <mergeCell ref="M12:S13"/>
    <mergeCell ref="T12:X13"/>
    <mergeCell ref="F14:L14"/>
    <mergeCell ref="M14:S1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8D5-2A28-4D5B-B9EA-5998D91D65EB}">
  <sheetPr codeName="Tabelle12">
    <tabColor theme="5" tint="0.79998168889431442"/>
    <pageSetUpPr fitToPage="1"/>
  </sheetPr>
  <dimension ref="A1:BC213"/>
  <sheetViews>
    <sheetView view="pageBreakPreview" zoomScaleNormal="79" zoomScaleSheetLayoutView="100" zoomScalePageLayoutView="150" workbookViewId="0">
      <selection activeCell="T51" sqref="T5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506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Seitenregister!X19</f>
        <v>15</v>
      </c>
      <c r="W1" s="8" t="s">
        <v>10</v>
      </c>
      <c r="X1" s="9">
        <f>[6]Seitenregister!X1</f>
        <v>53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Eingabe_!Q8</f>
        <v>07.05.2022</v>
      </c>
      <c r="S5" s="603"/>
      <c r="T5" s="603"/>
      <c r="U5" s="603"/>
      <c r="V5" s="603"/>
      <c r="W5" s="603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90" t="str">
        <f>Eingabe_!B7</f>
        <v>OP 1</v>
      </c>
      <c r="S7" s="690"/>
      <c r="T7" s="690"/>
      <c r="U7" s="690"/>
      <c r="V7" s="690"/>
      <c r="W7" s="690"/>
      <c r="X7" s="29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37" t="s">
        <v>492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691" t="s">
        <v>185</v>
      </c>
      <c r="B11" s="691"/>
      <c r="C11" s="692" t="s">
        <v>505</v>
      </c>
      <c r="D11" s="599" t="s">
        <v>493</v>
      </c>
      <c r="E11" s="692" t="s">
        <v>505</v>
      </c>
      <c r="F11" s="599" t="s">
        <v>493</v>
      </c>
      <c r="G11" s="692" t="s">
        <v>505</v>
      </c>
      <c r="H11" s="599" t="s">
        <v>493</v>
      </c>
      <c r="I11" s="692" t="s">
        <v>505</v>
      </c>
      <c r="J11" s="599" t="s">
        <v>493</v>
      </c>
      <c r="K11" s="692" t="s">
        <v>505</v>
      </c>
      <c r="L11" s="599" t="s">
        <v>493</v>
      </c>
      <c r="M11" s="692" t="s">
        <v>505</v>
      </c>
      <c r="N11" s="599" t="s">
        <v>493</v>
      </c>
      <c r="O11" s="692" t="s">
        <v>505</v>
      </c>
      <c r="P11" s="599" t="s">
        <v>493</v>
      </c>
      <c r="Q11" s="692" t="s">
        <v>505</v>
      </c>
      <c r="R11" s="599" t="s">
        <v>493</v>
      </c>
      <c r="S11" s="692" t="s">
        <v>505</v>
      </c>
      <c r="T11" s="599" t="s">
        <v>493</v>
      </c>
      <c r="U11" s="692" t="s">
        <v>505</v>
      </c>
      <c r="V11" s="599" t="s">
        <v>493</v>
      </c>
      <c r="W11" s="692" t="s">
        <v>505</v>
      </c>
      <c r="X11" s="599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1.9" customHeight="1">
      <c r="A12" s="691"/>
      <c r="B12" s="691"/>
      <c r="C12" s="693"/>
      <c r="D12" s="600"/>
      <c r="E12" s="693"/>
      <c r="F12" s="600"/>
      <c r="G12" s="693"/>
      <c r="H12" s="600"/>
      <c r="I12" s="693"/>
      <c r="J12" s="600"/>
      <c r="K12" s="693"/>
      <c r="L12" s="600"/>
      <c r="M12" s="693"/>
      <c r="N12" s="600"/>
      <c r="O12" s="693"/>
      <c r="P12" s="600"/>
      <c r="Q12" s="693"/>
      <c r="R12" s="600"/>
      <c r="S12" s="693"/>
      <c r="T12" s="600"/>
      <c r="U12" s="693"/>
      <c r="V12" s="600"/>
      <c r="W12" s="693"/>
      <c r="X12" s="600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1.9" customHeight="1">
      <c r="A13" s="691"/>
      <c r="B13" s="691"/>
      <c r="C13" s="693"/>
      <c r="D13" s="600"/>
      <c r="E13" s="693"/>
      <c r="F13" s="600"/>
      <c r="G13" s="693"/>
      <c r="H13" s="600"/>
      <c r="I13" s="693"/>
      <c r="J13" s="600"/>
      <c r="K13" s="693"/>
      <c r="L13" s="600"/>
      <c r="M13" s="693"/>
      <c r="N13" s="600"/>
      <c r="O13" s="693"/>
      <c r="P13" s="600"/>
      <c r="Q13" s="693"/>
      <c r="R13" s="600"/>
      <c r="S13" s="693"/>
      <c r="T13" s="600"/>
      <c r="U13" s="693"/>
      <c r="V13" s="600"/>
      <c r="W13" s="693"/>
      <c r="X13" s="600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691"/>
      <c r="B14" s="691"/>
      <c r="C14" s="694"/>
      <c r="D14" s="325" t="s">
        <v>494</v>
      </c>
      <c r="E14" s="694"/>
      <c r="F14" s="325" t="s">
        <v>494</v>
      </c>
      <c r="G14" s="694"/>
      <c r="H14" s="325" t="s">
        <v>494</v>
      </c>
      <c r="I14" s="694"/>
      <c r="J14" s="325" t="s">
        <v>494</v>
      </c>
      <c r="K14" s="694"/>
      <c r="L14" s="325" t="s">
        <v>494</v>
      </c>
      <c r="M14" s="694"/>
      <c r="N14" s="325" t="s">
        <v>494</v>
      </c>
      <c r="O14" s="694"/>
      <c r="P14" s="325" t="s">
        <v>494</v>
      </c>
      <c r="Q14" s="694"/>
      <c r="R14" s="325" t="s">
        <v>494</v>
      </c>
      <c r="S14" s="694"/>
      <c r="T14" s="325" t="s">
        <v>494</v>
      </c>
      <c r="U14" s="694"/>
      <c r="V14" s="325" t="s">
        <v>494</v>
      </c>
      <c r="W14" s="694"/>
      <c r="X14" s="325" t="s">
        <v>494</v>
      </c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18" t="str">
        <f>Eingabe_!C6</f>
        <v>rooms/roomname</v>
      </c>
      <c r="B15" s="718"/>
      <c r="C15" s="471" t="s">
        <v>495</v>
      </c>
      <c r="D15" s="695">
        <f>Eingabe_!G123</f>
        <v>0.19</v>
      </c>
      <c r="E15" s="471" t="s">
        <v>515</v>
      </c>
      <c r="F15" s="695">
        <f>Eingabe_!H123</f>
        <v>0.18</v>
      </c>
      <c r="G15" s="471" t="s">
        <v>523</v>
      </c>
      <c r="H15" s="695">
        <f>'RD vZuluft'!H15</f>
        <v>0.19</v>
      </c>
      <c r="I15" s="471" t="s">
        <v>531</v>
      </c>
      <c r="J15" s="695">
        <f>'RD vZuluft'!J15</f>
        <v>0.2</v>
      </c>
      <c r="K15" s="471" t="s">
        <v>539</v>
      </c>
      <c r="L15" s="695">
        <f>'RD vZuluft'!L15</f>
        <v>0.17</v>
      </c>
      <c r="M15" s="471" t="s">
        <v>547</v>
      </c>
      <c r="N15" s="695">
        <f>'RD vZuluft'!N15</f>
        <v>0.18</v>
      </c>
      <c r="O15" s="471" t="s">
        <v>555</v>
      </c>
      <c r="P15" s="695">
        <f>'RD vZuluft'!P15</f>
        <v>0.2</v>
      </c>
      <c r="Q15" s="471" t="s">
        <v>563</v>
      </c>
      <c r="R15" s="695">
        <f>'RD vZuluft'!R15</f>
        <v>0.2</v>
      </c>
      <c r="S15" s="471" t="s">
        <v>4</v>
      </c>
      <c r="T15" s="695" t="s">
        <v>4</v>
      </c>
      <c r="U15" s="471" t="s">
        <v>4</v>
      </c>
      <c r="V15" s="695" t="s">
        <v>4</v>
      </c>
      <c r="W15" s="471" t="s">
        <v>4</v>
      </c>
      <c r="X15" s="695" t="s">
        <v>4</v>
      </c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18"/>
      <c r="B16" s="718"/>
      <c r="C16" s="471"/>
      <c r="D16" s="695"/>
      <c r="E16" s="471"/>
      <c r="F16" s="695"/>
      <c r="G16" s="699"/>
      <c r="H16" s="701"/>
      <c r="I16" s="699"/>
      <c r="J16" s="701"/>
      <c r="K16" s="699"/>
      <c r="L16" s="701"/>
      <c r="M16" s="699"/>
      <c r="N16" s="701"/>
      <c r="O16" s="471"/>
      <c r="P16" s="695"/>
      <c r="Q16" s="471"/>
      <c r="R16" s="695"/>
      <c r="S16" s="471"/>
      <c r="T16" s="695"/>
      <c r="U16" s="471"/>
      <c r="V16" s="695"/>
      <c r="W16" s="471"/>
      <c r="X16" s="695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18"/>
      <c r="B17" s="718"/>
      <c r="C17" s="471" t="s">
        <v>496</v>
      </c>
      <c r="D17" s="695">
        <f>Eingabe_!G125</f>
        <v>0.18</v>
      </c>
      <c r="E17" s="471" t="s">
        <v>516</v>
      </c>
      <c r="F17" s="696">
        <f>Eingabe_!H125</f>
        <v>0.2</v>
      </c>
      <c r="G17" s="700" t="s">
        <v>524</v>
      </c>
      <c r="H17" s="704">
        <f>'RD vZuluft'!H17</f>
        <v>0.31</v>
      </c>
      <c r="I17" s="705" t="s">
        <v>532</v>
      </c>
      <c r="J17" s="704">
        <f>'RD vZuluft'!J17</f>
        <v>0.32</v>
      </c>
      <c r="K17" s="705" t="s">
        <v>540</v>
      </c>
      <c r="L17" s="704">
        <f>'RD vZuluft'!L17</f>
        <v>0.31</v>
      </c>
      <c r="M17" s="705" t="s">
        <v>548</v>
      </c>
      <c r="N17" s="702">
        <f>'RD vZuluft'!N17</f>
        <v>0.31</v>
      </c>
      <c r="O17" s="493" t="s">
        <v>556</v>
      </c>
      <c r="P17" s="695">
        <f>'RD vZuluft'!P17</f>
        <v>0.18</v>
      </c>
      <c r="Q17" s="471" t="s">
        <v>564</v>
      </c>
      <c r="R17" s="695">
        <f>'RD vZuluft'!R17</f>
        <v>0.2</v>
      </c>
      <c r="S17" s="471" t="s">
        <v>4</v>
      </c>
      <c r="T17" s="695" t="s">
        <v>4</v>
      </c>
      <c r="U17" s="471" t="s">
        <v>4</v>
      </c>
      <c r="V17" s="695" t="s">
        <v>4</v>
      </c>
      <c r="W17" s="471" t="s">
        <v>4</v>
      </c>
      <c r="X17" s="695" t="s">
        <v>4</v>
      </c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718"/>
      <c r="B18" s="718"/>
      <c r="C18" s="471"/>
      <c r="D18" s="695"/>
      <c r="E18" s="471"/>
      <c r="F18" s="696"/>
      <c r="G18" s="697"/>
      <c r="H18" s="695"/>
      <c r="I18" s="471"/>
      <c r="J18" s="695"/>
      <c r="K18" s="471"/>
      <c r="L18" s="695"/>
      <c r="M18" s="471"/>
      <c r="N18" s="703"/>
      <c r="O18" s="493"/>
      <c r="P18" s="695"/>
      <c r="Q18" s="471"/>
      <c r="R18" s="695"/>
      <c r="S18" s="471"/>
      <c r="T18" s="695"/>
      <c r="U18" s="471"/>
      <c r="V18" s="695"/>
      <c r="W18" s="471"/>
      <c r="X18" s="695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</row>
    <row r="19" spans="1:55" ht="11.9" customHeight="1">
      <c r="A19" s="718"/>
      <c r="B19" s="718"/>
      <c r="C19" s="471" t="s">
        <v>497</v>
      </c>
      <c r="D19" s="695">
        <f>Eingabe_!G127</f>
        <v>0.18</v>
      </c>
      <c r="E19" s="471" t="s">
        <v>517</v>
      </c>
      <c r="F19" s="696">
        <f>Eingabe_!H127</f>
        <v>0.19</v>
      </c>
      <c r="G19" s="697" t="s">
        <v>525</v>
      </c>
      <c r="H19" s="695">
        <f>'RD vZuluft'!H19</f>
        <v>0.32</v>
      </c>
      <c r="I19" s="471" t="s">
        <v>533</v>
      </c>
      <c r="J19" s="695">
        <f>'RD vZuluft'!J19</f>
        <v>0.3</v>
      </c>
      <c r="K19" s="471" t="s">
        <v>541</v>
      </c>
      <c r="L19" s="695">
        <f>'RD vZuluft'!L19</f>
        <v>0.36</v>
      </c>
      <c r="M19" s="471" t="s">
        <v>549</v>
      </c>
      <c r="N19" s="703">
        <f>'RD vZuluft'!N19</f>
        <v>0.32</v>
      </c>
      <c r="O19" s="493" t="s">
        <v>557</v>
      </c>
      <c r="P19" s="695">
        <f>'RD vZuluft'!P19</f>
        <v>0.37</v>
      </c>
      <c r="Q19" s="471" t="s">
        <v>565</v>
      </c>
      <c r="R19" s="695">
        <f>'RD vZuluft'!R19</f>
        <v>0.19</v>
      </c>
      <c r="S19" s="471" t="s">
        <v>4</v>
      </c>
      <c r="T19" s="695" t="s">
        <v>4</v>
      </c>
      <c r="U19" s="471" t="s">
        <v>4</v>
      </c>
      <c r="V19" s="695" t="s">
        <v>4</v>
      </c>
      <c r="W19" s="471" t="s">
        <v>4</v>
      </c>
      <c r="X19" s="695" t="s">
        <v>4</v>
      </c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268"/>
      <c r="AU19" s="268"/>
      <c r="AV19" s="268"/>
      <c r="AW19" s="268"/>
      <c r="AX19" s="268"/>
      <c r="AY19" s="268"/>
      <c r="AZ19" s="268"/>
      <c r="BA19" s="268"/>
      <c r="BB19" s="268"/>
      <c r="BC19" s="268"/>
    </row>
    <row r="20" spans="1:55" ht="11.9" customHeight="1">
      <c r="A20" s="718"/>
      <c r="B20" s="718"/>
      <c r="C20" s="471"/>
      <c r="D20" s="695"/>
      <c r="E20" s="471"/>
      <c r="F20" s="696"/>
      <c r="G20" s="697"/>
      <c r="H20" s="695"/>
      <c r="I20" s="471"/>
      <c r="J20" s="695"/>
      <c r="K20" s="471"/>
      <c r="L20" s="695"/>
      <c r="M20" s="471"/>
      <c r="N20" s="703"/>
      <c r="O20" s="493"/>
      <c r="P20" s="695"/>
      <c r="Q20" s="471"/>
      <c r="R20" s="695"/>
      <c r="S20" s="471"/>
      <c r="T20" s="695"/>
      <c r="U20" s="471"/>
      <c r="V20" s="695"/>
      <c r="W20" s="471"/>
      <c r="X20" s="695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268"/>
      <c r="AU20" s="268"/>
      <c r="AV20" s="268"/>
      <c r="AW20" s="268"/>
      <c r="AX20" s="268"/>
      <c r="AY20" s="268"/>
      <c r="AZ20" s="268"/>
      <c r="BA20" s="268"/>
      <c r="BB20" s="268"/>
      <c r="BC20" s="268"/>
    </row>
    <row r="21" spans="1:55" ht="11.9" customHeight="1">
      <c r="A21" s="718"/>
      <c r="B21" s="718"/>
      <c r="C21" s="471" t="s">
        <v>498</v>
      </c>
      <c r="D21" s="695">
        <f>Eingabe_!G129</f>
        <v>0.17</v>
      </c>
      <c r="E21" s="471" t="s">
        <v>518</v>
      </c>
      <c r="F21" s="696">
        <f>Eingabe_!H129</f>
        <v>0.19</v>
      </c>
      <c r="G21" s="697" t="s">
        <v>526</v>
      </c>
      <c r="H21" s="695">
        <f>'RD vZuluft'!H21</f>
        <v>0.32</v>
      </c>
      <c r="I21" s="471" t="s">
        <v>534</v>
      </c>
      <c r="J21" s="695">
        <f>'RD vZuluft'!J21</f>
        <v>0.31</v>
      </c>
      <c r="K21" s="471" t="s">
        <v>542</v>
      </c>
      <c r="L21" s="695">
        <f>'RD vZuluft'!L21</f>
        <v>0.33</v>
      </c>
      <c r="M21" s="471" t="s">
        <v>550</v>
      </c>
      <c r="N21" s="703">
        <f>'RD vZuluft'!N21</f>
        <v>0.3</v>
      </c>
      <c r="O21" s="493" t="s">
        <v>558</v>
      </c>
      <c r="P21" s="695">
        <f>'RD vZuluft'!P21</f>
        <v>0.34</v>
      </c>
      <c r="Q21" s="471" t="s">
        <v>566</v>
      </c>
      <c r="R21" s="695">
        <f>'RD vZuluft'!R21</f>
        <v>0.2</v>
      </c>
      <c r="S21" s="471" t="s">
        <v>4</v>
      </c>
      <c r="T21" s="695" t="s">
        <v>4</v>
      </c>
      <c r="U21" s="471" t="s">
        <v>4</v>
      </c>
      <c r="V21" s="695" t="s">
        <v>4</v>
      </c>
      <c r="W21" s="471" t="s">
        <v>4</v>
      </c>
      <c r="X21" s="695" t="s">
        <v>4</v>
      </c>
      <c r="Y21" s="268"/>
      <c r="Z21" s="26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268"/>
      <c r="AU21" s="268"/>
      <c r="AV21" s="268"/>
      <c r="AW21" s="268"/>
      <c r="AX21" s="268"/>
      <c r="AY21" s="268"/>
      <c r="AZ21" s="268"/>
      <c r="BA21" s="268"/>
      <c r="BB21" s="268"/>
      <c r="BC21" s="268"/>
    </row>
    <row r="22" spans="1:55" ht="11.9" customHeight="1">
      <c r="A22" s="718"/>
      <c r="B22" s="718"/>
      <c r="C22" s="471"/>
      <c r="D22" s="695"/>
      <c r="E22" s="471"/>
      <c r="F22" s="696"/>
      <c r="G22" s="697"/>
      <c r="H22" s="695"/>
      <c r="I22" s="471"/>
      <c r="J22" s="695"/>
      <c r="K22" s="471"/>
      <c r="L22" s="695"/>
      <c r="M22" s="471"/>
      <c r="N22" s="703"/>
      <c r="O22" s="493"/>
      <c r="P22" s="695"/>
      <c r="Q22" s="471"/>
      <c r="R22" s="695"/>
      <c r="S22" s="471"/>
      <c r="T22" s="695"/>
      <c r="U22" s="471"/>
      <c r="V22" s="695"/>
      <c r="W22" s="471"/>
      <c r="X22" s="695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268"/>
      <c r="AU22" s="268"/>
      <c r="AV22" s="268"/>
      <c r="AW22" s="268"/>
      <c r="AX22" s="268"/>
      <c r="AY22" s="268"/>
      <c r="AZ22" s="268"/>
      <c r="BA22" s="268"/>
      <c r="BB22" s="268"/>
      <c r="BC22" s="268"/>
    </row>
    <row r="23" spans="1:55" ht="11.9" customHeight="1">
      <c r="A23" s="718"/>
      <c r="B23" s="718"/>
      <c r="C23" s="471" t="s">
        <v>499</v>
      </c>
      <c r="D23" s="695">
        <f>Eingabe_!G131</f>
        <v>0.18</v>
      </c>
      <c r="E23" s="471" t="s">
        <v>519</v>
      </c>
      <c r="F23" s="696">
        <f>Eingabe_!H131</f>
        <v>0.2</v>
      </c>
      <c r="G23" s="697" t="s">
        <v>527</v>
      </c>
      <c r="H23" s="695">
        <f>'RD vZuluft'!H23</f>
        <v>0.34</v>
      </c>
      <c r="I23" s="471" t="s">
        <v>535</v>
      </c>
      <c r="J23" s="695">
        <f>'RD vZuluft'!J23</f>
        <v>0.31</v>
      </c>
      <c r="K23" s="471" t="s">
        <v>543</v>
      </c>
      <c r="L23" s="695">
        <f>'RD vZuluft'!L23</f>
        <v>0.33</v>
      </c>
      <c r="M23" s="471" t="s">
        <v>551</v>
      </c>
      <c r="N23" s="703">
        <f>'RD vZuluft'!N23</f>
        <v>0.32</v>
      </c>
      <c r="O23" s="493" t="s">
        <v>559</v>
      </c>
      <c r="P23" s="695">
        <f>'RD vZuluft'!P23</f>
        <v>0.36</v>
      </c>
      <c r="Q23" s="471" t="s">
        <v>567</v>
      </c>
      <c r="R23" s="695">
        <f>'RD vZuluft'!R23</f>
        <v>0.22</v>
      </c>
      <c r="S23" s="471" t="s">
        <v>4</v>
      </c>
      <c r="T23" s="695" t="s">
        <v>4</v>
      </c>
      <c r="U23" s="471" t="s">
        <v>4</v>
      </c>
      <c r="V23" s="695" t="s">
        <v>4</v>
      </c>
      <c r="W23" s="471" t="s">
        <v>4</v>
      </c>
      <c r="X23" s="695" t="s">
        <v>4</v>
      </c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268"/>
      <c r="AU23" s="268"/>
      <c r="AV23" s="268"/>
      <c r="AW23" s="268"/>
      <c r="AX23" s="268"/>
      <c r="AY23" s="268"/>
      <c r="AZ23" s="268"/>
      <c r="BA23" s="268"/>
      <c r="BB23" s="268"/>
      <c r="BC23" s="268"/>
    </row>
    <row r="24" spans="1:55" ht="11.9" customHeight="1">
      <c r="A24" s="718"/>
      <c r="B24" s="718"/>
      <c r="C24" s="471"/>
      <c r="D24" s="695"/>
      <c r="E24" s="471"/>
      <c r="F24" s="696"/>
      <c r="G24" s="697"/>
      <c r="H24" s="695"/>
      <c r="I24" s="471"/>
      <c r="J24" s="695"/>
      <c r="K24" s="471"/>
      <c r="L24" s="695"/>
      <c r="M24" s="471"/>
      <c r="N24" s="703"/>
      <c r="O24" s="493"/>
      <c r="P24" s="695"/>
      <c r="Q24" s="471"/>
      <c r="R24" s="695"/>
      <c r="S24" s="471"/>
      <c r="T24" s="695"/>
      <c r="U24" s="471"/>
      <c r="V24" s="695"/>
      <c r="W24" s="471"/>
      <c r="X24" s="695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268"/>
      <c r="AU24" s="268"/>
      <c r="AV24" s="268"/>
      <c r="AW24" s="268"/>
      <c r="AX24" s="268"/>
      <c r="AY24" s="268"/>
      <c r="AZ24" s="268"/>
      <c r="BA24" s="268"/>
      <c r="BB24" s="268"/>
      <c r="BC24" s="268"/>
    </row>
    <row r="25" spans="1:55" ht="11.9" customHeight="1">
      <c r="A25" s="718"/>
      <c r="B25" s="718"/>
      <c r="C25" s="471" t="s">
        <v>500</v>
      </c>
      <c r="D25" s="695">
        <f>Eingabe_!G133</f>
        <v>0.18</v>
      </c>
      <c r="E25" s="471" t="s">
        <v>520</v>
      </c>
      <c r="F25" s="696">
        <f>Eingabe_!H133</f>
        <v>0.19</v>
      </c>
      <c r="G25" s="697" t="s">
        <v>528</v>
      </c>
      <c r="H25" s="695">
        <f>'RD vZuluft'!H25</f>
        <v>0.31</v>
      </c>
      <c r="I25" s="471" t="s">
        <v>536</v>
      </c>
      <c r="J25" s="695">
        <f>'RD vZuluft'!J25</f>
        <v>0.31</v>
      </c>
      <c r="K25" s="471" t="s">
        <v>544</v>
      </c>
      <c r="L25" s="695">
        <f>'RD vZuluft'!L25</f>
        <v>0.31</v>
      </c>
      <c r="M25" s="471" t="s">
        <v>552</v>
      </c>
      <c r="N25" s="703">
        <f>'RD vZuluft'!N25</f>
        <v>0.3</v>
      </c>
      <c r="O25" s="493" t="s">
        <v>560</v>
      </c>
      <c r="P25" s="695">
        <f>'RD vZuluft'!P25</f>
        <v>0.3</v>
      </c>
      <c r="Q25" s="471" t="s">
        <v>568</v>
      </c>
      <c r="R25" s="695">
        <f>'RD vZuluft'!R25</f>
        <v>0.2</v>
      </c>
      <c r="S25" s="471" t="s">
        <v>4</v>
      </c>
      <c r="T25" s="695" t="s">
        <v>4</v>
      </c>
      <c r="U25" s="471" t="s">
        <v>4</v>
      </c>
      <c r="V25" s="695" t="s">
        <v>4</v>
      </c>
      <c r="W25" s="471" t="s">
        <v>4</v>
      </c>
      <c r="X25" s="695" t="s">
        <v>4</v>
      </c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</row>
    <row r="26" spans="1:55" ht="12" customHeight="1">
      <c r="A26" s="718"/>
      <c r="B26" s="718"/>
      <c r="C26" s="471"/>
      <c r="D26" s="695"/>
      <c r="E26" s="471"/>
      <c r="F26" s="696"/>
      <c r="G26" s="697"/>
      <c r="H26" s="695"/>
      <c r="I26" s="471"/>
      <c r="J26" s="695"/>
      <c r="K26" s="471"/>
      <c r="L26" s="695"/>
      <c r="M26" s="471"/>
      <c r="N26" s="703"/>
      <c r="O26" s="493"/>
      <c r="P26" s="695"/>
      <c r="Q26" s="471"/>
      <c r="R26" s="695"/>
      <c r="S26" s="471"/>
      <c r="T26" s="695"/>
      <c r="U26" s="471"/>
      <c r="V26" s="695"/>
      <c r="W26" s="471"/>
      <c r="X26" s="695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268"/>
      <c r="AU26" s="268"/>
      <c r="AV26" s="268"/>
      <c r="AW26" s="268"/>
      <c r="AX26" s="268"/>
      <c r="AY26" s="268"/>
      <c r="AZ26" s="268"/>
      <c r="BA26" s="268"/>
      <c r="BB26" s="268"/>
      <c r="BC26" s="268"/>
    </row>
    <row r="27" spans="1:55" ht="12" customHeight="1">
      <c r="A27" s="718"/>
      <c r="B27" s="718"/>
      <c r="C27" s="471" t="s">
        <v>501</v>
      </c>
      <c r="D27" s="695">
        <f>Eingabe_!G135</f>
        <v>0.19</v>
      </c>
      <c r="E27" s="471" t="s">
        <v>521</v>
      </c>
      <c r="F27" s="696">
        <f>Eingabe_!H135</f>
        <v>0.21</v>
      </c>
      <c r="G27" s="697" t="s">
        <v>529</v>
      </c>
      <c r="H27" s="695">
        <f>'RD vZuluft'!H27</f>
        <v>0.32</v>
      </c>
      <c r="I27" s="471" t="s">
        <v>537</v>
      </c>
      <c r="J27" s="695">
        <f>'RD vZuluft'!J27</f>
        <v>0.32</v>
      </c>
      <c r="K27" s="471" t="s">
        <v>545</v>
      </c>
      <c r="L27" s="695">
        <f>'RD vZuluft'!L27</f>
        <v>0.31</v>
      </c>
      <c r="M27" s="471" t="s">
        <v>553</v>
      </c>
      <c r="N27" s="703">
        <f>'RD vZuluft'!N27</f>
        <v>0.31</v>
      </c>
      <c r="O27" s="493" t="s">
        <v>561</v>
      </c>
      <c r="P27" s="695">
        <f>'RD vZuluft'!P27</f>
        <v>0.17</v>
      </c>
      <c r="Q27" s="471" t="s">
        <v>569</v>
      </c>
      <c r="R27" s="695">
        <f>'RD vZuluft'!R27</f>
        <v>0.18</v>
      </c>
      <c r="S27" s="471" t="s">
        <v>4</v>
      </c>
      <c r="T27" s="695" t="s">
        <v>4</v>
      </c>
      <c r="U27" s="471" t="s">
        <v>4</v>
      </c>
      <c r="V27" s="695" t="s">
        <v>4</v>
      </c>
      <c r="W27" s="471" t="s">
        <v>4</v>
      </c>
      <c r="X27" s="695" t="s">
        <v>4</v>
      </c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268"/>
      <c r="AU27" s="268"/>
      <c r="AV27" s="268"/>
      <c r="AW27" s="268"/>
      <c r="AX27" s="268"/>
      <c r="AY27" s="268"/>
      <c r="AZ27" s="268"/>
      <c r="BA27" s="268"/>
      <c r="BB27" s="268"/>
      <c r="BC27" s="268"/>
    </row>
    <row r="28" spans="1:55" ht="12" customHeight="1">
      <c r="A28" s="718"/>
      <c r="B28" s="718"/>
      <c r="C28" s="471"/>
      <c r="D28" s="695"/>
      <c r="E28" s="471"/>
      <c r="F28" s="696"/>
      <c r="G28" s="706"/>
      <c r="H28" s="707"/>
      <c r="I28" s="708"/>
      <c r="J28" s="707"/>
      <c r="K28" s="708"/>
      <c r="L28" s="707"/>
      <c r="M28" s="708"/>
      <c r="N28" s="709"/>
      <c r="O28" s="493"/>
      <c r="P28" s="695"/>
      <c r="Q28" s="471"/>
      <c r="R28" s="695"/>
      <c r="S28" s="471"/>
      <c r="T28" s="695"/>
      <c r="U28" s="471"/>
      <c r="V28" s="695"/>
      <c r="W28" s="471"/>
      <c r="X28" s="695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268"/>
      <c r="AU28" s="268"/>
      <c r="AV28" s="268"/>
      <c r="AW28" s="268"/>
      <c r="AX28" s="268"/>
      <c r="AY28" s="268"/>
      <c r="AZ28" s="268"/>
      <c r="BA28" s="268"/>
      <c r="BB28" s="268"/>
      <c r="BC28" s="268"/>
    </row>
    <row r="29" spans="1:55" ht="12" customHeight="1">
      <c r="A29" s="718"/>
      <c r="B29" s="718"/>
      <c r="C29" s="471" t="s">
        <v>502</v>
      </c>
      <c r="D29" s="695">
        <f>Eingabe_!G137</f>
        <v>0.19</v>
      </c>
      <c r="E29" s="471" t="s">
        <v>522</v>
      </c>
      <c r="F29" s="695">
        <f>Eingabe_!H137</f>
        <v>0.2</v>
      </c>
      <c r="G29" s="602" t="s">
        <v>530</v>
      </c>
      <c r="H29" s="698">
        <f>'RD vZuluft'!H29</f>
        <v>0.18</v>
      </c>
      <c r="I29" s="602" t="s">
        <v>538</v>
      </c>
      <c r="J29" s="698">
        <f>'RD vZuluft'!J29</f>
        <v>0.2</v>
      </c>
      <c r="K29" s="602" t="s">
        <v>546</v>
      </c>
      <c r="L29" s="698">
        <f>'RD vZuluft'!L29</f>
        <v>0.2</v>
      </c>
      <c r="M29" s="602" t="s">
        <v>554</v>
      </c>
      <c r="N29" s="698">
        <f>'RD vZuluft'!N29</f>
        <v>0.18</v>
      </c>
      <c r="O29" s="471" t="s">
        <v>562</v>
      </c>
      <c r="P29" s="695">
        <f>'RD vZuluft'!P29</f>
        <v>0.2</v>
      </c>
      <c r="Q29" s="471" t="s">
        <v>570</v>
      </c>
      <c r="R29" s="695">
        <f>'RD vZuluft'!R29</f>
        <v>0.22</v>
      </c>
      <c r="S29" s="471" t="s">
        <v>4</v>
      </c>
      <c r="T29" s="695" t="s">
        <v>4</v>
      </c>
      <c r="U29" s="471" t="s">
        <v>4</v>
      </c>
      <c r="V29" s="695" t="s">
        <v>4</v>
      </c>
      <c r="W29" s="471" t="s">
        <v>4</v>
      </c>
      <c r="X29" s="695" t="s">
        <v>4</v>
      </c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268"/>
      <c r="AU29" s="268"/>
      <c r="AV29" s="268"/>
      <c r="AW29" s="268"/>
      <c r="AX29" s="268"/>
      <c r="AY29" s="268"/>
      <c r="AZ29" s="268"/>
      <c r="BA29" s="268"/>
      <c r="BB29" s="268"/>
      <c r="BC29" s="268"/>
    </row>
    <row r="30" spans="1:55" ht="12" customHeight="1">
      <c r="A30" s="718"/>
      <c r="B30" s="718"/>
      <c r="C30" s="471"/>
      <c r="D30" s="695"/>
      <c r="E30" s="471"/>
      <c r="F30" s="695"/>
      <c r="G30" s="471"/>
      <c r="H30" s="695"/>
      <c r="I30" s="471"/>
      <c r="J30" s="695"/>
      <c r="K30" s="471"/>
      <c r="L30" s="695"/>
      <c r="M30" s="471"/>
      <c r="N30" s="695"/>
      <c r="O30" s="471"/>
      <c r="P30" s="695"/>
      <c r="Q30" s="471"/>
      <c r="R30" s="695"/>
      <c r="S30" s="471"/>
      <c r="T30" s="695"/>
      <c r="U30" s="471"/>
      <c r="V30" s="695"/>
      <c r="W30" s="471"/>
      <c r="X30" s="695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5" ht="12" customHeight="1">
      <c r="A31" s="718"/>
      <c r="B31" s="718"/>
      <c r="C31" s="471" t="s">
        <v>4</v>
      </c>
      <c r="D31" s="695" t="s">
        <v>4</v>
      </c>
      <c r="E31" s="471" t="s">
        <v>4</v>
      </c>
      <c r="F31" s="695" t="s">
        <v>4</v>
      </c>
      <c r="G31" s="471" t="s">
        <v>4</v>
      </c>
      <c r="H31" s="695" t="s">
        <v>4</v>
      </c>
      <c r="I31" s="471" t="s">
        <v>4</v>
      </c>
      <c r="J31" s="695" t="s">
        <v>4</v>
      </c>
      <c r="K31" s="471" t="s">
        <v>4</v>
      </c>
      <c r="L31" s="695" t="s">
        <v>4</v>
      </c>
      <c r="M31" s="471" t="s">
        <v>4</v>
      </c>
      <c r="N31" s="695" t="s">
        <v>4</v>
      </c>
      <c r="O31" s="471" t="s">
        <v>4</v>
      </c>
      <c r="P31" s="695" t="s">
        <v>4</v>
      </c>
      <c r="Q31" s="471" t="s">
        <v>4</v>
      </c>
      <c r="R31" s="695" t="s">
        <v>4</v>
      </c>
      <c r="S31" s="471" t="s">
        <v>4</v>
      </c>
      <c r="T31" s="695" t="s">
        <v>4</v>
      </c>
      <c r="U31" s="471" t="s">
        <v>4</v>
      </c>
      <c r="V31" s="695" t="s">
        <v>4</v>
      </c>
      <c r="W31" s="471" t="s">
        <v>4</v>
      </c>
      <c r="X31" s="695" t="s">
        <v>4</v>
      </c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55" ht="12" customHeight="1">
      <c r="A32" s="718"/>
      <c r="B32" s="718"/>
      <c r="C32" s="471"/>
      <c r="D32" s="695"/>
      <c r="E32" s="471"/>
      <c r="F32" s="695"/>
      <c r="G32" s="471"/>
      <c r="H32" s="695"/>
      <c r="I32" s="471"/>
      <c r="J32" s="695"/>
      <c r="K32" s="471"/>
      <c r="L32" s="695"/>
      <c r="M32" s="471"/>
      <c r="N32" s="695"/>
      <c r="O32" s="471"/>
      <c r="P32" s="695"/>
      <c r="Q32" s="471"/>
      <c r="R32" s="695"/>
      <c r="S32" s="471"/>
      <c r="T32" s="695"/>
      <c r="U32" s="471"/>
      <c r="V32" s="695"/>
      <c r="W32" s="471"/>
      <c r="X32" s="695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1.9" customHeight="1">
      <c r="A33" s="718"/>
      <c r="B33" s="718"/>
      <c r="C33" s="471" t="s">
        <v>4</v>
      </c>
      <c r="D33" s="695" t="s">
        <v>4</v>
      </c>
      <c r="E33" s="471" t="s">
        <v>4</v>
      </c>
      <c r="F33" s="695" t="s">
        <v>4</v>
      </c>
      <c r="G33" s="471" t="s">
        <v>4</v>
      </c>
      <c r="H33" s="695" t="s">
        <v>4</v>
      </c>
      <c r="I33" s="471" t="s">
        <v>4</v>
      </c>
      <c r="J33" s="695" t="s">
        <v>4</v>
      </c>
      <c r="K33" s="471" t="s">
        <v>4</v>
      </c>
      <c r="L33" s="695" t="s">
        <v>4</v>
      </c>
      <c r="M33" s="471" t="s">
        <v>4</v>
      </c>
      <c r="N33" s="695" t="s">
        <v>4</v>
      </c>
      <c r="O33" s="471" t="s">
        <v>4</v>
      </c>
      <c r="P33" s="695" t="s">
        <v>4</v>
      </c>
      <c r="Q33" s="471" t="s">
        <v>4</v>
      </c>
      <c r="R33" s="695" t="s">
        <v>4</v>
      </c>
      <c r="S33" s="471" t="s">
        <v>4</v>
      </c>
      <c r="T33" s="695" t="s">
        <v>4</v>
      </c>
      <c r="U33" s="471" t="s">
        <v>4</v>
      </c>
      <c r="V33" s="695" t="s">
        <v>4</v>
      </c>
      <c r="W33" s="471" t="s">
        <v>4</v>
      </c>
      <c r="X33" s="695" t="s">
        <v>4</v>
      </c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1.9" customHeight="1">
      <c r="A34" s="718"/>
      <c r="B34" s="718"/>
      <c r="C34" s="471"/>
      <c r="D34" s="695"/>
      <c r="E34" s="471"/>
      <c r="F34" s="695"/>
      <c r="G34" s="471"/>
      <c r="H34" s="695"/>
      <c r="I34" s="471"/>
      <c r="J34" s="695"/>
      <c r="K34" s="471"/>
      <c r="L34" s="695"/>
      <c r="M34" s="471"/>
      <c r="N34" s="695"/>
      <c r="O34" s="471"/>
      <c r="P34" s="695"/>
      <c r="Q34" s="471"/>
      <c r="R34" s="695"/>
      <c r="S34" s="471"/>
      <c r="T34" s="695"/>
      <c r="U34" s="471"/>
      <c r="V34" s="695"/>
      <c r="W34" s="471"/>
      <c r="X34" s="695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1.9" customHeight="1">
      <c r="A35" s="718"/>
      <c r="B35" s="718"/>
      <c r="C35" s="471" t="s">
        <v>4</v>
      </c>
      <c r="D35" s="695" t="s">
        <v>4</v>
      </c>
      <c r="E35" s="471" t="s">
        <v>4</v>
      </c>
      <c r="F35" s="695" t="s">
        <v>4</v>
      </c>
      <c r="G35" s="471" t="s">
        <v>4</v>
      </c>
      <c r="H35" s="695" t="s">
        <v>4</v>
      </c>
      <c r="I35" s="471" t="s">
        <v>4</v>
      </c>
      <c r="J35" s="695" t="s">
        <v>4</v>
      </c>
      <c r="K35" s="471" t="s">
        <v>4</v>
      </c>
      <c r="L35" s="695" t="s">
        <v>4</v>
      </c>
      <c r="M35" s="471" t="s">
        <v>4</v>
      </c>
      <c r="N35" s="695" t="s">
        <v>4</v>
      </c>
      <c r="O35" s="471" t="s">
        <v>4</v>
      </c>
      <c r="P35" s="695" t="s">
        <v>4</v>
      </c>
      <c r="Q35" s="471" t="s">
        <v>4</v>
      </c>
      <c r="R35" s="695" t="s">
        <v>4</v>
      </c>
      <c r="S35" s="471" t="s">
        <v>4</v>
      </c>
      <c r="T35" s="711" t="s">
        <v>4</v>
      </c>
      <c r="U35" s="471" t="s">
        <v>4</v>
      </c>
      <c r="V35" s="711" t="s">
        <v>4</v>
      </c>
      <c r="W35" s="471" t="s">
        <v>4</v>
      </c>
      <c r="X35" s="711" t="s">
        <v>4</v>
      </c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1.9" customHeight="1">
      <c r="A36" s="718"/>
      <c r="B36" s="718"/>
      <c r="C36" s="471"/>
      <c r="D36" s="695"/>
      <c r="E36" s="471"/>
      <c r="F36" s="695"/>
      <c r="G36" s="471"/>
      <c r="H36" s="695"/>
      <c r="I36" s="471"/>
      <c r="J36" s="695"/>
      <c r="K36" s="471"/>
      <c r="L36" s="695"/>
      <c r="M36" s="471"/>
      <c r="N36" s="695"/>
      <c r="O36" s="471"/>
      <c r="P36" s="695"/>
      <c r="Q36" s="471"/>
      <c r="R36" s="695"/>
      <c r="S36" s="471"/>
      <c r="T36" s="695"/>
      <c r="U36" s="471"/>
      <c r="V36" s="695"/>
      <c r="W36" s="471"/>
      <c r="X36" s="695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1.9" customHeight="1">
      <c r="A38" s="672" t="s">
        <v>82</v>
      </c>
      <c r="B38" s="673"/>
      <c r="C38" s="673"/>
      <c r="D38" s="673"/>
      <c r="E38" s="473" t="str">
        <f>Eingabe_!B7</f>
        <v>OP 1</v>
      </c>
      <c r="F38" s="473"/>
      <c r="G38" s="673" t="s">
        <v>503</v>
      </c>
      <c r="H38" s="712"/>
      <c r="I38" s="712"/>
      <c r="J38" s="712"/>
      <c r="K38" s="712"/>
      <c r="L38" s="712"/>
      <c r="M38" s="712"/>
      <c r="N38" s="712"/>
      <c r="O38" s="712"/>
      <c r="P38" s="712"/>
      <c r="Q38" s="712"/>
      <c r="R38" s="712"/>
      <c r="S38" s="140"/>
      <c r="T38" s="140"/>
      <c r="U38" s="140"/>
      <c r="V38" s="714">
        <f>'RD vZuluft'!V38</f>
        <v>0.24056023506162144</v>
      </c>
      <c r="W38" s="714"/>
      <c r="X38" s="715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1.9" customHeight="1">
      <c r="A39" s="674"/>
      <c r="B39" s="675"/>
      <c r="C39" s="675"/>
      <c r="D39" s="675"/>
      <c r="E39" s="506"/>
      <c r="F39" s="506"/>
      <c r="G39" s="713"/>
      <c r="H39" s="713"/>
      <c r="I39" s="713"/>
      <c r="J39" s="713"/>
      <c r="K39" s="713"/>
      <c r="L39" s="713"/>
      <c r="M39" s="713"/>
      <c r="N39" s="713"/>
      <c r="O39" s="713"/>
      <c r="P39" s="713"/>
      <c r="Q39" s="713"/>
      <c r="R39" s="713"/>
      <c r="S39" s="141"/>
      <c r="T39" s="141"/>
      <c r="U39" s="141"/>
      <c r="V39" s="716"/>
      <c r="W39" s="716"/>
      <c r="X39" s="717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1.9" customHeight="1">
      <c r="A40" s="40" t="s">
        <v>504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</row>
    <row r="41" spans="1:45" ht="11.9" customHeight="1">
      <c r="A41" s="40"/>
      <c r="B41" s="40" t="s">
        <v>571</v>
      </c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</row>
    <row r="42" spans="1:45" ht="11.9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10"/>
      <c r="W42" s="710"/>
      <c r="X42" s="710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</row>
    <row r="43" spans="1:4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 s="268"/>
      <c r="AB43" s="268"/>
      <c r="AC43" s="268"/>
      <c r="AD43" s="268"/>
      <c r="AE43" s="268"/>
    </row>
    <row r="44" spans="1:45" ht="12" customHeight="1">
      <c r="A44" s="69" t="s">
        <v>514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10">
        <v>0.24</v>
      </c>
      <c r="W44" s="710"/>
      <c r="X44" s="710"/>
      <c r="AB44" s="268"/>
      <c r="AC44" s="268"/>
    </row>
    <row r="45" spans="1:45" ht="12" customHeight="1">
      <c r="AB45" s="268"/>
      <c r="AC45" s="268"/>
    </row>
    <row r="46" spans="1:4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39"/>
      <c r="AC46" s="268"/>
    </row>
    <row r="47" spans="1:4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268"/>
      <c r="AC47" s="268"/>
    </row>
    <row r="48" spans="1:4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B48" s="268"/>
      <c r="AC48" s="268"/>
    </row>
    <row r="49" spans="1:29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>
        <f>1.5*8</f>
        <v>12</v>
      </c>
      <c r="U49"/>
      <c r="V49"/>
      <c r="W49"/>
      <c r="X49"/>
      <c r="AB49" s="268"/>
      <c r="AC49" s="268"/>
    </row>
    <row r="50" spans="1:29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>
        <f>T49*4.5</f>
        <v>54</v>
      </c>
      <c r="U50"/>
      <c r="V50"/>
      <c r="W50"/>
      <c r="X50"/>
      <c r="AB50" s="268"/>
      <c r="AC50" s="268"/>
    </row>
    <row r="51" spans="1:29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C51" s="136"/>
    </row>
    <row r="52" spans="1:29" ht="12" customHeight="1"/>
    <row r="53" spans="1:29" ht="12" customHeight="1"/>
    <row r="54" spans="1:29" ht="12" customHeight="1"/>
    <row r="55" spans="1:29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Z55" s="138"/>
    </row>
    <row r="56" spans="1:29" ht="12" customHeight="1">
      <c r="A56" s="47"/>
      <c r="B56" s="1"/>
      <c r="C56" s="1"/>
      <c r="D56" s="1"/>
      <c r="G56" s="65"/>
      <c r="H56" s="66"/>
      <c r="I56" s="67"/>
      <c r="K56" s="67"/>
      <c r="L56" s="64"/>
      <c r="M56" s="67"/>
      <c r="N56" s="67"/>
      <c r="O56" s="268"/>
      <c r="P56" s="268"/>
      <c r="Q56" s="268"/>
      <c r="R56" s="268"/>
      <c r="S56" s="268"/>
      <c r="T56" s="268"/>
      <c r="U56" s="268"/>
      <c r="V56" s="268"/>
      <c r="W56" s="268"/>
      <c r="X56" s="268"/>
    </row>
    <row r="57" spans="1:29" ht="12" customHeight="1">
      <c r="A57" s="63" t="s">
        <v>37</v>
      </c>
      <c r="B57" s="63"/>
      <c r="D57" s="63"/>
      <c r="F57" s="688" t="str">
        <f>IF(V38&gt;V44,"Die mittlere Zuluft-Austrittsgeschwindigkeit wird erreicht.","Die mittlere Zuluft-Austrittsgeschwindigkeit wird nicht erreicht.")</f>
        <v>Die mittlere Zuluft-Austrittsgeschwindigkeit wird erreicht.</v>
      </c>
      <c r="G57" s="688"/>
      <c r="H57" s="688"/>
      <c r="I57" s="688"/>
      <c r="J57" s="688"/>
      <c r="K57" s="688"/>
      <c r="L57" s="688"/>
      <c r="M57" s="688"/>
      <c r="N57" s="688"/>
      <c r="O57" s="688"/>
      <c r="P57" s="688"/>
      <c r="Q57" s="688"/>
      <c r="R57" s="688"/>
      <c r="S57" s="688"/>
      <c r="T57" s="63"/>
    </row>
    <row r="58" spans="1:29" ht="12" customHeight="1">
      <c r="A58" s="69" t="s">
        <v>38</v>
      </c>
      <c r="B58" s="69"/>
      <c r="C58" s="69"/>
      <c r="D58" s="69"/>
      <c r="E58" s="69"/>
      <c r="F58" s="69" t="str">
        <f>IF(V38&gt;V44,"Die Zuluft-Austrittsgeschwindigkeiten entsprechen den Anforderungen.","Die Zuluft-Austrittsgeschwindigkeiten entsprechen den Anforderungen nicht.")</f>
        <v>Die Zuluft-Austrittsgeschwindigkeiten entsprechen den Anforderungen.</v>
      </c>
      <c r="G58" s="69"/>
      <c r="H58" s="69"/>
      <c r="I58" s="69"/>
      <c r="J58" s="69"/>
      <c r="K58" s="69"/>
      <c r="L58" s="69"/>
      <c r="M58" s="69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106"/>
      <c r="V67" s="106"/>
      <c r="W67" s="106"/>
      <c r="X67" s="106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>
      <c r="U92" s="40"/>
      <c r="V92" s="40"/>
      <c r="W92" s="40"/>
      <c r="X92" s="40"/>
    </row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</sheetData>
  <mergeCells count="276">
    <mergeCell ref="A38:D39"/>
    <mergeCell ref="E38:F39"/>
    <mergeCell ref="G38:R39"/>
    <mergeCell ref="V38:X39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C35:C36"/>
    <mergeCell ref="D35:D36"/>
    <mergeCell ref="E35:E36"/>
    <mergeCell ref="A15:B36"/>
    <mergeCell ref="C15:C16"/>
    <mergeCell ref="D15:D16"/>
    <mergeCell ref="E15:E16"/>
    <mergeCell ref="F15:F16"/>
    <mergeCell ref="V42:X42"/>
    <mergeCell ref="V44:X44"/>
    <mergeCell ref="F57:S57"/>
    <mergeCell ref="T35:T36"/>
    <mergeCell ref="U35:U36"/>
    <mergeCell ref="V35:V36"/>
    <mergeCell ref="W35:W36"/>
    <mergeCell ref="X35:X36"/>
    <mergeCell ref="F35:F36"/>
    <mergeCell ref="G35:G36"/>
    <mergeCell ref="T33:T34"/>
    <mergeCell ref="U33:U34"/>
    <mergeCell ref="V33:V34"/>
    <mergeCell ref="W33:W34"/>
    <mergeCell ref="X33:X34"/>
    <mergeCell ref="R33:R34"/>
    <mergeCell ref="S33:S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C33:C34"/>
    <mergeCell ref="D33:D34"/>
    <mergeCell ref="E33:E34"/>
    <mergeCell ref="F33:F34"/>
    <mergeCell ref="G33:G34"/>
    <mergeCell ref="N31:N32"/>
    <mergeCell ref="O31:O32"/>
    <mergeCell ref="P31:P32"/>
    <mergeCell ref="Q31:Q32"/>
    <mergeCell ref="H31:H32"/>
    <mergeCell ref="I31:I32"/>
    <mergeCell ref="J31:J32"/>
    <mergeCell ref="K31:K32"/>
    <mergeCell ref="L31:L32"/>
    <mergeCell ref="C31:C32"/>
    <mergeCell ref="D31:D32"/>
    <mergeCell ref="E31:E32"/>
    <mergeCell ref="F31:F32"/>
    <mergeCell ref="G31:G32"/>
    <mergeCell ref="M31:M32"/>
    <mergeCell ref="V29:V30"/>
    <mergeCell ref="W29:W30"/>
    <mergeCell ref="X29:X30"/>
    <mergeCell ref="R29:R30"/>
    <mergeCell ref="S29:S30"/>
    <mergeCell ref="T31:T32"/>
    <mergeCell ref="U31:U32"/>
    <mergeCell ref="V31:V32"/>
    <mergeCell ref="W31:W32"/>
    <mergeCell ref="X31:X32"/>
    <mergeCell ref="R31:R32"/>
    <mergeCell ref="S31:S32"/>
    <mergeCell ref="T29:T30"/>
    <mergeCell ref="U29:U30"/>
    <mergeCell ref="S27:S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W25:W26"/>
    <mergeCell ref="X25:X26"/>
    <mergeCell ref="C27:C28"/>
    <mergeCell ref="D27:D28"/>
    <mergeCell ref="E27:E28"/>
    <mergeCell ref="F27:F28"/>
    <mergeCell ref="G27:G28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T27:T28"/>
    <mergeCell ref="U27:U28"/>
    <mergeCell ref="V27:V28"/>
    <mergeCell ref="W27:W28"/>
    <mergeCell ref="X27:X28"/>
    <mergeCell ref="U23:U24"/>
    <mergeCell ref="V23:V24"/>
    <mergeCell ref="W23:W24"/>
    <mergeCell ref="X23:X24"/>
    <mergeCell ref="C25:C26"/>
    <mergeCell ref="D25:D26"/>
    <mergeCell ref="E25:E26"/>
    <mergeCell ref="F25:F26"/>
    <mergeCell ref="G25:G26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T25:T26"/>
    <mergeCell ref="U25:U26"/>
    <mergeCell ref="V25:V26"/>
    <mergeCell ref="R21:R22"/>
    <mergeCell ref="S21:S22"/>
    <mergeCell ref="H21:H22"/>
    <mergeCell ref="I21:I22"/>
    <mergeCell ref="J21:J22"/>
    <mergeCell ref="K21:K22"/>
    <mergeCell ref="L21:L22"/>
    <mergeCell ref="M21:M22"/>
    <mergeCell ref="T23:T24"/>
    <mergeCell ref="X19:X20"/>
    <mergeCell ref="C21:C22"/>
    <mergeCell ref="D21:D22"/>
    <mergeCell ref="E21:E22"/>
    <mergeCell ref="F21:F22"/>
    <mergeCell ref="G21:G22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T21:T22"/>
    <mergeCell ref="U21:U22"/>
    <mergeCell ref="V21:V22"/>
    <mergeCell ref="W21:W22"/>
    <mergeCell ref="X21:X22"/>
    <mergeCell ref="N21:N22"/>
    <mergeCell ref="V17:V18"/>
    <mergeCell ref="W17:W18"/>
    <mergeCell ref="X17:X18"/>
    <mergeCell ref="C19:C20"/>
    <mergeCell ref="D19:D20"/>
    <mergeCell ref="E19:E20"/>
    <mergeCell ref="F19:F20"/>
    <mergeCell ref="G19:G20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T19:T20"/>
    <mergeCell ref="U19:U20"/>
    <mergeCell ref="V19:V20"/>
    <mergeCell ref="W19:W20"/>
    <mergeCell ref="T15:T16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T17:T18"/>
    <mergeCell ref="U17:U18"/>
    <mergeCell ref="G15:G16"/>
    <mergeCell ref="O11:O14"/>
    <mergeCell ref="P11:P13"/>
    <mergeCell ref="Q11:Q14"/>
    <mergeCell ref="I11:I14"/>
    <mergeCell ref="J11:J13"/>
    <mergeCell ref="K11:K14"/>
    <mergeCell ref="L11:L13"/>
    <mergeCell ref="M11:M14"/>
    <mergeCell ref="N11:N13"/>
    <mergeCell ref="C23:C24"/>
    <mergeCell ref="D23:D24"/>
    <mergeCell ref="E23:E24"/>
    <mergeCell ref="F23:F24"/>
    <mergeCell ref="G23:G24"/>
    <mergeCell ref="O21:O22"/>
    <mergeCell ref="P21:P22"/>
    <mergeCell ref="Q21:Q22"/>
    <mergeCell ref="C29:C30"/>
    <mergeCell ref="D29:D30"/>
    <mergeCell ref="E29:E30"/>
    <mergeCell ref="F29:F30"/>
    <mergeCell ref="G29:G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M29:M30"/>
    <mergeCell ref="R5:W5"/>
    <mergeCell ref="R7:W7"/>
    <mergeCell ref="A9:X10"/>
    <mergeCell ref="A11:B14"/>
    <mergeCell ref="C11:C14"/>
    <mergeCell ref="D11:D13"/>
    <mergeCell ref="E11:E14"/>
    <mergeCell ref="F11:F13"/>
    <mergeCell ref="G11:G14"/>
    <mergeCell ref="H11:H13"/>
    <mergeCell ref="U11:U14"/>
    <mergeCell ref="V11:V13"/>
    <mergeCell ref="W11:W14"/>
    <mergeCell ref="X11:X13"/>
    <mergeCell ref="R11:R13"/>
    <mergeCell ref="S11:S14"/>
    <mergeCell ref="T11:T13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66D2-86CB-40E7-9B14-08BF567772B9}">
  <sheetPr codeName="Tabelle11">
    <tabColor theme="5" tint="0.79998168889431442"/>
    <pageSetUpPr fitToPage="1"/>
  </sheetPr>
  <dimension ref="A1:BC179"/>
  <sheetViews>
    <sheetView view="pageLayout" zoomScale="82" zoomScaleNormal="118" zoomScaleSheetLayoutView="98" zoomScalePageLayoutView="82" workbookViewId="0">
      <selection activeCell="A11" sqref="A11:L1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Seitenregister!X20</f>
        <v>16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Eingabe_!I8</f>
        <v>07.05.2022</v>
      </c>
      <c r="S5" s="603"/>
      <c r="T5" s="603"/>
      <c r="U5" s="603"/>
      <c r="V5" s="603"/>
      <c r="W5" s="603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36" t="str">
        <f>Eingabe_!$G$16</f>
        <v>OP 1</v>
      </c>
      <c r="S7" s="736"/>
      <c r="T7" s="736"/>
      <c r="U7" s="736"/>
      <c r="V7" s="736"/>
      <c r="W7" s="736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37" t="s">
        <v>193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34" t="s">
        <v>108</v>
      </c>
      <c r="B11" s="734"/>
      <c r="C11" s="734"/>
      <c r="D11" s="734"/>
      <c r="E11" s="593" t="s">
        <v>109</v>
      </c>
      <c r="F11" s="593"/>
      <c r="G11" s="593"/>
      <c r="H11" s="593"/>
      <c r="I11" s="593" t="s">
        <v>187</v>
      </c>
      <c r="J11" s="593"/>
      <c r="K11" s="593"/>
      <c r="L11" s="593"/>
      <c r="M11" s="729" t="s">
        <v>112</v>
      </c>
      <c r="N11" s="729"/>
      <c r="O11" s="729"/>
      <c r="P11" s="729"/>
      <c r="Q11" s="455" t="s">
        <v>113</v>
      </c>
      <c r="R11" s="456"/>
      <c r="S11" s="456"/>
      <c r="T11" s="457"/>
      <c r="U11" s="455" t="s">
        <v>214</v>
      </c>
      <c r="V11" s="456"/>
      <c r="W11" s="456"/>
      <c r="X11" s="457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35"/>
      <c r="B12" s="735"/>
      <c r="C12" s="735"/>
      <c r="D12" s="735"/>
      <c r="E12" s="486"/>
      <c r="F12" s="486"/>
      <c r="G12" s="486"/>
      <c r="H12" s="486"/>
      <c r="I12" s="486"/>
      <c r="J12" s="486"/>
      <c r="K12" s="486"/>
      <c r="L12" s="486"/>
      <c r="M12" s="729"/>
      <c r="N12" s="729"/>
      <c r="O12" s="729"/>
      <c r="P12" s="729"/>
      <c r="Q12" s="458"/>
      <c r="R12" s="459"/>
      <c r="S12" s="459"/>
      <c r="T12" s="460"/>
      <c r="U12" s="458"/>
      <c r="V12" s="459"/>
      <c r="W12" s="459"/>
      <c r="X12" s="460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1.9" customHeight="1">
      <c r="A13" s="735"/>
      <c r="B13" s="735"/>
      <c r="C13" s="735"/>
      <c r="D13" s="735"/>
      <c r="E13" s="486"/>
      <c r="F13" s="486"/>
      <c r="G13" s="486"/>
      <c r="H13" s="486"/>
      <c r="I13" s="486"/>
      <c r="J13" s="486"/>
      <c r="K13" s="486"/>
      <c r="L13" s="486"/>
      <c r="M13" s="593" t="s">
        <v>111</v>
      </c>
      <c r="N13" s="730"/>
      <c r="O13" s="730"/>
      <c r="P13" s="730"/>
      <c r="Q13" s="731"/>
      <c r="R13" s="732"/>
      <c r="S13" s="732"/>
      <c r="T13" s="733"/>
      <c r="U13" s="731"/>
      <c r="V13" s="732"/>
      <c r="W13" s="732"/>
      <c r="X13" s="733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BA13" s="10"/>
      <c r="BB13" s="10"/>
      <c r="BC13" s="10"/>
    </row>
    <row r="14" spans="1:55" ht="11.9" customHeight="1">
      <c r="A14" s="521" t="str">
        <f>Eingabe_!$O$44</f>
        <v>S 02</v>
      </c>
      <c r="B14" s="521"/>
      <c r="C14" s="521"/>
      <c r="D14" s="521"/>
      <c r="E14" s="455" t="str">
        <f>Eingabe_!$B$7</f>
        <v>OP 1</v>
      </c>
      <c r="F14" s="456"/>
      <c r="G14" s="456"/>
      <c r="H14" s="457"/>
      <c r="I14" s="455" t="str">
        <f>Eingabe_!$R$52</f>
        <v>Flow-Zone 1</v>
      </c>
      <c r="J14" s="456"/>
      <c r="K14" s="456"/>
      <c r="L14" s="457"/>
      <c r="M14" s="720" t="str">
        <f>Eingabe_!P44</f>
        <v>n.a.</v>
      </c>
      <c r="N14" s="721"/>
      <c r="O14" s="721"/>
      <c r="P14" s="722"/>
      <c r="Q14" s="538" t="str">
        <f>Eingabe_!$S$44</f>
        <v>Unterdruck</v>
      </c>
      <c r="R14" s="538"/>
      <c r="S14" s="538"/>
      <c r="T14" s="538"/>
      <c r="U14" s="582" t="str">
        <f>Eingabe_!T44</f>
        <v>Unterdruck</v>
      </c>
      <c r="V14" s="583"/>
      <c r="W14" s="583"/>
      <c r="X14" s="719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521"/>
      <c r="B15" s="521"/>
      <c r="C15" s="521"/>
      <c r="D15" s="521"/>
      <c r="E15" s="726" t="str">
        <f>INDEX(Eingabe_!$AE$2:$AE$100,MATCH(E14,Eingabe_!$AD$2:$AD$100,0))</f>
        <v>RNr. 01.04.00.158</v>
      </c>
      <c r="F15" s="727"/>
      <c r="G15" s="727"/>
      <c r="H15" s="728"/>
      <c r="I15" s="534" t="str">
        <f>INDEX(Eingabe_!$AE$2:$AE$100,MATCH(I14,Eingabe_!$AD$2:$AD$41,100))</f>
        <v>RNr. 01.04.00.102</v>
      </c>
      <c r="J15" s="535"/>
      <c r="K15" s="535"/>
      <c r="L15" s="536"/>
      <c r="M15" s="723"/>
      <c r="N15" s="724"/>
      <c r="O15" s="724"/>
      <c r="P15" s="725"/>
      <c r="Q15" s="538"/>
      <c r="R15" s="538"/>
      <c r="S15" s="538"/>
      <c r="T15" s="538"/>
      <c r="U15" s="461"/>
      <c r="V15" s="462"/>
      <c r="W15" s="462"/>
      <c r="X15" s="463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521" t="str">
        <f>IF(Eingabe_!$O$45=0,"-",Eingabe_!$O$45)</f>
        <v>S 03</v>
      </c>
      <c r="B16" s="521"/>
      <c r="C16" s="521"/>
      <c r="D16" s="521"/>
      <c r="E16" s="455" t="str">
        <f>IF(A16="-","-",Eingabe_!$B$7)</f>
        <v>OP 1</v>
      </c>
      <c r="F16" s="456"/>
      <c r="G16" s="456"/>
      <c r="H16" s="457"/>
      <c r="I16" s="455" t="str">
        <f>Eingabe_!$R$53</f>
        <v>Korridor</v>
      </c>
      <c r="J16" s="456"/>
      <c r="K16" s="456"/>
      <c r="L16" s="457"/>
      <c r="M16" s="720" t="str">
        <f>Eingabe_!P45</f>
        <v>n.a.</v>
      </c>
      <c r="N16" s="721"/>
      <c r="O16" s="721"/>
      <c r="P16" s="722"/>
      <c r="Q16" s="538" t="str">
        <f>IF(I16="-","-",Eingabe_!$S$45)</f>
        <v>Überdruck</v>
      </c>
      <c r="R16" s="538"/>
      <c r="S16" s="538"/>
      <c r="T16" s="538"/>
      <c r="U16" s="582" t="str">
        <f>IF(I16="-","-",Eingabe_!$T$53)</f>
        <v>Überdruck</v>
      </c>
      <c r="V16" s="583"/>
      <c r="W16" s="583"/>
      <c r="X16" s="719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521"/>
      <c r="B17" s="521"/>
      <c r="C17" s="521"/>
      <c r="D17" s="521"/>
      <c r="E17" s="534" t="str">
        <f>IFERROR((INDEX(Eingabe_!$AE$2:$AE$100,MATCH(E16,Eingabe_!$AD$2:$AD$100,0))),"-")</f>
        <v>RNr. 01.04.00.158</v>
      </c>
      <c r="F17" s="535"/>
      <c r="G17" s="535"/>
      <c r="H17" s="536"/>
      <c r="I17" s="534" t="str">
        <f>IFERROR((INDEX(Eingabe_!$AE$2:$AE$100,MATCH(I16,Eingabe_!$AD$2:$AD$100,0))),"-")</f>
        <v>RNr. 01.04.00.801</v>
      </c>
      <c r="J17" s="535"/>
      <c r="K17" s="535"/>
      <c r="L17" s="536"/>
      <c r="M17" s="723"/>
      <c r="N17" s="724"/>
      <c r="O17" s="724"/>
      <c r="P17" s="725"/>
      <c r="Q17" s="538"/>
      <c r="R17" s="538"/>
      <c r="S17" s="538"/>
      <c r="T17" s="538"/>
      <c r="U17" s="461"/>
      <c r="V17" s="462"/>
      <c r="W17" s="462"/>
      <c r="X17" s="463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521" t="str">
        <f>IF(Eingabe_!$O$46=0,"-",Eingabe_!$O$46)</f>
        <v>S 42</v>
      </c>
      <c r="B18" s="521"/>
      <c r="C18" s="521"/>
      <c r="D18" s="521"/>
      <c r="E18" s="455" t="str">
        <f>IF(A18="-","-",Eingabe_!$B$7)</f>
        <v>OP 1</v>
      </c>
      <c r="F18" s="456"/>
      <c r="G18" s="456"/>
      <c r="H18" s="457"/>
      <c r="I18" s="455" t="str">
        <f>Eingabe_!$R$54</f>
        <v>Ausguss</v>
      </c>
      <c r="J18" s="456"/>
      <c r="K18" s="456"/>
      <c r="L18" s="457"/>
      <c r="M18" s="720" t="str">
        <f>Eingabe_!P46</f>
        <v>n.a.</v>
      </c>
      <c r="N18" s="721"/>
      <c r="O18" s="721"/>
      <c r="P18" s="722"/>
      <c r="Q18" s="538" t="str">
        <f>IF(I18="-","-",Eingabe_!$T$46)</f>
        <v>Überdruck</v>
      </c>
      <c r="R18" s="538"/>
      <c r="S18" s="538"/>
      <c r="T18" s="538"/>
      <c r="U18" s="582" t="str">
        <f>IF(I18="-","-",Eingabe_!$T$54)</f>
        <v>Überdruck</v>
      </c>
      <c r="V18" s="583"/>
      <c r="W18" s="583"/>
      <c r="X18" s="719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521"/>
      <c r="B19" s="521"/>
      <c r="C19" s="521"/>
      <c r="D19" s="521"/>
      <c r="E19" s="534" t="str">
        <f>IFERROR((INDEX(Eingabe_!$AE$2:$AE$100,MATCH(E18,Eingabe_!$AD$2:$AD$100,0))),"-")</f>
        <v>RNr. 01.04.00.158</v>
      </c>
      <c r="F19" s="535"/>
      <c r="G19" s="535"/>
      <c r="H19" s="536"/>
      <c r="I19" s="534" t="s">
        <v>397</v>
      </c>
      <c r="J19" s="535"/>
      <c r="K19" s="535"/>
      <c r="L19" s="536"/>
      <c r="M19" s="723"/>
      <c r="N19" s="724"/>
      <c r="O19" s="724"/>
      <c r="P19" s="725"/>
      <c r="Q19" s="538"/>
      <c r="R19" s="538"/>
      <c r="S19" s="538"/>
      <c r="T19" s="538"/>
      <c r="U19" s="461"/>
      <c r="V19" s="462"/>
      <c r="W19" s="462"/>
      <c r="X19" s="463"/>
      <c r="Y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IF((OR(U14&lt;&gt;Q14,U18&lt;&gt;Q18,Q16&lt;&gt;U16)),"Die geforderten Überstromrichtungen werden nicht eingehalten.","Die geforderten Überstromrichtungen werden eingehalten.")</f>
        <v>Die geforderten Überstromrichtungen werden eingehalten.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2" customHeight="1">
      <c r="A24" s="266" t="s">
        <v>194</v>
      </c>
      <c r="U24" s="381"/>
      <c r="V24" s="381"/>
      <c r="W24" s="381"/>
      <c r="X24" s="381"/>
    </row>
    <row r="25" spans="1:55" ht="12" customHeight="1">
      <c r="A25" s="382" t="s">
        <v>617</v>
      </c>
      <c r="B25" s="1"/>
      <c r="C25" s="1"/>
      <c r="D25" s="1"/>
      <c r="G25" s="65"/>
      <c r="H25" s="66"/>
      <c r="I25" s="67"/>
      <c r="K25" s="67"/>
      <c r="M25" s="67"/>
      <c r="N25" s="67"/>
      <c r="O25" s="381"/>
      <c r="P25" s="381"/>
      <c r="Q25" s="381"/>
      <c r="R25" s="381"/>
      <c r="S25" s="381"/>
      <c r="T25" s="381"/>
      <c r="U25" s="381"/>
      <c r="V25" s="381"/>
      <c r="W25" s="381"/>
      <c r="X25" s="381"/>
    </row>
    <row r="26" spans="1:55" ht="12" customHeight="1">
      <c r="A26" s="266"/>
    </row>
    <row r="27" spans="1:55" ht="12" customHeight="1">
      <c r="B27" s="69"/>
      <c r="C27" s="69"/>
      <c r="D27" s="69"/>
      <c r="E27" s="69"/>
      <c r="G27" s="69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106"/>
      <c r="V27" s="106"/>
      <c r="W27" s="106"/>
      <c r="X27" s="106"/>
    </row>
    <row r="28" spans="1:55" ht="12" customHeight="1">
      <c r="A28" s="2" t="s">
        <v>685</v>
      </c>
      <c r="B28" s="381"/>
      <c r="C28" s="381"/>
      <c r="D28" s="381"/>
      <c r="E28" s="381"/>
      <c r="F28" s="2" t="s">
        <v>688</v>
      </c>
      <c r="G28" s="381"/>
      <c r="H28" s="381"/>
      <c r="I28" s="381"/>
      <c r="K28" s="381"/>
      <c r="L28" s="381"/>
      <c r="N28" s="381"/>
      <c r="P28" s="381"/>
      <c r="Q28" s="381"/>
      <c r="R28" s="1"/>
      <c r="T28" s="381"/>
      <c r="U28" s="106"/>
      <c r="V28" s="106"/>
      <c r="W28" s="106"/>
      <c r="X28" s="106"/>
    </row>
    <row r="29" spans="1:55" ht="12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6"/>
      <c r="V29" s="106"/>
      <c r="W29" s="106"/>
      <c r="X29" s="106"/>
    </row>
    <row r="30" spans="1:55" ht="12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6"/>
      <c r="V30" s="106"/>
      <c r="W30" s="106"/>
      <c r="X30" s="106"/>
    </row>
    <row r="31" spans="1:55" ht="12" customHeight="1">
      <c r="A31" s="69" t="s">
        <v>38</v>
      </c>
      <c r="B31" s="10"/>
      <c r="C31" s="10"/>
      <c r="D31" s="10"/>
      <c r="E31" s="10"/>
      <c r="F31" s="69" t="str">
        <f>IF((OR(U14&lt;&gt;Q14,U18&lt;&gt;Q18,Q16&lt;&gt;U16)),"Die Überstromrichtungen entsprechen den Anforderungen nicht.","Die Überstromrichtungen entsprechen den Anforderungen.")</f>
        <v>Die Überstromrichtungen entsprechen den Anforderungen.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106"/>
      <c r="X31" s="106"/>
    </row>
    <row r="32" spans="1:55" ht="12" customHeight="1">
      <c r="A32" s="10"/>
      <c r="B32" s="10"/>
      <c r="C32" s="10"/>
      <c r="D32" s="10"/>
      <c r="E32" s="10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106"/>
      <c r="X32" s="106"/>
    </row>
    <row r="33" spans="1:24" ht="12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6"/>
      <c r="V33" s="106"/>
      <c r="W33" s="106"/>
      <c r="X33" s="106"/>
    </row>
    <row r="34" spans="1:24" ht="12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6"/>
      <c r="V34" s="106"/>
      <c r="W34" s="106"/>
      <c r="X34" s="106"/>
    </row>
    <row r="35" spans="1:24" ht="12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6"/>
      <c r="V35" s="106"/>
      <c r="W35" s="106"/>
      <c r="X35" s="106"/>
    </row>
    <row r="36" spans="1:24" ht="6" customHeight="1">
      <c r="U36" s="40"/>
      <c r="V36" s="40"/>
      <c r="W36" s="40"/>
      <c r="X36" s="40"/>
    </row>
    <row r="37" spans="1:24" ht="6" customHeight="1">
      <c r="U37" s="40"/>
      <c r="V37" s="40"/>
      <c r="W37" s="40"/>
      <c r="X37" s="40"/>
    </row>
    <row r="38" spans="1:24" ht="6" customHeight="1">
      <c r="U38" s="40"/>
      <c r="V38" s="40"/>
      <c r="W38" s="40"/>
      <c r="X38" s="40"/>
    </row>
    <row r="39" spans="1:24" ht="6" customHeight="1">
      <c r="U39" s="40"/>
      <c r="V39" s="40"/>
      <c r="W39" s="40"/>
      <c r="X39" s="40"/>
    </row>
    <row r="40" spans="1:24" ht="6" customHeight="1">
      <c r="U40" s="40"/>
      <c r="V40" s="40"/>
      <c r="W40" s="40"/>
      <c r="X40" s="40"/>
    </row>
    <row r="41" spans="1:24" ht="6" customHeight="1">
      <c r="U41" s="40"/>
      <c r="V41" s="40"/>
      <c r="W41" s="40"/>
      <c r="X41" s="40"/>
    </row>
    <row r="42" spans="1:24" ht="6" customHeight="1">
      <c r="U42" s="40"/>
      <c r="V42" s="40"/>
      <c r="W42" s="40"/>
      <c r="X42" s="40"/>
    </row>
    <row r="43" spans="1:24" ht="6" customHeight="1">
      <c r="U43" s="40"/>
      <c r="V43" s="40"/>
      <c r="W43" s="40"/>
      <c r="X43" s="40"/>
    </row>
    <row r="44" spans="1:24" ht="6" customHeight="1">
      <c r="U44" s="40"/>
      <c r="V44" s="40"/>
      <c r="W44" s="40"/>
      <c r="X44" s="40"/>
    </row>
    <row r="45" spans="1:24" ht="6" customHeight="1">
      <c r="U45" s="40"/>
      <c r="V45" s="40"/>
      <c r="W45" s="40"/>
      <c r="X45" s="40"/>
    </row>
    <row r="46" spans="1:24" ht="6" customHeight="1">
      <c r="U46" s="40"/>
      <c r="V46" s="40"/>
      <c r="W46" s="40"/>
      <c r="X46" s="40"/>
    </row>
    <row r="47" spans="1:24" ht="6" customHeight="1">
      <c r="U47" s="40"/>
      <c r="V47" s="40"/>
      <c r="W47" s="40"/>
      <c r="X47" s="40"/>
    </row>
    <row r="48" spans="1:24" ht="6" customHeight="1">
      <c r="U48" s="40"/>
      <c r="V48" s="40"/>
      <c r="W48" s="40"/>
      <c r="X48" s="40"/>
    </row>
    <row r="49" spans="21:24" ht="6" customHeight="1">
      <c r="U49" s="40"/>
      <c r="V49" s="40"/>
      <c r="W49" s="40"/>
      <c r="X49" s="40"/>
    </row>
    <row r="50" spans="21:24" ht="6" customHeight="1">
      <c r="U50" s="40"/>
      <c r="V50" s="40"/>
      <c r="W50" s="40"/>
      <c r="X50" s="40"/>
    </row>
    <row r="51" spans="21:24" ht="6" customHeight="1">
      <c r="U51" s="40"/>
      <c r="V51" s="40"/>
      <c r="W51" s="40"/>
      <c r="X51" s="40"/>
    </row>
    <row r="52" spans="21:24" ht="6" customHeight="1">
      <c r="U52" s="40"/>
      <c r="V52" s="40"/>
      <c r="W52" s="40"/>
      <c r="X52" s="40"/>
    </row>
    <row r="53" spans="21:24" ht="6" customHeight="1">
      <c r="U53" s="40"/>
      <c r="V53" s="40"/>
      <c r="W53" s="40"/>
      <c r="X53" s="40"/>
    </row>
    <row r="54" spans="21:24" ht="6" customHeight="1">
      <c r="U54" s="40"/>
      <c r="V54" s="40"/>
      <c r="W54" s="40"/>
      <c r="X54" s="40"/>
    </row>
    <row r="55" spans="21:24" ht="6" customHeight="1">
      <c r="U55" s="40"/>
      <c r="V55" s="40"/>
      <c r="W55" s="40"/>
      <c r="X55" s="40"/>
    </row>
    <row r="56" spans="21:24" ht="6" customHeight="1">
      <c r="U56" s="40"/>
      <c r="V56" s="40"/>
      <c r="W56" s="40"/>
      <c r="X56" s="40"/>
    </row>
    <row r="57" spans="21:24" ht="6" customHeight="1">
      <c r="U57" s="40"/>
      <c r="V57" s="40"/>
      <c r="W57" s="40"/>
      <c r="X57" s="40"/>
    </row>
    <row r="58" spans="21:24" ht="6" customHeight="1">
      <c r="U58" s="40"/>
      <c r="V58" s="40"/>
      <c r="W58" s="40"/>
      <c r="X58" s="40"/>
    </row>
    <row r="59" spans="21:24" ht="6" customHeight="1">
      <c r="U59" s="40"/>
      <c r="V59" s="40"/>
      <c r="W59" s="40"/>
      <c r="X59" s="40"/>
    </row>
    <row r="60" spans="21:24" ht="6" customHeight="1">
      <c r="U60" s="40"/>
      <c r="V60" s="40"/>
      <c r="W60" s="40"/>
      <c r="X60" s="40"/>
    </row>
    <row r="61" spans="21:24" ht="6" customHeight="1"/>
    <row r="62" spans="21:24" ht="6" customHeight="1"/>
    <row r="63" spans="21:24" ht="6" customHeight="1"/>
    <row r="64" spans="21:2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</sheetData>
  <mergeCells count="34">
    <mergeCell ref="A14:D15"/>
    <mergeCell ref="A18:D19"/>
    <mergeCell ref="R5:W5"/>
    <mergeCell ref="A9:X10"/>
    <mergeCell ref="M11:P12"/>
    <mergeCell ref="M13:P13"/>
    <mergeCell ref="U11:X13"/>
    <mergeCell ref="Q11:T13"/>
    <mergeCell ref="A11:D13"/>
    <mergeCell ref="E11:H13"/>
    <mergeCell ref="I11:L13"/>
    <mergeCell ref="R7:W7"/>
    <mergeCell ref="A16:D17"/>
    <mergeCell ref="E16:H16"/>
    <mergeCell ref="I16:L16"/>
    <mergeCell ref="M16:P17"/>
    <mergeCell ref="Q14:T15"/>
    <mergeCell ref="U14:X15"/>
    <mergeCell ref="M14:P15"/>
    <mergeCell ref="E14:H14"/>
    <mergeCell ref="E15:H15"/>
    <mergeCell ref="I14:L14"/>
    <mergeCell ref="I15:L15"/>
    <mergeCell ref="Q16:T17"/>
    <mergeCell ref="U16:X17"/>
    <mergeCell ref="E17:H17"/>
    <mergeCell ref="I17:L17"/>
    <mergeCell ref="I19:L19"/>
    <mergeCell ref="Q18:T19"/>
    <mergeCell ref="M18:P19"/>
    <mergeCell ref="U18:X19"/>
    <mergeCell ref="E19:H19"/>
    <mergeCell ref="I18:L18"/>
    <mergeCell ref="E18:H18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A7F-F8F0-462F-83CE-94B1EEEAC0DD}">
  <sheetPr>
    <tabColor theme="5" tint="0.79998168889431442"/>
    <pageSetUpPr fitToPage="1"/>
  </sheetPr>
  <dimension ref="A1:BC212"/>
  <sheetViews>
    <sheetView view="pageLayout" zoomScale="103" zoomScaleNormal="100" zoomScaleSheetLayoutView="163" zoomScalePageLayoutView="103" workbookViewId="0">
      <selection activeCell="K50" sqref="K50"/>
    </sheetView>
  </sheetViews>
  <sheetFormatPr baseColWidth="10" defaultColWidth="10.53515625" defaultRowHeight="11.6"/>
  <cols>
    <col min="1" max="53" width="3.53515625" style="2" customWidth="1"/>
    <col min="54" max="16384" width="10.53515625" style="2"/>
  </cols>
  <sheetData>
    <row r="1" spans="1:55" ht="20.25" customHeight="1">
      <c r="A1" s="4" t="s">
        <v>178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Seitenregister!X21</f>
        <v>17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Eingabe_!H8</f>
        <v>07.05.2022</v>
      </c>
      <c r="S5" s="603"/>
      <c r="T5" s="603"/>
      <c r="U5" s="603"/>
      <c r="V5" s="603"/>
      <c r="W5" s="603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04" t="str">
        <f>Eingabe_!$G$13</f>
        <v>OP 1</v>
      </c>
      <c r="S7" s="604"/>
      <c r="T7" s="604"/>
      <c r="U7" s="604"/>
      <c r="V7" s="604"/>
      <c r="W7" s="604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03" t="str">
        <f>E1</f>
        <v>Zuluft-Luftwechselrate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504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05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7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479" t="s">
        <v>185</v>
      </c>
      <c r="B11" s="480"/>
      <c r="C11" s="480"/>
      <c r="D11" s="48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300"/>
      <c r="U11" s="456" t="s">
        <v>343</v>
      </c>
      <c r="V11" s="456"/>
      <c r="W11" s="456"/>
      <c r="X11" s="457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2" customHeight="1">
      <c r="A12" s="482"/>
      <c r="B12" s="483"/>
      <c r="C12" s="483"/>
      <c r="D12" s="48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10"/>
      <c r="U12" s="459"/>
      <c r="V12" s="459"/>
      <c r="W12" s="459"/>
      <c r="X12" s="460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2" customHeight="1">
      <c r="A13" s="482"/>
      <c r="B13" s="483"/>
      <c r="C13" s="483"/>
      <c r="D13" s="48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10"/>
      <c r="U13" s="459"/>
      <c r="V13" s="459"/>
      <c r="W13" s="459"/>
      <c r="X13" s="460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515"/>
      <c r="B14" s="516"/>
      <c r="C14" s="516"/>
      <c r="D14" s="516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301"/>
      <c r="U14" s="462" t="s">
        <v>213</v>
      </c>
      <c r="V14" s="462"/>
      <c r="W14" s="462"/>
      <c r="X14" s="463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38" t="str">
        <f>E7</f>
        <v>OP 1   rooms/roomname</v>
      </c>
      <c r="B15" s="739"/>
      <c r="C15" s="739"/>
      <c r="D15" s="739"/>
      <c r="E15" s="740"/>
      <c r="F15" s="740"/>
      <c r="G15" s="740"/>
      <c r="H15" s="740"/>
      <c r="I15" s="740"/>
      <c r="J15" s="740"/>
      <c r="K15" s="740"/>
      <c r="L15" s="740"/>
      <c r="M15" s="740"/>
      <c r="N15" s="740"/>
      <c r="O15" s="740"/>
      <c r="P15" s="740"/>
      <c r="Q15" s="740"/>
      <c r="R15" s="740"/>
      <c r="S15" s="740"/>
      <c r="T15" s="741"/>
      <c r="U15" s="752">
        <f>'P Volumenströme'!T20</f>
        <v>5196.1010773310236</v>
      </c>
      <c r="V15" s="753"/>
      <c r="W15" s="753"/>
      <c r="X15" s="754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42"/>
      <c r="B16" s="468"/>
      <c r="C16" s="468"/>
      <c r="D16" s="468"/>
      <c r="E16" s="743"/>
      <c r="F16" s="743"/>
      <c r="G16" s="743"/>
      <c r="H16" s="743"/>
      <c r="I16" s="743"/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4"/>
      <c r="U16" s="755"/>
      <c r="V16" s="756"/>
      <c r="W16" s="756"/>
      <c r="X16" s="757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45"/>
      <c r="B17" s="746"/>
      <c r="C17" s="746"/>
      <c r="D17" s="746"/>
      <c r="E17" s="747"/>
      <c r="F17" s="747"/>
      <c r="G17" s="747"/>
      <c r="H17" s="747"/>
      <c r="I17" s="747"/>
      <c r="J17" s="747"/>
      <c r="K17" s="747"/>
      <c r="L17" s="747"/>
      <c r="M17" s="747"/>
      <c r="N17" s="747"/>
      <c r="O17" s="747"/>
      <c r="P17" s="747"/>
      <c r="Q17" s="747"/>
      <c r="R17" s="747"/>
      <c r="S17" s="747"/>
      <c r="T17" s="748"/>
      <c r="U17" s="758"/>
      <c r="V17" s="759"/>
      <c r="W17" s="759"/>
      <c r="X17" s="760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279"/>
      <c r="B18" s="279"/>
      <c r="C18" s="279"/>
      <c r="D18" s="279"/>
      <c r="E18" s="279"/>
      <c r="F18" s="279"/>
      <c r="G18" s="146"/>
      <c r="H18" s="146"/>
      <c r="I18" s="294"/>
      <c r="J18" s="294"/>
      <c r="K18" s="294"/>
      <c r="L18" s="294"/>
      <c r="M18" s="146"/>
      <c r="N18" s="146"/>
      <c r="O18" s="146"/>
      <c r="P18" s="146"/>
      <c r="Q18" s="146"/>
      <c r="R18" s="146"/>
      <c r="S18" s="146"/>
      <c r="T18" s="146"/>
      <c r="U18" s="279"/>
      <c r="V18" s="279"/>
      <c r="W18" s="279"/>
      <c r="X18" s="279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</row>
    <row r="19" spans="1:55" ht="11.9" customHeight="1">
      <c r="A19" s="677" t="s">
        <v>335</v>
      </c>
      <c r="B19" s="677"/>
      <c r="C19" s="677"/>
      <c r="D19" s="677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7"/>
      <c r="S19" s="677"/>
      <c r="T19" s="677"/>
      <c r="U19" s="761" t="str">
        <f>Eingabe_!E10</f>
        <v>rooms/area* rooms/hight</v>
      </c>
      <c r="V19" s="761"/>
      <c r="W19" s="762"/>
      <c r="X19" s="763" t="s">
        <v>336</v>
      </c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</row>
    <row r="20" spans="1:55" ht="12" customHeight="1">
      <c r="A20" s="677"/>
      <c r="B20" s="677"/>
      <c r="C20" s="677"/>
      <c r="D20" s="677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7"/>
      <c r="S20" s="677"/>
      <c r="T20" s="677"/>
      <c r="U20" s="761"/>
      <c r="V20" s="761"/>
      <c r="W20" s="762"/>
      <c r="X20" s="763"/>
      <c r="Y20" s="268"/>
      <c r="Z20" s="268"/>
      <c r="AA20" s="268"/>
      <c r="AB20" s="268"/>
      <c r="AC20" s="268"/>
      <c r="AD20" s="268"/>
      <c r="AE20" s="268"/>
    </row>
    <row r="21" spans="1:55" ht="12" customHeight="1">
      <c r="A21" s="503" t="s">
        <v>82</v>
      </c>
      <c r="B21" s="473"/>
      <c r="C21" s="473"/>
      <c r="D21" s="473"/>
      <c r="E21" s="473" t="str">
        <f>Eingabe_!$B$7</f>
        <v>OP 1</v>
      </c>
      <c r="F21" s="473"/>
      <c r="G21" s="673" t="s">
        <v>361</v>
      </c>
      <c r="H21" s="673"/>
      <c r="I21" s="673"/>
      <c r="J21" s="673"/>
      <c r="K21" s="673"/>
      <c r="L21" s="673"/>
      <c r="M21" s="673"/>
      <c r="N21" s="673"/>
      <c r="O21" s="712"/>
      <c r="P21" s="712"/>
      <c r="Q21" s="712"/>
      <c r="R21" s="712"/>
      <c r="S21" s="712"/>
      <c r="T21" s="750"/>
      <c r="U21" s="764" t="e">
        <f>INT(U15/U19)</f>
        <v>#VALUE!</v>
      </c>
      <c r="V21" s="764"/>
      <c r="W21" s="765"/>
      <c r="X21" s="737" t="s">
        <v>341</v>
      </c>
      <c r="AB21" s="268"/>
      <c r="AC21" s="268"/>
    </row>
    <row r="22" spans="1:55" ht="12" customHeight="1">
      <c r="A22" s="505"/>
      <c r="B22" s="506"/>
      <c r="C22" s="506"/>
      <c r="D22" s="506"/>
      <c r="E22" s="506"/>
      <c r="F22" s="506"/>
      <c r="G22" s="675"/>
      <c r="H22" s="675"/>
      <c r="I22" s="675"/>
      <c r="J22" s="675"/>
      <c r="K22" s="675"/>
      <c r="L22" s="675"/>
      <c r="M22" s="675"/>
      <c r="N22" s="675"/>
      <c r="O22" s="713"/>
      <c r="P22" s="713"/>
      <c r="Q22" s="713"/>
      <c r="R22" s="713"/>
      <c r="S22" s="713"/>
      <c r="T22" s="751"/>
      <c r="U22" s="764"/>
      <c r="V22" s="764"/>
      <c r="W22" s="765"/>
      <c r="X22" s="737"/>
      <c r="AB22" s="268"/>
      <c r="AC22" s="268"/>
    </row>
    <row r="23" spans="1:55" ht="12" customHeight="1">
      <c r="F23" s="106"/>
      <c r="G23" s="106"/>
      <c r="H23" s="106"/>
      <c r="I23" s="106"/>
      <c r="N23" s="295"/>
      <c r="O23" s="295"/>
      <c r="P23" s="295"/>
      <c r="Q23" s="295"/>
      <c r="R23" s="268"/>
      <c r="S23" s="268"/>
      <c r="T23" s="268"/>
      <c r="U23" s="1"/>
      <c r="V23" s="1"/>
      <c r="W23" s="1"/>
      <c r="X23" s="1"/>
      <c r="AB23" s="268"/>
      <c r="AC23" s="268"/>
    </row>
    <row r="24" spans="1:55" ht="12" customHeight="1">
      <c r="F24" s="106"/>
      <c r="G24" s="106"/>
      <c r="H24" s="106"/>
      <c r="I24" s="106"/>
      <c r="N24" s="295"/>
      <c r="O24" s="295"/>
      <c r="P24" s="295"/>
      <c r="Q24" s="295"/>
      <c r="R24" s="268"/>
      <c r="S24" s="268"/>
      <c r="T24" s="268"/>
      <c r="U24" s="1"/>
      <c r="V24" s="1"/>
      <c r="W24" s="1"/>
      <c r="X24" s="297"/>
      <c r="AB24" s="268"/>
      <c r="AC24" s="268"/>
    </row>
    <row r="25" spans="1:55" ht="12" customHeight="1">
      <c r="A25" s="69" t="s">
        <v>338</v>
      </c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296"/>
      <c r="T25" s="296"/>
      <c r="U25" s="749">
        <v>25</v>
      </c>
      <c r="V25" s="749"/>
      <c r="W25" s="749"/>
      <c r="X25" t="s">
        <v>341</v>
      </c>
      <c r="AB25" s="268"/>
      <c r="AC25" s="268"/>
    </row>
    <row r="26" spans="1:55" ht="12" customHeight="1"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1"/>
      <c r="V26" s="1"/>
      <c r="W26" s="1"/>
      <c r="X26" s="297"/>
      <c r="AB26" s="268"/>
      <c r="AC26" s="268"/>
    </row>
    <row r="27" spans="1:55" ht="12" customHeight="1"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1"/>
      <c r="V27" s="1"/>
      <c r="W27" s="1"/>
      <c r="X27"/>
      <c r="AB27" s="268"/>
      <c r="AC27" s="268"/>
    </row>
    <row r="28" spans="1:55" ht="12" customHeight="1">
      <c r="A28" s="302" t="s">
        <v>179</v>
      </c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1"/>
      <c r="V28" s="1"/>
      <c r="W28" s="1"/>
      <c r="X28" s="297"/>
      <c r="AB28" s="268"/>
      <c r="AC28" s="26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B29" s="268"/>
      <c r="AC29" s="268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B30" s="268"/>
      <c r="AC30" s="268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B31" s="268"/>
      <c r="AC31" s="268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B32" s="268"/>
      <c r="AC32" s="268"/>
    </row>
    <row r="33" spans="6:29" ht="12" customHeight="1"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1"/>
      <c r="V33" s="1"/>
      <c r="W33" s="1"/>
      <c r="X33" s="297"/>
      <c r="AB33" s="268"/>
      <c r="AC33" s="268"/>
    </row>
    <row r="34" spans="6:29" ht="12" customHeight="1"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1"/>
      <c r="V34" s="1"/>
      <c r="W34" s="1"/>
      <c r="X34" s="297"/>
      <c r="AB34" s="268"/>
      <c r="AC34" s="268"/>
    </row>
    <row r="35" spans="6:29" ht="12" customHeight="1"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1"/>
      <c r="V35" s="1"/>
      <c r="W35" s="1"/>
      <c r="X35" s="297"/>
      <c r="AB35" s="268"/>
      <c r="AC35" s="268"/>
    </row>
    <row r="36" spans="6:29" ht="12" customHeight="1"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1"/>
      <c r="V36" s="1"/>
      <c r="W36" s="1"/>
      <c r="X36" s="297"/>
      <c r="AB36" s="268"/>
      <c r="AC36" s="268"/>
    </row>
    <row r="37" spans="6:29" ht="12" customHeight="1"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1"/>
      <c r="V37" s="1"/>
      <c r="W37" s="1"/>
      <c r="X37" s="297"/>
      <c r="AB37" s="268"/>
      <c r="AC37" s="268"/>
    </row>
    <row r="38" spans="6:29" ht="12" customHeight="1"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1"/>
      <c r="V38" s="1"/>
      <c r="W38" s="1"/>
      <c r="X38" s="297"/>
      <c r="AB38" s="268"/>
      <c r="AC38" s="268"/>
    </row>
    <row r="39" spans="6:29" ht="12" customHeight="1"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1"/>
      <c r="V39" s="1"/>
      <c r="W39" s="1"/>
      <c r="X39" s="297"/>
      <c r="AB39" s="268"/>
      <c r="AC39" s="268"/>
    </row>
    <row r="40" spans="6:29" ht="12" customHeight="1"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1"/>
      <c r="V40" s="1"/>
      <c r="W40" s="1"/>
      <c r="X40" s="297"/>
      <c r="AB40" s="268"/>
      <c r="AC40" s="268"/>
    </row>
    <row r="41" spans="6:29" ht="12" customHeight="1"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1"/>
      <c r="V41" s="1"/>
      <c r="W41" s="1"/>
      <c r="X41" s="297"/>
      <c r="AB41" s="268"/>
      <c r="AC41" s="268"/>
    </row>
    <row r="42" spans="6:29" ht="12" customHeight="1"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1"/>
      <c r="V42" s="1"/>
      <c r="W42" s="1"/>
      <c r="X42" s="297"/>
      <c r="AB42" s="268"/>
      <c r="AC42" s="268"/>
    </row>
    <row r="43" spans="6:29" ht="12" customHeight="1"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1"/>
      <c r="V43" s="1"/>
      <c r="W43" s="1"/>
      <c r="X43" s="297"/>
      <c r="AB43" s="268"/>
      <c r="AC43" s="268"/>
    </row>
    <row r="44" spans="6:29" ht="12" customHeight="1"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1"/>
      <c r="V44" s="1"/>
      <c r="W44" s="1"/>
      <c r="X44" s="297"/>
      <c r="AB44" s="268"/>
      <c r="AC44" s="268"/>
    </row>
    <row r="45" spans="6:29" ht="12" customHeight="1"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1"/>
      <c r="V45" s="1"/>
      <c r="W45" s="1"/>
      <c r="X45" s="297"/>
      <c r="AB45" s="268"/>
      <c r="AC45" s="268"/>
    </row>
    <row r="46" spans="6:29" ht="12" customHeight="1"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1"/>
      <c r="V46" s="1"/>
      <c r="W46" s="1"/>
      <c r="X46" s="297"/>
      <c r="AB46" s="268"/>
      <c r="AC46" s="268"/>
    </row>
    <row r="47" spans="6:29" ht="12" customHeight="1"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1"/>
      <c r="V47" s="1"/>
      <c r="W47" s="1"/>
      <c r="X47" s="297"/>
      <c r="AB47" s="268"/>
      <c r="AC47" s="268"/>
    </row>
    <row r="48" spans="6:29" ht="12" customHeight="1"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1"/>
      <c r="V48" s="1"/>
      <c r="W48" s="1"/>
      <c r="X48" s="297"/>
      <c r="AB48" s="268"/>
      <c r="AC48" s="268"/>
    </row>
    <row r="49" spans="1:29" ht="12" customHeight="1"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1"/>
      <c r="V49" s="1"/>
      <c r="W49" s="1"/>
      <c r="X49" s="297"/>
      <c r="AB49" s="268"/>
      <c r="AC49" s="268"/>
    </row>
    <row r="50" spans="1:29" ht="12" customHeight="1"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1"/>
      <c r="V50" s="1"/>
      <c r="W50" s="1"/>
      <c r="X50" s="297"/>
      <c r="AB50" s="268"/>
      <c r="AC50" s="268"/>
    </row>
    <row r="51" spans="1:29" ht="12" customHeight="1"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1"/>
      <c r="V51" s="1"/>
      <c r="W51" s="1"/>
      <c r="X51" s="297"/>
      <c r="AB51" s="268"/>
      <c r="AC51" s="268"/>
    </row>
    <row r="52" spans="1:29" ht="12" customHeight="1"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1"/>
      <c r="V52" s="1"/>
      <c r="W52" s="1"/>
      <c r="X52" s="297"/>
      <c r="AB52" s="268"/>
      <c r="AC52" s="268"/>
    </row>
    <row r="53" spans="1:29" ht="12" customHeight="1"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106"/>
      <c r="V53" s="106"/>
      <c r="W53" s="106"/>
      <c r="X53" s="106"/>
    </row>
    <row r="54" spans="1:29" ht="12" customHeight="1"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106"/>
      <c r="V54" s="106"/>
      <c r="W54" s="106"/>
      <c r="X54" s="106"/>
    </row>
    <row r="55" spans="1:29" ht="12" customHeight="1">
      <c r="P55" s="268"/>
      <c r="Q55" s="268"/>
      <c r="R55" s="268"/>
      <c r="S55" s="268"/>
      <c r="T55" s="268"/>
      <c r="U55" s="106"/>
      <c r="V55" s="106"/>
      <c r="W55" s="106"/>
      <c r="X55" s="106"/>
    </row>
    <row r="56" spans="1:29" ht="12" customHeight="1">
      <c r="A56" s="298" t="s">
        <v>37</v>
      </c>
      <c r="B56" s="298"/>
      <c r="E56" s="688" t="e">
        <f>IF(U21&gt;=U25,"Die geforderte Luftwechselrate wird erreicht.","Die geforderte Luftwechselrate wird nicht erreicht.")</f>
        <v>#VALUE!</v>
      </c>
      <c r="F56" s="688"/>
      <c r="G56" s="688"/>
      <c r="H56" s="688"/>
      <c r="I56" s="688"/>
      <c r="J56" s="688"/>
      <c r="K56" s="688"/>
      <c r="L56" s="688"/>
      <c r="M56" s="688"/>
      <c r="N56" s="688"/>
      <c r="O56" s="688"/>
      <c r="P56" s="688"/>
      <c r="Q56" s="688"/>
      <c r="R56" s="688"/>
      <c r="S56" s="268"/>
      <c r="T56" s="268"/>
      <c r="U56" s="106"/>
      <c r="V56" s="106"/>
      <c r="W56" s="106"/>
      <c r="X56" s="106"/>
    </row>
    <row r="57" spans="1:29" ht="12" customHeight="1">
      <c r="A57" s="69" t="s">
        <v>38</v>
      </c>
      <c r="B57" s="69"/>
      <c r="C57" s="69"/>
      <c r="D57" s="69"/>
      <c r="E57" s="69" t="e">
        <f>IF(U25&gt;=U21,"Die Luftwechselrate entspricht den Anforderungen nicht.","Die Luftwechselrate entspricht den Anforderungen.")</f>
        <v>#VALUE!</v>
      </c>
      <c r="F57" s="69"/>
      <c r="G57" s="69"/>
      <c r="H57" s="69"/>
      <c r="I57" s="69"/>
      <c r="J57" s="69"/>
      <c r="K57" s="69"/>
      <c r="L57" s="69"/>
      <c r="S57" s="268"/>
      <c r="T57" s="268"/>
      <c r="U57" s="106"/>
      <c r="V57" s="106"/>
      <c r="W57" s="106"/>
      <c r="X57" s="106"/>
    </row>
    <row r="58" spans="1:29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106"/>
      <c r="V58" s="106"/>
      <c r="W58" s="106"/>
      <c r="X58" s="106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6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18">
    <mergeCell ref="R5:W5"/>
    <mergeCell ref="A9:X10"/>
    <mergeCell ref="U11:X13"/>
    <mergeCell ref="U14:X14"/>
    <mergeCell ref="R7:W7"/>
    <mergeCell ref="A11:D14"/>
    <mergeCell ref="X21:X22"/>
    <mergeCell ref="A15:T17"/>
    <mergeCell ref="E56:R56"/>
    <mergeCell ref="E21:F22"/>
    <mergeCell ref="U25:W25"/>
    <mergeCell ref="G21:T22"/>
    <mergeCell ref="U15:X17"/>
    <mergeCell ref="A21:D22"/>
    <mergeCell ref="A19:T20"/>
    <mergeCell ref="U19:W20"/>
    <mergeCell ref="X19:X20"/>
    <mergeCell ref="U21:W2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648-F70C-4F6A-9F4D-C8A3F4B171DB}">
  <sheetPr codeName="Tabelle7">
    <tabColor theme="6" tint="0.79998168889431442"/>
    <pageSetUpPr fitToPage="1"/>
  </sheetPr>
  <dimension ref="A1:BB63"/>
  <sheetViews>
    <sheetView tabSelected="1" view="pageLayout" topLeftCell="A12" zoomScale="103" zoomScaleNormal="97" zoomScaleSheetLayoutView="100" zoomScalePageLayoutView="103" workbookViewId="0">
      <selection activeCell="A39" sqref="A3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45" ht="20.2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" customHeight="1" thickTop="1">
      <c r="A4" s="10"/>
      <c r="B4" s="10"/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" customHeight="1">
      <c r="A5" s="10"/>
      <c r="B5" s="10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2" customHeight="1">
      <c r="A6" s="10"/>
      <c r="B6" s="10"/>
      <c r="C6" s="85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" customHeight="1">
      <c r="A7" s="10"/>
      <c r="C7" s="8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0"/>
      <c r="W7" s="91"/>
      <c r="X7" s="10"/>
      <c r="Y7" s="10"/>
      <c r="Z7" s="10"/>
      <c r="AA7" s="10"/>
      <c r="AB7" s="10"/>
      <c r="AC7" s="10"/>
      <c r="AD7" s="10"/>
    </row>
    <row r="8" spans="1:45" ht="12" customHeight="1">
      <c r="A8" s="10"/>
      <c r="C8" s="447" t="s">
        <v>41</v>
      </c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9"/>
      <c r="W8" s="92"/>
      <c r="X8" s="10"/>
      <c r="Y8" s="10"/>
      <c r="Z8" s="10"/>
      <c r="AA8" s="10"/>
      <c r="AB8" s="10"/>
      <c r="AC8" s="10"/>
      <c r="AD8" s="10"/>
    </row>
    <row r="9" spans="1:45" ht="12" customHeight="1">
      <c r="A9" s="10"/>
      <c r="B9" s="92"/>
      <c r="C9" s="447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9"/>
      <c r="W9" s="92"/>
      <c r="X9" s="10"/>
      <c r="Y9" s="10"/>
      <c r="Z9" s="10"/>
      <c r="AA9" s="10"/>
      <c r="AB9" s="10"/>
      <c r="AC9" s="10"/>
      <c r="AD9" s="10"/>
    </row>
    <row r="10" spans="1:45" ht="12" customHeight="1">
      <c r="A10" s="10"/>
      <c r="B10" s="92"/>
      <c r="C10" s="447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9"/>
      <c r="W10" s="92"/>
      <c r="X10" s="10"/>
      <c r="Y10" s="10"/>
      <c r="Z10" s="10"/>
      <c r="AA10" s="10"/>
      <c r="AB10" s="10"/>
      <c r="AC10" s="10"/>
      <c r="AD10" s="10"/>
    </row>
    <row r="11" spans="1:45" ht="12" customHeight="1">
      <c r="A11" s="10"/>
      <c r="B11" s="10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5"/>
      <c r="W11" s="10"/>
      <c r="X11" s="10"/>
      <c r="Y11" s="10"/>
      <c r="Z11" s="10"/>
      <c r="AA11" s="10"/>
      <c r="AB11" s="10"/>
      <c r="AC11" s="10"/>
      <c r="AD11" s="10"/>
    </row>
    <row r="12" spans="1:45" ht="12" customHeight="1">
      <c r="A12" s="10"/>
      <c r="B12" s="10"/>
      <c r="C12" s="440" t="s">
        <v>628</v>
      </c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41"/>
      <c r="T12" s="441"/>
      <c r="U12" s="441"/>
      <c r="V12" s="442"/>
      <c r="W12" s="10"/>
      <c r="X12" s="10"/>
      <c r="Y12" s="10"/>
      <c r="Z12" s="10"/>
      <c r="AA12" s="10"/>
      <c r="AB12" s="10"/>
      <c r="AC12" s="10"/>
      <c r="AD12" s="10"/>
    </row>
    <row r="13" spans="1:45" ht="12" customHeight="1">
      <c r="A13" s="381" t="s">
        <v>748</v>
      </c>
      <c r="B13" s="10"/>
      <c r="C13" s="440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2"/>
      <c r="W13" s="10"/>
      <c r="X13" s="10"/>
      <c r="Y13" s="10"/>
      <c r="Z13" s="10"/>
      <c r="AA13" s="10"/>
      <c r="AB13" s="10"/>
      <c r="AC13" s="10"/>
      <c r="AD13" s="10"/>
    </row>
    <row r="14" spans="1:45" ht="12" customHeight="1">
      <c r="A14" s="10"/>
      <c r="B14" s="10"/>
      <c r="C14" s="437" t="str">
        <f>Eingabe_!B5</f>
        <v>OP</v>
      </c>
      <c r="D14" s="438"/>
      <c r="E14" s="438"/>
      <c r="F14" s="438"/>
      <c r="G14" s="438"/>
      <c r="H14" s="438"/>
      <c r="I14" s="438"/>
      <c r="J14" s="438"/>
      <c r="K14" s="438"/>
      <c r="L14" s="438"/>
      <c r="M14" s="438"/>
      <c r="N14" s="438"/>
      <c r="O14" s="438"/>
      <c r="P14" s="438"/>
      <c r="Q14" s="438"/>
      <c r="R14" s="438"/>
      <c r="S14" s="438"/>
      <c r="T14" s="438"/>
      <c r="U14" s="438"/>
      <c r="V14" s="439"/>
      <c r="W14" s="10"/>
      <c r="X14" s="10"/>
      <c r="Y14" s="10"/>
      <c r="Z14" s="10"/>
      <c r="AA14" s="10"/>
      <c r="AB14" s="10"/>
      <c r="AC14" s="10"/>
      <c r="AD14" s="10"/>
    </row>
    <row r="15" spans="1:45" ht="12" customHeight="1">
      <c r="A15" s="10"/>
      <c r="B15" s="10"/>
      <c r="C15" s="437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38"/>
      <c r="R15" s="438"/>
      <c r="S15" s="438"/>
      <c r="T15" s="438"/>
      <c r="U15" s="438"/>
      <c r="V15" s="439"/>
      <c r="W15" s="10"/>
      <c r="X15" s="10"/>
      <c r="Y15" s="10"/>
      <c r="Z15" s="10"/>
      <c r="AA15" s="10"/>
      <c r="AB15" s="10"/>
      <c r="AC15" s="10"/>
      <c r="AD15" s="10"/>
    </row>
    <row r="16" spans="1:45" ht="12" customHeight="1">
      <c r="A16" s="10"/>
      <c r="B16" s="10"/>
      <c r="C16" s="88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90"/>
      <c r="W16" s="10"/>
      <c r="X16" s="10"/>
      <c r="Y16" s="10"/>
      <c r="Z16" s="10"/>
      <c r="AA16" s="10"/>
      <c r="AB16" s="10"/>
      <c r="AC16" s="10"/>
      <c r="AD16" s="10"/>
    </row>
    <row r="17" spans="1:54" ht="12" customHeight="1">
      <c r="A17" s="10"/>
      <c r="B17" s="10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90"/>
      <c r="W17" s="10"/>
      <c r="X17" s="10"/>
      <c r="Y17" s="10"/>
      <c r="Z17" s="10"/>
      <c r="AA17" s="10"/>
      <c r="AB17" s="10"/>
      <c r="AC17" s="10"/>
      <c r="AD17" s="10"/>
    </row>
    <row r="18" spans="1:54" ht="12" customHeight="1">
      <c r="A18" s="10"/>
      <c r="B18" s="10"/>
      <c r="C18" s="88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7"/>
      <c r="W18" s="10"/>
      <c r="X18" s="10"/>
      <c r="Y18" s="10"/>
      <c r="Z18" s="10"/>
      <c r="AA18" s="10"/>
      <c r="AB18" s="10"/>
      <c r="AC18" s="10"/>
      <c r="AD18" s="10"/>
    </row>
    <row r="19" spans="1:54" ht="12" customHeight="1">
      <c r="A19" s="381" t="s">
        <v>703</v>
      </c>
      <c r="B19" s="10"/>
      <c r="C19" s="440" t="s">
        <v>1</v>
      </c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2"/>
      <c r="W19" s="10"/>
      <c r="X19" s="10"/>
      <c r="Y19" s="10"/>
      <c r="Z19" s="10"/>
      <c r="AA19" s="10"/>
      <c r="AB19" s="10"/>
      <c r="AC19" s="10"/>
      <c r="AD19" s="10"/>
    </row>
    <row r="20" spans="1:54" ht="12" customHeight="1">
      <c r="A20" s="10"/>
      <c r="B20" s="10"/>
      <c r="C20" s="440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2"/>
      <c r="W20" s="10"/>
      <c r="X20" s="10"/>
      <c r="Y20" s="10"/>
      <c r="Z20" s="10"/>
      <c r="AA20" s="10"/>
      <c r="AB20" s="10"/>
      <c r="AC20" s="10"/>
      <c r="AD20" s="10"/>
    </row>
    <row r="21" spans="1:54" ht="12" customHeight="1">
      <c r="A21" s="10"/>
      <c r="B21" s="10"/>
      <c r="C21" s="437" t="str">
        <f>Eingabe_!B3</f>
        <v>Kunde</v>
      </c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9"/>
      <c r="W21" s="10"/>
      <c r="X21" s="10"/>
      <c r="Y21" s="10"/>
      <c r="Z21" s="10"/>
      <c r="AA21" s="10"/>
      <c r="AB21" s="10"/>
      <c r="AC21" s="10"/>
      <c r="AD21" s="10"/>
      <c r="AY21"/>
      <c r="AZ21"/>
      <c r="BA21"/>
      <c r="BB21"/>
    </row>
    <row r="22" spans="1:54" ht="12" customHeight="1">
      <c r="A22" s="10"/>
      <c r="B22" s="10"/>
      <c r="C22" s="437"/>
      <c r="D22" s="438"/>
      <c r="E22" s="438"/>
      <c r="F22" s="438"/>
      <c r="G22" s="438"/>
      <c r="H22" s="438"/>
      <c r="I22" s="438"/>
      <c r="J22" s="438"/>
      <c r="K22" s="438"/>
      <c r="L22" s="438"/>
      <c r="M22" s="438"/>
      <c r="N22" s="438"/>
      <c r="O22" s="438"/>
      <c r="P22" s="438"/>
      <c r="Q22" s="438"/>
      <c r="R22" s="438"/>
      <c r="S22" s="438"/>
      <c r="T22" s="438"/>
      <c r="U22" s="438"/>
      <c r="V22" s="439"/>
      <c r="W22" s="10"/>
      <c r="X22" s="10"/>
      <c r="Y22" s="10"/>
      <c r="Z22" s="10"/>
      <c r="AA22" s="10"/>
      <c r="AB22" s="10"/>
      <c r="AC22" s="10"/>
      <c r="AD22" s="10"/>
      <c r="AY22"/>
      <c r="AZ22"/>
      <c r="BA22"/>
      <c r="BB22"/>
    </row>
    <row r="23" spans="1:54" ht="12" customHeight="1">
      <c r="A23" s="10"/>
      <c r="B23" s="10"/>
      <c r="C23" s="437" t="str">
        <f>Eingabe_!D3</f>
        <v>Kleinriehenstrasse 30</v>
      </c>
      <c r="D23" s="438"/>
      <c r="E23" s="438"/>
      <c r="F23" s="438"/>
      <c r="G23" s="438"/>
      <c r="H23" s="438"/>
      <c r="I23" s="438"/>
      <c r="J23" s="438"/>
      <c r="K23" s="438"/>
      <c r="L23" s="438"/>
      <c r="M23" s="438"/>
      <c r="N23" s="438"/>
      <c r="O23" s="438"/>
      <c r="P23" s="438"/>
      <c r="Q23" s="438"/>
      <c r="R23" s="438"/>
      <c r="S23" s="438"/>
      <c r="T23" s="438"/>
      <c r="U23" s="438"/>
      <c r="V23" s="439"/>
      <c r="W23" s="10"/>
      <c r="X23" s="10"/>
      <c r="Y23" s="10"/>
      <c r="Z23" s="10"/>
      <c r="AA23" s="10"/>
      <c r="AB23" s="10"/>
      <c r="AC23" s="10"/>
      <c r="AD23" s="10"/>
      <c r="AY23"/>
      <c r="AZ23"/>
      <c r="BA23"/>
      <c r="BB23"/>
    </row>
    <row r="24" spans="1:54" ht="12" customHeight="1">
      <c r="A24" s="10"/>
      <c r="B24" s="10"/>
      <c r="C24" s="437"/>
      <c r="D24" s="438"/>
      <c r="E24" s="438"/>
      <c r="F24" s="438"/>
      <c r="G24" s="438"/>
      <c r="H24" s="438"/>
      <c r="I24" s="438"/>
      <c r="J24" s="438"/>
      <c r="K24" s="438"/>
      <c r="L24" s="438"/>
      <c r="M24" s="438"/>
      <c r="N24" s="438"/>
      <c r="O24" s="438"/>
      <c r="P24" s="438"/>
      <c r="Q24" s="438"/>
      <c r="R24" s="438"/>
      <c r="S24" s="438"/>
      <c r="T24" s="438"/>
      <c r="U24" s="438"/>
      <c r="V24" s="439"/>
      <c r="W24" s="10"/>
      <c r="X24" s="10"/>
      <c r="Y24" s="10"/>
      <c r="Z24" s="10"/>
      <c r="AA24" s="10"/>
      <c r="AB24" s="10"/>
      <c r="AC24" s="10"/>
      <c r="AD24" s="10"/>
      <c r="AY24"/>
      <c r="AZ24"/>
      <c r="BA24"/>
      <c r="BB24"/>
    </row>
    <row r="25" spans="1:54" ht="12" customHeight="1">
      <c r="A25" s="10"/>
      <c r="B25" s="10"/>
      <c r="C25" s="437" t="str">
        <f>Eingabe_!E3</f>
        <v>CH-4058 Basel</v>
      </c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9"/>
      <c r="W25" s="10"/>
      <c r="X25" s="10"/>
      <c r="Y25" s="10"/>
      <c r="Z25" s="10"/>
      <c r="AA25" s="10"/>
      <c r="AB25" s="10"/>
      <c r="AC25" s="10"/>
      <c r="AD25" s="10"/>
      <c r="AY25"/>
      <c r="AZ25"/>
      <c r="BA25"/>
      <c r="BB25"/>
    </row>
    <row r="26" spans="1:54" ht="12" customHeight="1">
      <c r="A26" s="10"/>
      <c r="B26" s="10"/>
      <c r="C26" s="437"/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38"/>
      <c r="R26" s="438"/>
      <c r="S26" s="438"/>
      <c r="T26" s="438"/>
      <c r="U26" s="438"/>
      <c r="V26" s="439"/>
      <c r="W26" s="10"/>
      <c r="X26" s="10"/>
      <c r="Y26" s="10"/>
      <c r="Z26" s="10"/>
      <c r="AA26" s="10"/>
      <c r="AB26" s="10"/>
      <c r="AC26" s="10"/>
      <c r="AD26" s="10"/>
      <c r="AY26"/>
      <c r="AZ26"/>
      <c r="BA26"/>
      <c r="BB26"/>
    </row>
    <row r="27" spans="1:54" ht="12" customHeight="1">
      <c r="A27" s="10"/>
      <c r="B27" s="10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100"/>
      <c r="W27" s="10"/>
      <c r="X27" s="10"/>
      <c r="Y27" s="10"/>
      <c r="Z27" s="10"/>
      <c r="AA27" s="10"/>
      <c r="AB27" s="10"/>
      <c r="AC27" s="10"/>
      <c r="AD27" s="10"/>
      <c r="AY27"/>
      <c r="AZ27"/>
      <c r="BA27"/>
      <c r="BB27"/>
    </row>
    <row r="28" spans="1:54" ht="12" customHeight="1">
      <c r="A28" s="10"/>
      <c r="B28" s="10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100"/>
      <c r="W28" s="10"/>
      <c r="X28" s="10"/>
      <c r="Y28" s="10"/>
      <c r="Z28" s="10"/>
      <c r="AA28" s="10"/>
      <c r="AB28" s="10"/>
      <c r="AC28" s="10"/>
      <c r="AD28" s="10"/>
      <c r="AY28"/>
      <c r="AZ28"/>
      <c r="BA28"/>
      <c r="BB28"/>
    </row>
    <row r="29" spans="1:54" ht="12" customHeight="1">
      <c r="A29" s="10"/>
      <c r="B29" s="10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100"/>
      <c r="W29" s="10"/>
      <c r="X29" s="10"/>
      <c r="Y29" s="10"/>
      <c r="Z29" s="10"/>
      <c r="AA29" s="10"/>
      <c r="AB29" s="10"/>
      <c r="AY29"/>
      <c r="AZ29"/>
      <c r="BA29"/>
      <c r="BB29"/>
    </row>
    <row r="30" spans="1:54" ht="12" customHeight="1">
      <c r="A30" s="10"/>
      <c r="B30" s="10"/>
      <c r="C30" s="440" t="str">
        <f>Eingabe_!B6</f>
        <v>Department</v>
      </c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2"/>
      <c r="W30" s="10"/>
      <c r="X30" s="10"/>
      <c r="Y30" s="10"/>
      <c r="Z30" s="10"/>
      <c r="AA30" s="10"/>
      <c r="AB30" s="10"/>
      <c r="AC30" s="10"/>
      <c r="AD30" s="10"/>
      <c r="AY30"/>
      <c r="AZ30"/>
      <c r="BA30"/>
      <c r="BB30"/>
    </row>
    <row r="31" spans="1:54" ht="12" customHeight="1">
      <c r="A31" s="10"/>
      <c r="B31" s="10"/>
      <c r="C31" s="440"/>
      <c r="D31" s="441"/>
      <c r="E31" s="441"/>
      <c r="F31" s="441"/>
      <c r="G31" s="441"/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2"/>
      <c r="W31" s="10"/>
      <c r="X31" s="10"/>
      <c r="Y31" s="10"/>
      <c r="Z31" s="10"/>
      <c r="AA31" s="10"/>
      <c r="AB31" s="10"/>
      <c r="AC31" s="10"/>
      <c r="AD31" s="10"/>
      <c r="AY31"/>
      <c r="AZ31"/>
      <c r="BA31"/>
      <c r="BB31"/>
    </row>
    <row r="32" spans="1:54" ht="12" customHeight="1">
      <c r="A32" s="10"/>
      <c r="B32" s="10"/>
      <c r="C32" s="443" t="str">
        <f>Eingabe_!D7</f>
        <v>OP 1   rooms/roomname</v>
      </c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444"/>
      <c r="T32" s="444"/>
      <c r="U32" s="444"/>
      <c r="V32" s="445"/>
      <c r="W32" s="10"/>
      <c r="X32" s="10"/>
      <c r="Y32" s="10"/>
      <c r="Z32" s="10"/>
      <c r="AA32" s="10"/>
      <c r="AB32" s="10"/>
      <c r="AC32" s="10"/>
      <c r="AD32" s="10"/>
      <c r="AY32"/>
      <c r="AZ32"/>
      <c r="BA32"/>
      <c r="BB32"/>
    </row>
    <row r="33" spans="1:54" ht="12" customHeight="1">
      <c r="A33" s="10"/>
      <c r="B33" s="10"/>
      <c r="C33" s="446" t="s">
        <v>689</v>
      </c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/>
      <c r="V33" s="445"/>
      <c r="W33" s="10"/>
      <c r="X33" s="10"/>
      <c r="Y33" s="10"/>
      <c r="Z33" s="10"/>
      <c r="AA33" s="10"/>
      <c r="AB33" s="10"/>
      <c r="AC33" s="10"/>
      <c r="AD33" s="10"/>
      <c r="AY33"/>
      <c r="AZ33"/>
      <c r="BA33"/>
      <c r="BB33"/>
    </row>
    <row r="34" spans="1:54" ht="12" customHeight="1">
      <c r="A34" s="10"/>
      <c r="B34" s="10"/>
      <c r="C34" s="443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4"/>
      <c r="U34" s="444"/>
      <c r="V34" s="445"/>
      <c r="W34" s="10"/>
      <c r="X34" s="10"/>
      <c r="Y34" s="10"/>
      <c r="Z34" s="10"/>
      <c r="AA34" s="1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2" customHeight="1">
      <c r="A35" s="381" t="s">
        <v>749</v>
      </c>
      <c r="B35" s="10"/>
      <c r="C35" s="434" t="s">
        <v>315</v>
      </c>
      <c r="D35" s="435"/>
      <c r="E35" s="435"/>
      <c r="F35" s="435"/>
      <c r="G35" s="435"/>
      <c r="H35" s="435"/>
      <c r="I35" s="435"/>
      <c r="J35" s="435"/>
      <c r="K35" s="435"/>
      <c r="L35" s="435"/>
      <c r="M35" s="435"/>
      <c r="N35" s="435"/>
      <c r="O35" s="435"/>
      <c r="P35" s="435"/>
      <c r="Q35" s="435"/>
      <c r="R35" s="435"/>
      <c r="S35" s="435"/>
      <c r="T35" s="435"/>
      <c r="U35" s="435"/>
      <c r="V35" s="436"/>
      <c r="W35" s="10"/>
      <c r="X35" s="10"/>
      <c r="Y35" s="10"/>
      <c r="Z35" s="10"/>
      <c r="AA35" s="10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2" customHeight="1">
      <c r="A36" s="10"/>
      <c r="B36" s="10"/>
      <c r="C36" s="434"/>
      <c r="D36" s="435"/>
      <c r="E36" s="435"/>
      <c r="F36" s="435"/>
      <c r="G36" s="435"/>
      <c r="H36" s="435"/>
      <c r="I36" s="435"/>
      <c r="J36" s="435"/>
      <c r="K36" s="435"/>
      <c r="L36" s="435"/>
      <c r="M36" s="435"/>
      <c r="N36" s="435"/>
      <c r="O36" s="435"/>
      <c r="P36" s="435"/>
      <c r="Q36" s="435"/>
      <c r="R36" s="435"/>
      <c r="S36" s="435"/>
      <c r="T36" s="435"/>
      <c r="U36" s="435"/>
      <c r="V36" s="436"/>
      <c r="W36" s="10"/>
      <c r="X36" s="10"/>
      <c r="Y36" s="10"/>
      <c r="Z36" s="10"/>
      <c r="AA36" s="10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2" customHeight="1">
      <c r="A37" s="381" t="s">
        <v>750</v>
      </c>
      <c r="B37" s="10"/>
      <c r="C37" s="98"/>
      <c r="D37" s="99"/>
      <c r="E37" s="433" t="s">
        <v>318</v>
      </c>
      <c r="F37" s="433"/>
      <c r="G37" s="433"/>
      <c r="H37" s="433"/>
      <c r="I37" s="433"/>
      <c r="J37" s="433"/>
      <c r="K37" s="433"/>
      <c r="L37" s="433"/>
      <c r="M37" s="433"/>
      <c r="N37" s="433"/>
      <c r="O37" s="433"/>
      <c r="P37" s="433"/>
      <c r="Q37" s="433"/>
      <c r="R37" s="433"/>
      <c r="S37" s="433"/>
      <c r="T37" s="433"/>
      <c r="U37" s="99"/>
      <c r="V37" s="100"/>
      <c r="W37" s="10"/>
      <c r="X37" s="10"/>
      <c r="Y37" s="10"/>
      <c r="Z37" s="10"/>
      <c r="AA37" s="10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2" customHeight="1">
      <c r="A38" s="381" t="s">
        <v>751</v>
      </c>
      <c r="B38" s="10"/>
      <c r="C38" s="98"/>
      <c r="D38" s="99"/>
      <c r="E38" s="433" t="s">
        <v>622</v>
      </c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99"/>
      <c r="V38" s="100"/>
      <c r="W38" s="10"/>
      <c r="X38" s="10"/>
      <c r="Y38" s="10"/>
      <c r="Z38" s="10"/>
      <c r="AA38" s="10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4" ht="12" customHeight="1">
      <c r="A39" s="381" t="s">
        <v>752</v>
      </c>
      <c r="B39" s="10"/>
      <c r="C39" s="208"/>
      <c r="D39" s="209"/>
      <c r="E39" s="433" t="s">
        <v>120</v>
      </c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3"/>
      <c r="R39" s="433"/>
      <c r="S39" s="433"/>
      <c r="T39" s="433"/>
      <c r="U39" s="209"/>
      <c r="V39" s="210"/>
      <c r="W39" s="10"/>
      <c r="X39" s="10"/>
      <c r="Y39" s="10"/>
      <c r="Z39" s="10"/>
      <c r="AA39" s="10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4" ht="12" customHeight="1">
      <c r="A40" s="10"/>
      <c r="B40" s="10"/>
      <c r="C40" s="208"/>
      <c r="D40" s="209"/>
      <c r="E40" s="433" t="s">
        <v>316</v>
      </c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209"/>
      <c r="V40" s="210"/>
      <c r="W40" s="10"/>
      <c r="X40" s="10"/>
      <c r="Y40" s="10"/>
      <c r="Z40" s="10"/>
      <c r="AA40" s="1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4" ht="12" customHeight="1">
      <c r="A41" s="10"/>
      <c r="B41" s="10"/>
      <c r="C41" s="208"/>
      <c r="D41" s="209"/>
      <c r="E41" s="433" t="s">
        <v>153</v>
      </c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209"/>
      <c r="V41" s="210"/>
      <c r="W41" s="10"/>
      <c r="X41" s="10"/>
      <c r="Y41" s="10"/>
      <c r="Z41" s="10"/>
      <c r="AA41" s="10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4" ht="12" customHeight="1">
      <c r="A42" s="10"/>
      <c r="B42" s="10"/>
      <c r="C42" s="101"/>
      <c r="D42" s="89"/>
      <c r="E42" s="433" t="s">
        <v>595</v>
      </c>
      <c r="F42" s="433"/>
      <c r="G42" s="433"/>
      <c r="H42" s="433"/>
      <c r="I42" s="433"/>
      <c r="J42" s="433"/>
      <c r="K42" s="433"/>
      <c r="L42" s="433"/>
      <c r="M42" s="433"/>
      <c r="N42" s="433"/>
      <c r="O42" s="433"/>
      <c r="P42" s="433"/>
      <c r="Q42" s="433"/>
      <c r="R42" s="433"/>
      <c r="S42" s="433"/>
      <c r="T42" s="433"/>
      <c r="U42" s="96"/>
      <c r="V42" s="97"/>
      <c r="W42" s="10"/>
      <c r="X42" s="10"/>
      <c r="Y42" s="10"/>
      <c r="Z42" s="10"/>
      <c r="AA42" s="10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4" ht="12" customHeight="1">
      <c r="A43" s="10"/>
      <c r="B43" s="10"/>
      <c r="C43" s="102"/>
      <c r="D43" s="89"/>
      <c r="E43" s="433" t="s">
        <v>8</v>
      </c>
      <c r="F43" s="433"/>
      <c r="G43" s="433"/>
      <c r="H43" s="433"/>
      <c r="I43" s="433"/>
      <c r="J43" s="433"/>
      <c r="K43" s="433"/>
      <c r="L43" s="433"/>
      <c r="M43" s="433"/>
      <c r="N43" s="433"/>
      <c r="O43" s="433"/>
      <c r="P43" s="433"/>
      <c r="Q43" s="433"/>
      <c r="R43" s="433"/>
      <c r="S43" s="433"/>
      <c r="T43" s="433"/>
      <c r="U43" s="89"/>
      <c r="V43" s="9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4" ht="12" customHeight="1">
      <c r="A44" s="10"/>
      <c r="B44" s="10"/>
      <c r="C44" s="103"/>
      <c r="D44" s="89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89"/>
      <c r="V44" s="9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4" ht="12" customHeight="1">
      <c r="A45" s="10"/>
      <c r="B45" s="10"/>
      <c r="C45" s="85"/>
      <c r="D45" s="86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86"/>
      <c r="V45" s="87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4" ht="12" customHeight="1">
      <c r="A46" s="10"/>
      <c r="B46" s="10"/>
      <c r="C46" s="440" t="s">
        <v>183</v>
      </c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2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4" ht="12" customHeight="1">
      <c r="A47" s="10"/>
      <c r="B47" s="10"/>
      <c r="C47" s="440"/>
      <c r="D47" s="441"/>
      <c r="E47" s="441"/>
      <c r="F47" s="441"/>
      <c r="G47" s="441"/>
      <c r="H47" s="441"/>
      <c r="I47" s="441"/>
      <c r="J47" s="441"/>
      <c r="K47" s="441"/>
      <c r="L47" s="441"/>
      <c r="M47" s="441"/>
      <c r="N47" s="441"/>
      <c r="O47" s="441"/>
      <c r="P47" s="441"/>
      <c r="Q47" s="441"/>
      <c r="R47" s="441"/>
      <c r="S47" s="441"/>
      <c r="T47" s="441"/>
      <c r="U47" s="441"/>
      <c r="V47" s="442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54" ht="12" customHeight="1">
      <c r="A48" s="10"/>
      <c r="B48" s="10"/>
      <c r="C48" s="437" t="str">
        <f>Eingabe_!B8</f>
        <v>dynamisch</v>
      </c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38"/>
      <c r="R48" s="438"/>
      <c r="S48" s="438"/>
      <c r="T48" s="438"/>
      <c r="U48" s="438"/>
      <c r="V48" s="439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2" customHeight="1">
      <c r="A49" s="10"/>
      <c r="B49" s="10"/>
      <c r="C49" s="98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10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2" customHeight="1">
      <c r="A50" s="10"/>
      <c r="B50" s="10"/>
      <c r="C50" s="10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104"/>
      <c r="V50" s="105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ht="12" customHeight="1">
      <c r="A51" s="10"/>
      <c r="B51" s="10"/>
      <c r="C51" s="440" t="s">
        <v>12</v>
      </c>
      <c r="D51" s="441"/>
      <c r="E51" s="441"/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441"/>
      <c r="T51" s="441"/>
      <c r="U51" s="441"/>
      <c r="V51" s="442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ht="12" customHeight="1">
      <c r="A52" s="10"/>
      <c r="B52" s="10"/>
      <c r="C52" s="440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1"/>
      <c r="U52" s="441"/>
      <c r="V52" s="442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ht="12" customHeight="1">
      <c r="A53" s="10"/>
      <c r="B53" s="10"/>
      <c r="C53" s="240"/>
      <c r="D53" s="450" t="s">
        <v>701</v>
      </c>
      <c r="E53" s="451"/>
      <c r="F53" s="451"/>
      <c r="G53" s="451"/>
      <c r="H53" s="451"/>
      <c r="I53" s="451"/>
      <c r="J53" s="451"/>
      <c r="K53" s="451"/>
      <c r="L53" s="451"/>
      <c r="M53" s="451"/>
      <c r="N53" s="451"/>
      <c r="O53" s="451"/>
      <c r="P53" s="451"/>
      <c r="Q53" s="451"/>
      <c r="R53" s="451"/>
      <c r="S53" s="451"/>
      <c r="T53" s="451"/>
      <c r="U53" s="451"/>
      <c r="V53" s="241"/>
      <c r="W53" s="10"/>
      <c r="X53" s="10"/>
    </row>
    <row r="54" spans="1:39" ht="12" customHeight="1">
      <c r="A54" s="10"/>
      <c r="B54" s="10"/>
      <c r="C54" s="240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1"/>
      <c r="O54" s="451"/>
      <c r="P54" s="451"/>
      <c r="Q54" s="451"/>
      <c r="R54" s="451"/>
      <c r="S54" s="451"/>
      <c r="T54" s="451"/>
      <c r="U54" s="451"/>
      <c r="V54" s="241"/>
      <c r="W54" s="10"/>
      <c r="X54" s="10"/>
    </row>
    <row r="55" spans="1:39" ht="12" customHeight="1" thickBot="1">
      <c r="A55" s="10"/>
      <c r="B55" s="10"/>
      <c r="C55" s="242"/>
      <c r="D55" s="452"/>
      <c r="E55" s="452"/>
      <c r="F55" s="452"/>
      <c r="G55" s="452"/>
      <c r="H55" s="452"/>
      <c r="I55" s="452"/>
      <c r="J55" s="452"/>
      <c r="K55" s="452"/>
      <c r="L55" s="452"/>
      <c r="M55" s="452"/>
      <c r="N55" s="452"/>
      <c r="O55" s="452"/>
      <c r="P55" s="452"/>
      <c r="Q55" s="452"/>
      <c r="R55" s="452"/>
      <c r="S55" s="452"/>
      <c r="T55" s="452"/>
      <c r="U55" s="452"/>
      <c r="V55" s="243"/>
      <c r="W55" s="10"/>
      <c r="X55" s="10"/>
    </row>
    <row r="56" spans="1:39" ht="12" customHeight="1" thickTop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39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39" ht="12" customHeight="1"/>
    <row r="59" spans="1:39" ht="12" customHeight="1"/>
    <row r="60" spans="1:39" ht="12" customHeight="1"/>
    <row r="61" spans="1:39" ht="12" customHeight="1"/>
    <row r="62" spans="1:39" ht="12" customHeight="1"/>
    <row r="63" spans="1:39" ht="12" customHeight="1"/>
  </sheetData>
  <mergeCells count="25">
    <mergeCell ref="D53:U55"/>
    <mergeCell ref="E39:T39"/>
    <mergeCell ref="E41:T41"/>
    <mergeCell ref="C51:V52"/>
    <mergeCell ref="E43:T43"/>
    <mergeCell ref="E44:T44"/>
    <mergeCell ref="E45:T45"/>
    <mergeCell ref="C46:V47"/>
    <mergeCell ref="C48:V48"/>
    <mergeCell ref="E42:T42"/>
    <mergeCell ref="E40:T40"/>
    <mergeCell ref="C8:V10"/>
    <mergeCell ref="C12:V13"/>
    <mergeCell ref="C14:V15"/>
    <mergeCell ref="C19:V20"/>
    <mergeCell ref="C21:V22"/>
    <mergeCell ref="E38:T38"/>
    <mergeCell ref="E37:T37"/>
    <mergeCell ref="C35:V36"/>
    <mergeCell ref="C23:V24"/>
    <mergeCell ref="C25:V26"/>
    <mergeCell ref="C30:V31"/>
    <mergeCell ref="C32:V32"/>
    <mergeCell ref="C33:V33"/>
    <mergeCell ref="C34:V3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731A-3B5B-4EC2-AE71-BBCF57D5F8D5}">
  <sheetPr codeName="Tabelle25">
    <tabColor theme="5" tint="0.79998168889431442"/>
    <pageSetUpPr fitToPage="1"/>
  </sheetPr>
  <dimension ref="A1:BC212"/>
  <sheetViews>
    <sheetView zoomScale="90" zoomScaleNormal="90" zoomScaleSheetLayoutView="96" zoomScalePageLayoutView="172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Seitenregister!X22</f>
        <v>18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Eingabe_!O8</f>
        <v>05.05.2022</v>
      </c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16" t="str">
        <f>Eingabe_!B7</f>
        <v>OP 1</v>
      </c>
      <c r="S7" s="816"/>
      <c r="T7" s="816"/>
      <c r="U7" s="816"/>
      <c r="V7" s="816"/>
      <c r="W7" s="816"/>
      <c r="X7" s="29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37" t="s">
        <v>590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807" t="s">
        <v>185</v>
      </c>
      <c r="B11" s="807"/>
      <c r="C11" s="807"/>
      <c r="D11" s="807"/>
      <c r="E11" s="808" t="s">
        <v>67</v>
      </c>
      <c r="F11" s="809"/>
      <c r="G11" s="509" t="s">
        <v>344</v>
      </c>
      <c r="H11" s="510"/>
      <c r="I11" s="510"/>
      <c r="J11" s="510"/>
      <c r="K11" s="510"/>
      <c r="L11" s="510"/>
      <c r="M11" s="510"/>
      <c r="N11" s="510"/>
      <c r="O11" s="510"/>
      <c r="P11" s="510"/>
      <c r="Q11" s="510"/>
      <c r="R11" s="510"/>
      <c r="S11" s="510"/>
      <c r="T11" s="510"/>
      <c r="U11" s="510"/>
      <c r="V11" s="510"/>
      <c r="W11" s="510"/>
      <c r="X11" s="5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807"/>
      <c r="B12" s="807"/>
      <c r="C12" s="807"/>
      <c r="D12" s="807"/>
      <c r="E12" s="810"/>
      <c r="F12" s="811"/>
      <c r="G12" s="545"/>
      <c r="H12" s="546"/>
      <c r="I12" s="546"/>
      <c r="J12" s="546"/>
      <c r="K12" s="546"/>
      <c r="L12" s="546"/>
      <c r="M12" s="546"/>
      <c r="N12" s="546"/>
      <c r="O12" s="546"/>
      <c r="P12" s="546"/>
      <c r="Q12" s="546"/>
      <c r="R12" s="546"/>
      <c r="S12" s="546"/>
      <c r="T12" s="546"/>
      <c r="U12" s="546"/>
      <c r="V12" s="546"/>
      <c r="W12" s="546"/>
      <c r="X12" s="547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1.9" customHeight="1">
      <c r="A13" s="807"/>
      <c r="B13" s="807"/>
      <c r="C13" s="807"/>
      <c r="D13" s="807"/>
      <c r="E13" s="812"/>
      <c r="F13" s="813"/>
      <c r="G13" s="509" t="s">
        <v>130</v>
      </c>
      <c r="H13" s="510"/>
      <c r="I13" s="510"/>
      <c r="J13" s="510"/>
      <c r="K13" s="510"/>
      <c r="L13" s="510"/>
      <c r="M13" s="510"/>
      <c r="N13" s="510"/>
      <c r="O13" s="511"/>
      <c r="P13" s="509" t="s">
        <v>131</v>
      </c>
      <c r="Q13" s="510"/>
      <c r="R13" s="510"/>
      <c r="S13" s="510"/>
      <c r="T13" s="510"/>
      <c r="U13" s="510"/>
      <c r="V13" s="510"/>
      <c r="W13" s="510"/>
      <c r="X13" s="511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1.9" customHeight="1">
      <c r="A14" s="807"/>
      <c r="B14" s="807"/>
      <c r="C14" s="807"/>
      <c r="D14" s="807"/>
      <c r="E14" s="814"/>
      <c r="F14" s="815"/>
      <c r="G14" s="545" t="s">
        <v>83</v>
      </c>
      <c r="H14" s="546"/>
      <c r="I14" s="546"/>
      <c r="J14" s="546"/>
      <c r="K14" s="546"/>
      <c r="L14" s="546"/>
      <c r="M14" s="546"/>
      <c r="N14" s="546"/>
      <c r="O14" s="547"/>
      <c r="P14" s="545" t="s">
        <v>132</v>
      </c>
      <c r="Q14" s="546"/>
      <c r="R14" s="546"/>
      <c r="S14" s="546"/>
      <c r="T14" s="546"/>
      <c r="U14" s="546"/>
      <c r="V14" s="546"/>
      <c r="W14" s="546"/>
      <c r="X14" s="547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1.9" customHeight="1">
      <c r="A15" s="494" t="str">
        <f>Eingabe_!$D$7</f>
        <v>OP 1   rooms/roomname</v>
      </c>
      <c r="B15" s="495"/>
      <c r="C15" s="495"/>
      <c r="D15" s="496"/>
      <c r="E15" s="486">
        <v>1</v>
      </c>
      <c r="F15" s="486"/>
      <c r="G15" s="766">
        <f>'RD T&amp;F'!G15</f>
        <v>19.91</v>
      </c>
      <c r="H15" s="767"/>
      <c r="I15" s="767"/>
      <c r="J15" s="767"/>
      <c r="K15" s="767"/>
      <c r="L15" s="767"/>
      <c r="M15" s="767"/>
      <c r="N15" s="767"/>
      <c r="O15" s="768"/>
      <c r="P15" s="801">
        <f>'RD T&amp;F'!P15</f>
        <v>40.5</v>
      </c>
      <c r="Q15" s="802"/>
      <c r="R15" s="802"/>
      <c r="S15" s="802"/>
      <c r="T15" s="802"/>
      <c r="U15" s="802"/>
      <c r="V15" s="802"/>
      <c r="W15" s="802"/>
      <c r="X15" s="803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1.9" customHeight="1">
      <c r="A16" s="497"/>
      <c r="B16" s="498"/>
      <c r="C16" s="498"/>
      <c r="D16" s="499"/>
      <c r="E16" s="486"/>
      <c r="F16" s="486"/>
      <c r="G16" s="769"/>
      <c r="H16" s="770"/>
      <c r="I16" s="770"/>
      <c r="J16" s="770"/>
      <c r="K16" s="770"/>
      <c r="L16" s="770"/>
      <c r="M16" s="770"/>
      <c r="N16" s="770"/>
      <c r="O16" s="771"/>
      <c r="P16" s="804"/>
      <c r="Q16" s="805"/>
      <c r="R16" s="805"/>
      <c r="S16" s="805"/>
      <c r="T16" s="805"/>
      <c r="U16" s="805"/>
      <c r="V16" s="805"/>
      <c r="W16" s="805"/>
      <c r="X16" s="80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1.9" customHeight="1">
      <c r="A17" s="497"/>
      <c r="B17" s="498"/>
      <c r="C17" s="498"/>
      <c r="D17" s="499"/>
      <c r="E17" s="486">
        <v>2</v>
      </c>
      <c r="F17" s="486"/>
      <c r="G17" s="766">
        <f>'RD T&amp;F'!G17</f>
        <v>19.64</v>
      </c>
      <c r="H17" s="767"/>
      <c r="I17" s="767"/>
      <c r="J17" s="767"/>
      <c r="K17" s="767"/>
      <c r="L17" s="767"/>
      <c r="M17" s="767"/>
      <c r="N17" s="767"/>
      <c r="O17" s="768"/>
      <c r="P17" s="801">
        <f>'RD T&amp;F'!P17</f>
        <v>41.1</v>
      </c>
      <c r="Q17" s="802"/>
      <c r="R17" s="802"/>
      <c r="S17" s="802"/>
      <c r="T17" s="802"/>
      <c r="U17" s="802"/>
      <c r="V17" s="802"/>
      <c r="W17" s="802"/>
      <c r="X17" s="803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1.9" customHeight="1">
      <c r="A18" s="497"/>
      <c r="B18" s="498"/>
      <c r="C18" s="498"/>
      <c r="D18" s="499"/>
      <c r="E18" s="486"/>
      <c r="F18" s="486"/>
      <c r="G18" s="769"/>
      <c r="H18" s="770"/>
      <c r="I18" s="770"/>
      <c r="J18" s="770"/>
      <c r="K18" s="770"/>
      <c r="L18" s="770"/>
      <c r="M18" s="770"/>
      <c r="N18" s="770"/>
      <c r="O18" s="771"/>
      <c r="P18" s="804"/>
      <c r="Q18" s="805"/>
      <c r="R18" s="805"/>
      <c r="S18" s="805"/>
      <c r="T18" s="805"/>
      <c r="U18" s="805"/>
      <c r="V18" s="805"/>
      <c r="W18" s="805"/>
      <c r="X18" s="806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1.9" customHeight="1">
      <c r="A19" s="497"/>
      <c r="B19" s="498"/>
      <c r="C19" s="498"/>
      <c r="D19" s="499"/>
      <c r="E19" s="486">
        <v>3</v>
      </c>
      <c r="F19" s="486"/>
      <c r="G19" s="766">
        <f>'RD T&amp;F'!G19</f>
        <v>19.63</v>
      </c>
      <c r="H19" s="767"/>
      <c r="I19" s="767"/>
      <c r="J19" s="767"/>
      <c r="K19" s="767"/>
      <c r="L19" s="767"/>
      <c r="M19" s="767"/>
      <c r="N19" s="767"/>
      <c r="O19" s="768"/>
      <c r="P19" s="801">
        <f>'RD T&amp;F'!P19</f>
        <v>41.5</v>
      </c>
      <c r="Q19" s="802"/>
      <c r="R19" s="802"/>
      <c r="S19" s="802"/>
      <c r="T19" s="802"/>
      <c r="U19" s="802"/>
      <c r="V19" s="802"/>
      <c r="W19" s="802"/>
      <c r="X19" s="803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497"/>
      <c r="B20" s="498"/>
      <c r="C20" s="498"/>
      <c r="D20" s="499"/>
      <c r="E20" s="486"/>
      <c r="F20" s="486"/>
      <c r="G20" s="769"/>
      <c r="H20" s="770"/>
      <c r="I20" s="770"/>
      <c r="J20" s="770"/>
      <c r="K20" s="770"/>
      <c r="L20" s="770"/>
      <c r="M20" s="770"/>
      <c r="N20" s="770"/>
      <c r="O20" s="771"/>
      <c r="P20" s="804"/>
      <c r="Q20" s="805"/>
      <c r="R20" s="805"/>
      <c r="S20" s="805"/>
      <c r="T20" s="805"/>
      <c r="U20" s="805"/>
      <c r="V20" s="805"/>
      <c r="W20" s="805"/>
      <c r="X20" s="806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</row>
    <row r="21" spans="1:55" ht="11.9" customHeight="1">
      <c r="A21" s="497"/>
      <c r="B21" s="498"/>
      <c r="C21" s="498"/>
      <c r="D21" s="499"/>
      <c r="E21" s="486">
        <v>4</v>
      </c>
      <c r="F21" s="486"/>
      <c r="G21" s="766">
        <f>'RD T&amp;F'!G21</f>
        <v>19.63</v>
      </c>
      <c r="H21" s="767"/>
      <c r="I21" s="767"/>
      <c r="J21" s="767"/>
      <c r="K21" s="767"/>
      <c r="L21" s="767"/>
      <c r="M21" s="767"/>
      <c r="N21" s="767"/>
      <c r="O21" s="768"/>
      <c r="P21" s="801">
        <f>'RD T&amp;F'!P21</f>
        <v>41.7</v>
      </c>
      <c r="Q21" s="802"/>
      <c r="R21" s="802"/>
      <c r="S21" s="802"/>
      <c r="T21" s="802"/>
      <c r="U21" s="802"/>
      <c r="V21" s="802"/>
      <c r="W21" s="802"/>
      <c r="X21" s="803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</row>
    <row r="22" spans="1:55" ht="11.9" customHeight="1">
      <c r="A22" s="497"/>
      <c r="B22" s="498"/>
      <c r="C22" s="498"/>
      <c r="D22" s="499"/>
      <c r="E22" s="486"/>
      <c r="F22" s="486"/>
      <c r="G22" s="769"/>
      <c r="H22" s="770"/>
      <c r="I22" s="770"/>
      <c r="J22" s="770"/>
      <c r="K22" s="770"/>
      <c r="L22" s="770"/>
      <c r="M22" s="770"/>
      <c r="N22" s="770"/>
      <c r="O22" s="771"/>
      <c r="P22" s="804"/>
      <c r="Q22" s="805"/>
      <c r="R22" s="805"/>
      <c r="S22" s="805"/>
      <c r="T22" s="805"/>
      <c r="U22" s="805"/>
      <c r="V22" s="805"/>
      <c r="W22" s="805"/>
      <c r="X22" s="806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</row>
    <row r="23" spans="1:55" ht="11.9" customHeight="1">
      <c r="A23" s="497"/>
      <c r="B23" s="498"/>
      <c r="C23" s="498"/>
      <c r="D23" s="499"/>
      <c r="E23" s="486">
        <v>5</v>
      </c>
      <c r="F23" s="486"/>
      <c r="G23" s="766">
        <f>'RD T&amp;F'!G23</f>
        <v>19.64</v>
      </c>
      <c r="H23" s="767"/>
      <c r="I23" s="767"/>
      <c r="J23" s="767"/>
      <c r="K23" s="767"/>
      <c r="L23" s="767"/>
      <c r="M23" s="767"/>
      <c r="N23" s="767"/>
      <c r="O23" s="768"/>
      <c r="P23" s="801">
        <f>'RD T&amp;F'!P23</f>
        <v>42</v>
      </c>
      <c r="Q23" s="802"/>
      <c r="R23" s="802"/>
      <c r="S23" s="802"/>
      <c r="T23" s="802"/>
      <c r="U23" s="802"/>
      <c r="V23" s="802"/>
      <c r="W23" s="802"/>
      <c r="X23" s="80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</row>
    <row r="24" spans="1:55" ht="11.9" customHeight="1">
      <c r="A24" s="497"/>
      <c r="B24" s="498"/>
      <c r="C24" s="498"/>
      <c r="D24" s="499"/>
      <c r="E24" s="486"/>
      <c r="F24" s="486"/>
      <c r="G24" s="769"/>
      <c r="H24" s="770"/>
      <c r="I24" s="770"/>
      <c r="J24" s="770"/>
      <c r="K24" s="770"/>
      <c r="L24" s="770"/>
      <c r="M24" s="770"/>
      <c r="N24" s="770"/>
      <c r="O24" s="771"/>
      <c r="P24" s="804"/>
      <c r="Q24" s="805"/>
      <c r="R24" s="805"/>
      <c r="S24" s="805"/>
      <c r="T24" s="805"/>
      <c r="U24" s="805"/>
      <c r="V24" s="805"/>
      <c r="W24" s="805"/>
      <c r="X24" s="806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</row>
    <row r="25" spans="1:55" ht="11.9" customHeight="1">
      <c r="A25" s="497"/>
      <c r="B25" s="498"/>
      <c r="C25" s="498"/>
      <c r="D25" s="499"/>
      <c r="E25" s="486">
        <v>6</v>
      </c>
      <c r="F25" s="486"/>
      <c r="G25" s="766">
        <f>'RD T&amp;F'!G25</f>
        <v>19.91</v>
      </c>
      <c r="H25" s="767"/>
      <c r="I25" s="767"/>
      <c r="J25" s="767"/>
      <c r="K25" s="767"/>
      <c r="L25" s="767"/>
      <c r="M25" s="767"/>
      <c r="N25" s="767"/>
      <c r="O25" s="768"/>
      <c r="P25" s="801">
        <f>'RD T&amp;F'!P25</f>
        <v>40.5</v>
      </c>
      <c r="Q25" s="802"/>
      <c r="R25" s="802"/>
      <c r="S25" s="802"/>
      <c r="T25" s="802"/>
      <c r="U25" s="802"/>
      <c r="V25" s="802"/>
      <c r="W25" s="802"/>
      <c r="X25" s="803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</row>
    <row r="26" spans="1:55" ht="12" customHeight="1">
      <c r="A26" s="497"/>
      <c r="B26" s="498"/>
      <c r="C26" s="498"/>
      <c r="D26" s="499"/>
      <c r="E26" s="486"/>
      <c r="F26" s="486"/>
      <c r="G26" s="769"/>
      <c r="H26" s="770"/>
      <c r="I26" s="770"/>
      <c r="J26" s="770"/>
      <c r="K26" s="770"/>
      <c r="L26" s="770"/>
      <c r="M26" s="770"/>
      <c r="N26" s="770"/>
      <c r="O26" s="771"/>
      <c r="P26" s="804"/>
      <c r="Q26" s="805"/>
      <c r="R26" s="805"/>
      <c r="S26" s="805"/>
      <c r="T26" s="805"/>
      <c r="U26" s="805"/>
      <c r="V26" s="805"/>
      <c r="W26" s="805"/>
      <c r="X26" s="80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</row>
    <row r="27" spans="1:55" ht="12" customHeight="1">
      <c r="A27" s="497"/>
      <c r="B27" s="498"/>
      <c r="C27" s="498"/>
      <c r="D27" s="499"/>
      <c r="E27" s="486">
        <v>7</v>
      </c>
      <c r="F27" s="486"/>
      <c r="G27" s="766">
        <f>'RD T&amp;F'!G27</f>
        <v>19.64</v>
      </c>
      <c r="H27" s="767"/>
      <c r="I27" s="767"/>
      <c r="J27" s="767"/>
      <c r="K27" s="767"/>
      <c r="L27" s="767"/>
      <c r="M27" s="767"/>
      <c r="N27" s="767"/>
      <c r="O27" s="768"/>
      <c r="P27" s="801">
        <f>'RD T&amp;F'!P27</f>
        <v>41.1</v>
      </c>
      <c r="Q27" s="802"/>
      <c r="R27" s="802"/>
      <c r="S27" s="802"/>
      <c r="T27" s="802"/>
      <c r="U27" s="802"/>
      <c r="V27" s="802"/>
      <c r="W27" s="802"/>
      <c r="X27" s="803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</row>
    <row r="28" spans="1:55" ht="12" customHeight="1">
      <c r="A28" s="497"/>
      <c r="B28" s="498"/>
      <c r="C28" s="498"/>
      <c r="D28" s="499"/>
      <c r="E28" s="486"/>
      <c r="F28" s="486"/>
      <c r="G28" s="769"/>
      <c r="H28" s="770"/>
      <c r="I28" s="770"/>
      <c r="J28" s="770"/>
      <c r="K28" s="770"/>
      <c r="L28" s="770"/>
      <c r="M28" s="770"/>
      <c r="N28" s="770"/>
      <c r="O28" s="771"/>
      <c r="P28" s="804"/>
      <c r="Q28" s="805"/>
      <c r="R28" s="805"/>
      <c r="S28" s="805"/>
      <c r="T28" s="805"/>
      <c r="U28" s="805"/>
      <c r="V28" s="805"/>
      <c r="W28" s="805"/>
      <c r="X28" s="806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497"/>
      <c r="B29" s="498"/>
      <c r="C29" s="498"/>
      <c r="D29" s="499"/>
      <c r="E29" s="486">
        <v>8</v>
      </c>
      <c r="F29" s="486"/>
      <c r="G29" s="766">
        <f>'RD T&amp;F'!G29</f>
        <v>19.63</v>
      </c>
      <c r="H29" s="767"/>
      <c r="I29" s="767"/>
      <c r="J29" s="767"/>
      <c r="K29" s="767"/>
      <c r="L29" s="767"/>
      <c r="M29" s="767"/>
      <c r="N29" s="767"/>
      <c r="O29" s="768"/>
      <c r="P29" s="801">
        <f>'RD T&amp;F'!P29</f>
        <v>41.5</v>
      </c>
      <c r="Q29" s="802"/>
      <c r="R29" s="802"/>
      <c r="S29" s="802"/>
      <c r="T29" s="802"/>
      <c r="U29" s="802"/>
      <c r="V29" s="802"/>
      <c r="W29" s="802"/>
      <c r="X29" s="803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497"/>
      <c r="B30" s="498"/>
      <c r="C30" s="498"/>
      <c r="D30" s="499"/>
      <c r="E30" s="486"/>
      <c r="F30" s="486"/>
      <c r="G30" s="769"/>
      <c r="H30" s="770"/>
      <c r="I30" s="770"/>
      <c r="J30" s="770"/>
      <c r="K30" s="770"/>
      <c r="L30" s="770"/>
      <c r="M30" s="770"/>
      <c r="N30" s="770"/>
      <c r="O30" s="771"/>
      <c r="P30" s="804"/>
      <c r="Q30" s="805"/>
      <c r="R30" s="805"/>
      <c r="S30" s="805"/>
      <c r="T30" s="805"/>
      <c r="U30" s="805"/>
      <c r="V30" s="805"/>
      <c r="W30" s="805"/>
      <c r="X30" s="806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55" ht="12" customHeight="1">
      <c r="A31" s="497"/>
      <c r="B31" s="498"/>
      <c r="C31" s="498"/>
      <c r="D31" s="499"/>
      <c r="E31" s="486">
        <v>9</v>
      </c>
      <c r="F31" s="486"/>
      <c r="G31" s="766">
        <f>'RD T&amp;F'!G31</f>
        <v>19.63</v>
      </c>
      <c r="H31" s="767"/>
      <c r="I31" s="767"/>
      <c r="J31" s="767"/>
      <c r="K31" s="767"/>
      <c r="L31" s="767"/>
      <c r="M31" s="767"/>
      <c r="N31" s="767"/>
      <c r="O31" s="768"/>
      <c r="P31" s="801">
        <f>'RD T&amp;F'!P31</f>
        <v>41.7</v>
      </c>
      <c r="Q31" s="802"/>
      <c r="R31" s="802"/>
      <c r="S31" s="802"/>
      <c r="T31" s="802"/>
      <c r="U31" s="802"/>
      <c r="V31" s="802"/>
      <c r="W31" s="802"/>
      <c r="X31" s="803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55" ht="12" customHeight="1">
      <c r="A32" s="497"/>
      <c r="B32" s="498"/>
      <c r="C32" s="498"/>
      <c r="D32" s="499"/>
      <c r="E32" s="486"/>
      <c r="F32" s="486"/>
      <c r="G32" s="769"/>
      <c r="H32" s="770"/>
      <c r="I32" s="770"/>
      <c r="J32" s="770"/>
      <c r="K32" s="770"/>
      <c r="L32" s="770"/>
      <c r="M32" s="770"/>
      <c r="N32" s="770"/>
      <c r="O32" s="771"/>
      <c r="P32" s="804"/>
      <c r="Q32" s="805"/>
      <c r="R32" s="805"/>
      <c r="S32" s="805"/>
      <c r="T32" s="805"/>
      <c r="U32" s="805"/>
      <c r="V32" s="805"/>
      <c r="W32" s="805"/>
      <c r="X32" s="806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ht="11.9" customHeight="1">
      <c r="A33" s="497"/>
      <c r="B33" s="498"/>
      <c r="C33" s="498"/>
      <c r="D33" s="499"/>
      <c r="E33" s="486">
        <v>10</v>
      </c>
      <c r="F33" s="486"/>
      <c r="G33" s="766">
        <f>'RD T&amp;F'!G33</f>
        <v>19.64</v>
      </c>
      <c r="H33" s="767"/>
      <c r="I33" s="767"/>
      <c r="J33" s="767"/>
      <c r="K33" s="767"/>
      <c r="L33" s="767"/>
      <c r="M33" s="767"/>
      <c r="N33" s="767"/>
      <c r="O33" s="768"/>
      <c r="P33" s="801">
        <f>'RD T&amp;F'!P33</f>
        <v>42</v>
      </c>
      <c r="Q33" s="802"/>
      <c r="R33" s="802"/>
      <c r="S33" s="802"/>
      <c r="T33" s="802"/>
      <c r="U33" s="802"/>
      <c r="V33" s="802"/>
      <c r="W33" s="802"/>
      <c r="X33" s="80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ht="11.9" customHeight="1">
      <c r="A34" s="497"/>
      <c r="B34" s="498"/>
      <c r="C34" s="498"/>
      <c r="D34" s="499"/>
      <c r="E34" s="486"/>
      <c r="F34" s="486"/>
      <c r="G34" s="769"/>
      <c r="H34" s="770"/>
      <c r="I34" s="770"/>
      <c r="J34" s="770"/>
      <c r="K34" s="770"/>
      <c r="L34" s="770"/>
      <c r="M34" s="770"/>
      <c r="N34" s="770"/>
      <c r="O34" s="771"/>
      <c r="P34" s="804"/>
      <c r="Q34" s="805"/>
      <c r="R34" s="805"/>
      <c r="S34" s="805"/>
      <c r="T34" s="805"/>
      <c r="U34" s="805"/>
      <c r="V34" s="805"/>
      <c r="W34" s="805"/>
      <c r="X34" s="806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1.9" customHeight="1">
      <c r="A35" s="497"/>
      <c r="B35" s="498"/>
      <c r="C35" s="498"/>
      <c r="D35" s="499"/>
      <c r="E35" s="486" t="s">
        <v>81</v>
      </c>
      <c r="F35" s="486"/>
      <c r="G35" s="795">
        <f>'RD T&amp;F'!G35</f>
        <v>19.669999999999995</v>
      </c>
      <c r="H35" s="796"/>
      <c r="I35" s="796"/>
      <c r="J35" s="796"/>
      <c r="K35" s="796"/>
      <c r="L35" s="796"/>
      <c r="M35" s="796"/>
      <c r="N35" s="796"/>
      <c r="O35" s="797"/>
      <c r="P35" s="789">
        <f>'RD T&amp;F'!P35</f>
        <v>41.46</v>
      </c>
      <c r="Q35" s="790"/>
      <c r="R35" s="790"/>
      <c r="S35" s="790"/>
      <c r="T35" s="790"/>
      <c r="U35" s="790"/>
      <c r="V35" s="790"/>
      <c r="W35" s="790"/>
      <c r="X35" s="791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spans="1:40" ht="11.9" customHeight="1">
      <c r="A36" s="500"/>
      <c r="B36" s="501"/>
      <c r="C36" s="501"/>
      <c r="D36" s="502"/>
      <c r="E36" s="486"/>
      <c r="F36" s="486"/>
      <c r="G36" s="798"/>
      <c r="H36" s="799"/>
      <c r="I36" s="799"/>
      <c r="J36" s="799"/>
      <c r="K36" s="799"/>
      <c r="L36" s="799"/>
      <c r="M36" s="799"/>
      <c r="N36" s="799"/>
      <c r="O36" s="800"/>
      <c r="P36" s="792"/>
      <c r="Q36" s="793"/>
      <c r="R36" s="793"/>
      <c r="S36" s="793"/>
      <c r="T36" s="793"/>
      <c r="U36" s="793"/>
      <c r="V36" s="793"/>
      <c r="W36" s="793"/>
      <c r="X36" s="794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ht="11.9" customHeight="1"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 ht="11.9" customHeight="1">
      <c r="A38" s="672" t="s">
        <v>82</v>
      </c>
      <c r="B38" s="673"/>
      <c r="C38" s="673"/>
      <c r="D38" s="673"/>
      <c r="E38" s="473" t="str">
        <f>Eingabe_!$B$7</f>
        <v>OP 1</v>
      </c>
      <c r="F38" s="473"/>
      <c r="G38" s="673" t="s">
        <v>591</v>
      </c>
      <c r="H38" s="673"/>
      <c r="I38" s="673"/>
      <c r="J38" s="673"/>
      <c r="K38" s="673"/>
      <c r="L38" s="673"/>
      <c r="M38" s="673"/>
      <c r="N38" s="673"/>
      <c r="O38" s="673"/>
      <c r="P38" s="140"/>
      <c r="Q38" s="140"/>
      <c r="R38" s="140"/>
      <c r="S38" s="773"/>
      <c r="T38" s="774"/>
      <c r="U38" s="777"/>
      <c r="V38" s="778">
        <f>'RD T&amp;F'!U39</f>
        <v>19.669999999999995</v>
      </c>
      <c r="W38" s="779"/>
      <c r="X38" s="781" t="s">
        <v>83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ht="11.9" customHeight="1">
      <c r="A39" s="674"/>
      <c r="B39" s="675"/>
      <c r="C39" s="675"/>
      <c r="D39" s="675"/>
      <c r="E39" s="506"/>
      <c r="F39" s="506"/>
      <c r="G39" s="675"/>
      <c r="H39" s="675"/>
      <c r="I39" s="675"/>
      <c r="J39" s="675"/>
      <c r="K39" s="675"/>
      <c r="L39" s="675"/>
      <c r="M39" s="675"/>
      <c r="N39" s="675"/>
      <c r="O39" s="675"/>
      <c r="P39" s="141"/>
      <c r="Q39" s="141"/>
      <c r="R39" s="141"/>
      <c r="S39" s="775"/>
      <c r="T39" s="776"/>
      <c r="U39" s="776"/>
      <c r="V39" s="780"/>
      <c r="W39" s="780"/>
      <c r="X39" s="782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ht="11.9" customHeight="1">
      <c r="A40" s="137" t="s">
        <v>324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40" ht="12" customHeight="1">
      <c r="A41" s="69"/>
      <c r="B41" s="40"/>
      <c r="Y41" s="10"/>
      <c r="Z41" s="10"/>
      <c r="AA41" s="10"/>
      <c r="AB41" s="10"/>
      <c r="AC41" s="10"/>
      <c r="AD41" s="10"/>
      <c r="AE41" s="10"/>
    </row>
    <row r="42" spans="1:40" ht="12" customHeight="1">
      <c r="A42" s="69" t="s">
        <v>221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772" t="s">
        <v>196</v>
      </c>
      <c r="U42" s="772"/>
      <c r="V42" s="772"/>
      <c r="W42" s="772"/>
      <c r="X42" s="772"/>
      <c r="AB42" s="10"/>
      <c r="AC42" s="10"/>
    </row>
    <row r="43" spans="1:40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B43" s="10"/>
      <c r="AC43" s="10"/>
    </row>
    <row r="44" spans="1:40" ht="12" customHeight="1">
      <c r="A44" s="63" t="s">
        <v>37</v>
      </c>
      <c r="B44" s="63"/>
      <c r="D44" s="63"/>
      <c r="E44" s="688" t="str">
        <f>IF(AND(V38&lt;=24,V38&gt;=18),"Der Sollwertbereich der Temperatur wird eingehalten.","Der Sollwertbereich der Temperatur wird nicht eingehalten.")</f>
        <v>Der Sollwertbereich der Temperatur wird eingehalten.</v>
      </c>
      <c r="F44" s="688"/>
      <c r="G44" s="688"/>
      <c r="H44" s="688"/>
      <c r="I44" s="688"/>
      <c r="J44" s="688"/>
      <c r="K44" s="688"/>
      <c r="L44" s="688"/>
      <c r="M44" s="688"/>
      <c r="N44" s="688"/>
      <c r="O44" s="688"/>
      <c r="P44" s="688"/>
      <c r="Q44" s="688"/>
      <c r="R44" s="688"/>
      <c r="S44" s="688"/>
      <c r="T44" s="688"/>
      <c r="U44" s="688"/>
      <c r="V44" s="688"/>
      <c r="W44" s="688"/>
      <c r="AB44" s="139"/>
      <c r="AC44" s="10"/>
    </row>
    <row r="45" spans="1:40" ht="12" customHeight="1">
      <c r="A45" s="63"/>
      <c r="B45" s="63"/>
      <c r="D45" s="63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AB45" s="139"/>
      <c r="AC45" s="10"/>
    </row>
    <row r="46" spans="1:40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0"/>
      <c r="AC46" s="10"/>
    </row>
    <row r="47" spans="1:40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10"/>
      <c r="AC47" s="10"/>
    </row>
    <row r="48" spans="1:40" ht="12" customHeight="1">
      <c r="A48" s="672" t="s">
        <v>82</v>
      </c>
      <c r="B48" s="673"/>
      <c r="C48" s="673"/>
      <c r="D48" s="673"/>
      <c r="E48" s="473" t="str">
        <f>Eingabe_!$B$7</f>
        <v>OP 1</v>
      </c>
      <c r="F48" s="473"/>
      <c r="G48" s="673" t="s">
        <v>592</v>
      </c>
      <c r="H48" s="673"/>
      <c r="I48" s="673"/>
      <c r="J48" s="673"/>
      <c r="K48" s="673"/>
      <c r="L48" s="673"/>
      <c r="M48" s="673"/>
      <c r="N48" s="673"/>
      <c r="O48" s="673"/>
      <c r="P48" s="140"/>
      <c r="Q48" s="140"/>
      <c r="R48" s="140"/>
      <c r="S48" s="783"/>
      <c r="T48" s="784"/>
      <c r="U48" s="777"/>
      <c r="V48" s="786">
        <f>'RD T&amp;F'!U44</f>
        <v>41.46</v>
      </c>
      <c r="W48" s="787"/>
      <c r="X48" s="781" t="s">
        <v>198</v>
      </c>
      <c r="AB48" s="10"/>
      <c r="AC48" s="10"/>
    </row>
    <row r="49" spans="1:29" ht="12" customHeight="1">
      <c r="A49" s="674"/>
      <c r="B49" s="675"/>
      <c r="C49" s="675"/>
      <c r="D49" s="675"/>
      <c r="E49" s="506"/>
      <c r="F49" s="506"/>
      <c r="G49" s="675"/>
      <c r="H49" s="675"/>
      <c r="I49" s="675"/>
      <c r="J49" s="675"/>
      <c r="K49" s="675"/>
      <c r="L49" s="675"/>
      <c r="M49" s="675"/>
      <c r="N49" s="675"/>
      <c r="O49" s="675"/>
      <c r="P49" s="141"/>
      <c r="Q49" s="141"/>
      <c r="R49" s="141"/>
      <c r="S49" s="785"/>
      <c r="T49" s="785"/>
      <c r="U49" s="776"/>
      <c r="V49" s="788"/>
      <c r="W49" s="788"/>
      <c r="X49" s="782"/>
      <c r="AB49" s="10"/>
      <c r="AC49" s="10"/>
    </row>
    <row r="50" spans="1:29" ht="12" customHeight="1">
      <c r="A50" s="137" t="s">
        <v>325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C50" s="136"/>
    </row>
    <row r="51" spans="1:29" ht="12" customHeight="1">
      <c r="A51" s="69"/>
      <c r="B51" s="40"/>
    </row>
    <row r="52" spans="1:29" ht="12" customHeight="1">
      <c r="A52" s="69" t="s">
        <v>222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772" t="s">
        <v>362</v>
      </c>
      <c r="U52" s="772"/>
      <c r="V52" s="772"/>
      <c r="W52" s="772"/>
      <c r="X52" s="772"/>
    </row>
    <row r="53" spans="1:29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9" ht="12" customHeight="1">
      <c r="A54" s="63" t="s">
        <v>37</v>
      </c>
      <c r="B54" s="63"/>
      <c r="D54" s="63"/>
      <c r="E54" s="688" t="str">
        <f>IF(AND(V48&lt;=50,V48&gt;=30),"Der Sollwertbereich für die Feuchte wird eingehalten.","Der Sollwertbereich für die Feuchte wird nicht eingehalten.")</f>
        <v>Der Sollwertbereich für die Feuchte wird eingehalten.</v>
      </c>
      <c r="F54" s="688"/>
      <c r="G54" s="688"/>
      <c r="H54" s="688"/>
      <c r="I54" s="688"/>
      <c r="J54" s="688"/>
      <c r="K54" s="688"/>
      <c r="L54" s="688"/>
      <c r="M54" s="688"/>
      <c r="N54" s="688"/>
      <c r="O54" s="688"/>
      <c r="P54" s="688"/>
      <c r="Q54" s="688"/>
      <c r="R54" s="688"/>
      <c r="S54" s="688"/>
      <c r="T54" s="688"/>
      <c r="U54" s="688"/>
      <c r="V54" s="688"/>
      <c r="W54" s="688"/>
      <c r="Z54" s="138"/>
    </row>
    <row r="55" spans="1:29" ht="12" customHeight="1">
      <c r="A55" s="63"/>
      <c r="B55" s="63"/>
      <c r="D55" s="63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Z55" s="138"/>
    </row>
    <row r="56" spans="1:29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9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9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29" ht="12" customHeight="1">
      <c r="A59" s="69" t="s">
        <v>38</v>
      </c>
      <c r="B59" s="10"/>
      <c r="C59" s="10"/>
      <c r="D59" s="10"/>
      <c r="E59" s="1" t="str">
        <f>IF(V38&gt;24,"Die Raumlufttemperatur und Raumluftfeuchte entspricht den Anforderungen nicht.",IF(V38&lt;18,"Die Raumlufttemperatur und Raumluftfeuchte entspricht den Anforderungen nicht.",IF(V48&lt;30,"Die Raumlufttemperatur und Raumluftfeuchte entspricht den Anforderungen nicht.",IF(V48&gt;50,"Die Raumlufttemperatur und Raumluftfeuchte entspricht den Anforderungen nicht.","Die Raumlufttemperatur und Raumluftfeuchte entspricht den Anforderungen."))))</f>
        <v>Die Raumlufttemperatur und Raumluftfeuchte entspricht den Anforderungen.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29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29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29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29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29" ht="6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6"/>
      <c r="V64" s="106"/>
      <c r="W64" s="106"/>
      <c r="X64" s="106"/>
    </row>
    <row r="65" spans="1:24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6"/>
      <c r="V65" s="106"/>
      <c r="W65" s="106"/>
      <c r="X65" s="106"/>
    </row>
    <row r="66" spans="1:24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62">
    <mergeCell ref="G25:O26"/>
    <mergeCell ref="G27:O28"/>
    <mergeCell ref="G29:O30"/>
    <mergeCell ref="G31:O32"/>
    <mergeCell ref="G33:O34"/>
    <mergeCell ref="R5:W5"/>
    <mergeCell ref="A9:X10"/>
    <mergeCell ref="A11:D14"/>
    <mergeCell ref="E11:F14"/>
    <mergeCell ref="R7:W7"/>
    <mergeCell ref="P14:X14"/>
    <mergeCell ref="G11:X12"/>
    <mergeCell ref="G13:O13"/>
    <mergeCell ref="G14:O14"/>
    <mergeCell ref="P13:X13"/>
    <mergeCell ref="P29:X30"/>
    <mergeCell ref="P31:X32"/>
    <mergeCell ref="P33:X34"/>
    <mergeCell ref="E15:F16"/>
    <mergeCell ref="E17:F18"/>
    <mergeCell ref="E19:F20"/>
    <mergeCell ref="P23:X24"/>
    <mergeCell ref="P25:X26"/>
    <mergeCell ref="P27:X28"/>
    <mergeCell ref="P15:X16"/>
    <mergeCell ref="P17:X18"/>
    <mergeCell ref="P19:X20"/>
    <mergeCell ref="P21:X22"/>
    <mergeCell ref="G15:O16"/>
    <mergeCell ref="G17:O18"/>
    <mergeCell ref="G19:O20"/>
    <mergeCell ref="E54:W54"/>
    <mergeCell ref="T52:X52"/>
    <mergeCell ref="T42:X42"/>
    <mergeCell ref="E44:W44"/>
    <mergeCell ref="E33:F34"/>
    <mergeCell ref="S38:T39"/>
    <mergeCell ref="U38:U39"/>
    <mergeCell ref="V38:W39"/>
    <mergeCell ref="X38:X39"/>
    <mergeCell ref="S48:T49"/>
    <mergeCell ref="U48:U49"/>
    <mergeCell ref="V48:W49"/>
    <mergeCell ref="X48:X49"/>
    <mergeCell ref="P35:X36"/>
    <mergeCell ref="G35:O36"/>
    <mergeCell ref="A48:D49"/>
    <mergeCell ref="E48:F49"/>
    <mergeCell ref="G48:O49"/>
    <mergeCell ref="A15:D36"/>
    <mergeCell ref="A38:D39"/>
    <mergeCell ref="E38:F39"/>
    <mergeCell ref="G38:O39"/>
    <mergeCell ref="E21:F22"/>
    <mergeCell ref="E23:F24"/>
    <mergeCell ref="E25:F26"/>
    <mergeCell ref="E27:F28"/>
    <mergeCell ref="E29:F30"/>
    <mergeCell ref="E31:F32"/>
    <mergeCell ref="E35:F36"/>
    <mergeCell ref="G21:O22"/>
    <mergeCell ref="G23:O2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704D-3984-4AE6-9B88-8021C3E268C9}">
  <sheetPr codeName="Tabelle26">
    <tabColor theme="5" tint="0.79998168889431442"/>
    <pageSetUpPr fitToPage="1"/>
  </sheetPr>
  <dimension ref="A1:BC207"/>
  <sheetViews>
    <sheetView view="pageLayout" zoomScale="166" zoomScaleNormal="98" zoomScaleSheetLayoutView="100" zoomScalePageLayoutView="166" workbookViewId="0">
      <selection activeCell="N31" sqref="N3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Seitenregister!X23</f>
        <v>19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472" t="str">
        <f>Eingabe_!P8</f>
        <v>07.05.2022</v>
      </c>
      <c r="S5" s="472"/>
      <c r="T5" s="472"/>
      <c r="U5" s="472"/>
      <c r="V5" s="472"/>
      <c r="W5" s="472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44" t="str">
        <f>Eingabe_!$G$18</f>
        <v>OP 1</v>
      </c>
      <c r="S7" s="844"/>
      <c r="T7" s="844"/>
      <c r="U7" s="844"/>
      <c r="V7" s="844"/>
      <c r="W7" s="844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37" t="s">
        <v>596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34" t="s">
        <v>108</v>
      </c>
      <c r="B11" s="734"/>
      <c r="C11" s="734"/>
      <c r="D11" s="734"/>
      <c r="E11" s="455" t="s">
        <v>326</v>
      </c>
      <c r="F11" s="456"/>
      <c r="G11" s="456"/>
      <c r="H11" s="456"/>
      <c r="I11" s="456"/>
      <c r="J11" s="456"/>
      <c r="K11" s="456"/>
      <c r="L11" s="456"/>
      <c r="M11" s="456"/>
      <c r="N11" s="456"/>
      <c r="O11" s="456"/>
      <c r="P11" s="456"/>
      <c r="Q11" s="456"/>
      <c r="R11" s="456"/>
      <c r="S11" s="456"/>
      <c r="T11" s="457"/>
      <c r="U11" s="455" t="s">
        <v>223</v>
      </c>
      <c r="V11" s="456"/>
      <c r="W11" s="456"/>
      <c r="X11" s="457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34"/>
      <c r="B12" s="734"/>
      <c r="C12" s="734"/>
      <c r="D12" s="734"/>
      <c r="E12" s="458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  <c r="Q12" s="459"/>
      <c r="R12" s="459"/>
      <c r="S12" s="459"/>
      <c r="T12" s="460"/>
      <c r="U12" s="458"/>
      <c r="V12" s="459"/>
      <c r="W12" s="459"/>
      <c r="X12" s="460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2" customHeight="1">
      <c r="A13" s="735"/>
      <c r="B13" s="735"/>
      <c r="C13" s="735"/>
      <c r="D13" s="735"/>
      <c r="E13" s="458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59"/>
      <c r="R13" s="459"/>
      <c r="S13" s="459"/>
      <c r="T13" s="460"/>
      <c r="U13" s="458"/>
      <c r="V13" s="459"/>
      <c r="W13" s="459"/>
      <c r="X13" s="460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 s="10"/>
      <c r="AY13" s="10"/>
      <c r="AZ13" s="10"/>
      <c r="BA13" s="10"/>
      <c r="BB13" s="10"/>
      <c r="BC13" s="10"/>
    </row>
    <row r="14" spans="1:55" ht="11.9" customHeight="1">
      <c r="A14" s="735"/>
      <c r="B14" s="735"/>
      <c r="C14" s="735"/>
      <c r="D14" s="735"/>
      <c r="E14" s="731"/>
      <c r="F14" s="732"/>
      <c r="G14" s="732"/>
      <c r="H14" s="732"/>
      <c r="I14" s="732"/>
      <c r="J14" s="732"/>
      <c r="K14" s="732"/>
      <c r="L14" s="732"/>
      <c r="M14" s="732"/>
      <c r="N14" s="732"/>
      <c r="O14" s="732"/>
      <c r="P14" s="732"/>
      <c r="Q14" s="732"/>
      <c r="R14" s="732"/>
      <c r="S14" s="732"/>
      <c r="T14" s="733"/>
      <c r="U14" s="731"/>
      <c r="V14" s="732"/>
      <c r="W14" s="732"/>
      <c r="X14" s="733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817" t="s">
        <v>133</v>
      </c>
      <c r="B15" s="818"/>
      <c r="C15" s="818"/>
      <c r="D15" s="819"/>
      <c r="E15" s="826">
        <f>'RD Schall'!E14</f>
        <v>46.8</v>
      </c>
      <c r="F15" s="827"/>
      <c r="G15" s="827"/>
      <c r="H15" s="827"/>
      <c r="I15" s="827"/>
      <c r="J15" s="827"/>
      <c r="K15" s="827"/>
      <c r="L15" s="827"/>
      <c r="M15" s="827"/>
      <c r="N15" s="827"/>
      <c r="O15" s="827"/>
      <c r="P15" s="827"/>
      <c r="Q15" s="827"/>
      <c r="R15" s="827"/>
      <c r="S15" s="827"/>
      <c r="T15" s="828"/>
      <c r="U15" s="835">
        <v>48</v>
      </c>
      <c r="V15" s="836"/>
      <c r="W15" s="836"/>
      <c r="X15" s="837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820"/>
      <c r="B16" s="821"/>
      <c r="C16" s="821"/>
      <c r="D16" s="822"/>
      <c r="E16" s="829"/>
      <c r="F16" s="830"/>
      <c r="G16" s="830"/>
      <c r="H16" s="830"/>
      <c r="I16" s="830"/>
      <c r="J16" s="830"/>
      <c r="K16" s="830"/>
      <c r="L16" s="830"/>
      <c r="M16" s="830"/>
      <c r="N16" s="830"/>
      <c r="O16" s="830"/>
      <c r="P16" s="830"/>
      <c r="Q16" s="830"/>
      <c r="R16" s="830"/>
      <c r="S16" s="830"/>
      <c r="T16" s="831"/>
      <c r="U16" s="838"/>
      <c r="V16" s="839"/>
      <c r="W16" s="839"/>
      <c r="X16" s="840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820"/>
      <c r="B17" s="821"/>
      <c r="C17" s="821"/>
      <c r="D17" s="822"/>
      <c r="E17" s="829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1"/>
      <c r="U17" s="838"/>
      <c r="V17" s="839"/>
      <c r="W17" s="839"/>
      <c r="X17" s="840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823"/>
      <c r="B18" s="824"/>
      <c r="C18" s="824"/>
      <c r="D18" s="825"/>
      <c r="E18" s="832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3"/>
      <c r="Q18" s="833"/>
      <c r="R18" s="833"/>
      <c r="S18" s="833"/>
      <c r="T18" s="834"/>
      <c r="U18" s="841"/>
      <c r="V18" s="842"/>
      <c r="W18" s="842"/>
      <c r="X18" s="843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106" t="s">
        <v>618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B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IF((OR(U15&gt;E15)),"Der maximal zulässige Schallpegel wird nicht überschritten.","Der maximal zulässige Schallpegel wird überschritten.")</f>
        <v>Der maximal zulässige Schallpegel wird nicht überschritten.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BA24" s="10"/>
      <c r="BB24" s="10"/>
      <c r="BC24" s="10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BA25" s="10"/>
      <c r="BB25" s="10"/>
      <c r="BC25" s="10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 s="10"/>
      <c r="AY26" s="10"/>
      <c r="AZ26" s="10"/>
      <c r="BA26" s="10"/>
      <c r="BB26" s="10"/>
      <c r="BC26" s="10"/>
    </row>
    <row r="27" spans="1:55" ht="11.9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 s="10"/>
      <c r="AY27" s="10"/>
      <c r="AZ27" s="10"/>
      <c r="BA27" s="10"/>
      <c r="BB27" s="10"/>
      <c r="BC27" s="10"/>
    </row>
    <row r="28" spans="1:55" ht="11.9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 s="10"/>
      <c r="AY28" s="10"/>
      <c r="AZ28" s="10"/>
      <c r="BA28" s="10"/>
      <c r="BB28" s="10"/>
      <c r="BC28" s="10"/>
    </row>
    <row r="29" spans="1:55" ht="11.9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10"/>
      <c r="AY29" s="10"/>
      <c r="AZ29" s="10"/>
      <c r="BA29" s="10"/>
      <c r="BB29" s="10"/>
      <c r="BC29" s="10"/>
    </row>
    <row r="30" spans="1:55" ht="11.9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10"/>
      <c r="AY30" s="10"/>
      <c r="AZ30" s="10"/>
      <c r="BA30" s="10"/>
      <c r="BB30" s="10"/>
      <c r="BC30" s="1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10"/>
      <c r="AY31" s="10"/>
      <c r="AZ31" s="10"/>
      <c r="BA31" s="10"/>
      <c r="BB31" s="10"/>
      <c r="BC31" s="10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 s="10"/>
      <c r="AY32" s="10"/>
      <c r="AZ32" s="10"/>
      <c r="BA32" s="10"/>
      <c r="BB32" s="10"/>
      <c r="BC32" s="10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10"/>
      <c r="AY33" s="10"/>
      <c r="AZ33" s="10"/>
      <c r="BA33" s="10"/>
      <c r="BB33" s="10"/>
      <c r="BC33" s="10"/>
    </row>
    <row r="34" spans="1:55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5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55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55" ht="11.9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55" ht="11.9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 s="191"/>
      <c r="AM46"/>
      <c r="AN46"/>
      <c r="AO46"/>
    </row>
    <row r="47" spans="1:55" ht="11.9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1:55" ht="11.9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</row>
    <row r="49" spans="1:40" ht="11.9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</row>
    <row r="50" spans="1:40" ht="11.9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0" ht="11.9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spans="1:40" ht="12" customHeight="1">
      <c r="A52"/>
      <c r="B52"/>
      <c r="C52"/>
      <c r="D52"/>
      <c r="T52"/>
      <c r="U52"/>
      <c r="V52"/>
      <c r="W52"/>
      <c r="X52"/>
      <c r="Y52" s="10"/>
      <c r="Z52" s="10"/>
      <c r="AA52" s="10"/>
      <c r="AB52" s="10"/>
      <c r="AC52" s="10"/>
      <c r="AD52" s="10"/>
      <c r="AE52" s="10"/>
    </row>
    <row r="53" spans="1:40" ht="12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 t="s">
        <v>118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40" ht="12" customHeight="1">
      <c r="A54" s="47"/>
      <c r="B54" s="1"/>
      <c r="C54" s="1"/>
      <c r="D54" s="1"/>
      <c r="G54" s="65"/>
      <c r="H54" s="66"/>
      <c r="I54" s="67"/>
      <c r="K54" s="67"/>
      <c r="L54" s="64"/>
      <c r="M54" s="67"/>
      <c r="N54" s="67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40" ht="12" customHeight="1"/>
    <row r="56" spans="1:40" ht="12" customHeight="1">
      <c r="B56" s="69"/>
      <c r="C56" s="69"/>
      <c r="D56" s="69"/>
      <c r="E56" s="69"/>
      <c r="G56" s="6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6"/>
      <c r="V56" s="106"/>
      <c r="W56" s="106"/>
      <c r="X56" s="106"/>
    </row>
    <row r="57" spans="1:40" ht="12" customHeight="1">
      <c r="B57" s="10"/>
      <c r="C57" s="10"/>
      <c r="D57" s="10"/>
      <c r="E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6"/>
      <c r="V57" s="106"/>
      <c r="W57" s="106"/>
      <c r="X57" s="106"/>
    </row>
    <row r="58" spans="1:40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40" ht="12" customHeight="1">
      <c r="A59" s="69" t="s">
        <v>38</v>
      </c>
      <c r="B59" s="10"/>
      <c r="C59" s="10"/>
      <c r="D59" s="10"/>
      <c r="E59" s="10"/>
      <c r="F59" s="69" t="str">
        <f>IF((OR(U15&lt;E15)),"Der Schallpegel entspricht den Anforderungen nicht.","Der Schallpegel entspricht den Anforderungen.")</f>
        <v>Der Schallpegel entspricht den Anforderungen.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40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40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40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40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40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>
      <c r="U79" s="40"/>
      <c r="V79" s="40"/>
      <c r="W79" s="40"/>
      <c r="X79" s="40"/>
    </row>
    <row r="80" spans="2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/>
    <row r="90" spans="21:24" ht="6" customHeight="1"/>
    <row r="91" spans="21:24" ht="6" customHeight="1"/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</sheetData>
  <mergeCells count="9">
    <mergeCell ref="A15:D18"/>
    <mergeCell ref="E15:T18"/>
    <mergeCell ref="U15:X18"/>
    <mergeCell ref="R5:W5"/>
    <mergeCell ref="A9:X10"/>
    <mergeCell ref="A11:D14"/>
    <mergeCell ref="U11:X14"/>
    <mergeCell ref="E11:T14"/>
    <mergeCell ref="R7:W7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80A-291C-4507-9673-DA5CA033A99A}">
  <sheetPr codeName="Tabelle28">
    <tabColor rgb="FF92D050"/>
    <pageSetUpPr fitToPage="1"/>
  </sheetPr>
  <dimension ref="A1:AY222"/>
  <sheetViews>
    <sheetView zoomScale="82" zoomScaleNormal="82" zoomScaleSheetLayoutView="91" zoomScalePageLayoutView="75" workbookViewId="0">
      <selection activeCell="W10" sqref="W1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177</v>
      </c>
      <c r="B1" s="5"/>
      <c r="C1" s="5"/>
      <c r="D1" s="5"/>
      <c r="E1" s="245" t="s">
        <v>575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Seitenregister!X24</f>
        <v>20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Eingabe_!R8</f>
        <v>06.05.2022</v>
      </c>
      <c r="S5" s="603"/>
      <c r="T5" s="603"/>
      <c r="U5" s="603"/>
      <c r="V5" s="603"/>
      <c r="W5" s="603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45" t="str">
        <f>Eingabe_!$G$20</f>
        <v>OP 1</v>
      </c>
      <c r="S7" s="845"/>
      <c r="T7" s="845"/>
      <c r="U7" s="845"/>
      <c r="V7" s="845"/>
      <c r="W7" s="845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46">
        <f>[6]Eingabe_!$E$9</f>
        <v>46.47</v>
      </c>
      <c r="F9" s="846"/>
      <c r="G9" s="846"/>
      <c r="H9" s="846"/>
      <c r="I9" s="846"/>
      <c r="J9" s="846"/>
      <c r="K9" s="846"/>
      <c r="L9" s="846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ROUNDUP((IF(Z9&lt;=2,"1",(IF(Z9&lt;=4,2,(IF(Z9&lt;=6,3,(IF(Z9&lt;=8,4,(IF(Z9&lt;=10,5,(IF(Z9&lt;=24,6,(IF(Z9&lt;=28,7,(IF(Z9&lt;=32,8,(IF(Z9&lt;=36,9,(IF(Z9&lt;=52,10,(IF(Z9&lt;=56,11,(IF(Z9&lt;=64,12,(IF(Z9&lt;=68,13,(IF(Z9&lt;=72,14,(IF(Z9&lt;=76,15,(IF(Z9&lt;=104,16,(IF(Z9&lt;=108,17,(IF(Z9&lt;=116,18,(IF(Z9&lt;=148,19,(IF(Z9&lt;=156,20,(IF(Z9&lt;=192,21,(IF(Z9&lt;=232,22,(IF(Z9&lt;=276,23,(IF(Z9&lt;=352,24,(IF(Z9&lt;=436,25,(IF(Z9&lt;=636,26,(IF(Z9&lt;=1000,27,(IF(Z9&gt;1000,Z9*0.027,"leer")))))))))))))))))))))))))))))))))))))))))))))))))))))))),0)</f>
        <v>3</v>
      </c>
      <c r="X9" s="56"/>
      <c r="Y9" s="268"/>
      <c r="Z9">
        <v>6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VLOOKUP([6]Eingabe_!$Z$104,[6]Eingabe_!$AM$2:$AW$7,9)</f>
        <v>ISO Klasse 5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200</v>
      </c>
      <c r="O10" s="59"/>
      <c r="P10" s="59"/>
      <c r="Q10" s="59"/>
      <c r="R10" s="59"/>
      <c r="S10" s="59"/>
      <c r="T10" s="59"/>
      <c r="U10" s="59"/>
      <c r="V10" s="59"/>
      <c r="W10" s="61">
        <f>W9</f>
        <v>3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37" t="s">
        <v>576</v>
      </c>
      <c r="B12" s="537"/>
      <c r="C12" s="537"/>
      <c r="D12" s="537"/>
      <c r="E12" s="537"/>
      <c r="F12" s="537"/>
      <c r="G12" s="537"/>
      <c r="H12" s="537"/>
      <c r="I12" s="537"/>
      <c r="J12" s="537"/>
      <c r="K12" s="537"/>
      <c r="L12" s="537"/>
      <c r="M12" s="537"/>
      <c r="N12" s="537"/>
      <c r="O12" s="537"/>
      <c r="P12" s="537"/>
      <c r="Q12" s="537"/>
      <c r="R12" s="537"/>
      <c r="S12" s="537"/>
      <c r="T12" s="537"/>
      <c r="U12" s="537"/>
      <c r="V12" s="537"/>
      <c r="W12" s="537"/>
      <c r="X12" s="537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37"/>
      <c r="B13" s="537"/>
      <c r="C13" s="537"/>
      <c r="D13" s="537"/>
      <c r="E13" s="537"/>
      <c r="F13" s="537"/>
      <c r="G13" s="537"/>
      <c r="H13" s="537"/>
      <c r="I13" s="537"/>
      <c r="J13" s="537"/>
      <c r="K13" s="537"/>
      <c r="L13" s="537"/>
      <c r="M13" s="537"/>
      <c r="N13" s="537"/>
      <c r="O13" s="537"/>
      <c r="P13" s="537"/>
      <c r="Q13" s="537"/>
      <c r="R13" s="537"/>
      <c r="S13" s="537"/>
      <c r="T13" s="537"/>
      <c r="U13" s="537"/>
      <c r="V13" s="537"/>
      <c r="W13" s="537"/>
      <c r="X13" s="537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606" t="s">
        <v>31</v>
      </c>
      <c r="B14" s="606"/>
      <c r="C14" s="606"/>
      <c r="D14" s="606"/>
      <c r="E14" s="606"/>
      <c r="F14" s="624" t="s">
        <v>201</v>
      </c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4" t="s">
        <v>33</v>
      </c>
      <c r="R14" s="625"/>
      <c r="S14" s="625"/>
      <c r="T14" s="625"/>
      <c r="U14" s="625"/>
      <c r="V14" s="625"/>
      <c r="W14" s="625"/>
      <c r="X14" s="626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606"/>
      <c r="B15" s="606"/>
      <c r="C15" s="606"/>
      <c r="D15" s="606"/>
      <c r="E15" s="606"/>
      <c r="F15" s="627"/>
      <c r="G15" s="628"/>
      <c r="H15" s="628"/>
      <c r="I15" s="628"/>
      <c r="J15" s="628"/>
      <c r="K15" s="628"/>
      <c r="L15" s="628"/>
      <c r="M15" s="628"/>
      <c r="N15" s="628"/>
      <c r="O15" s="628"/>
      <c r="P15" s="628"/>
      <c r="Q15" s="627"/>
      <c r="R15" s="628"/>
      <c r="S15" s="628"/>
      <c r="T15" s="628"/>
      <c r="U15" s="628"/>
      <c r="V15" s="628"/>
      <c r="W15" s="628"/>
      <c r="X15" s="629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606"/>
      <c r="B16" s="606"/>
      <c r="C16" s="606"/>
      <c r="D16" s="606"/>
      <c r="E16" s="606"/>
      <c r="F16" s="482" t="s">
        <v>34</v>
      </c>
      <c r="G16" s="483"/>
      <c r="H16" s="484"/>
      <c r="I16" s="627" t="s">
        <v>35</v>
      </c>
      <c r="J16" s="628"/>
      <c r="K16" s="628"/>
      <c r="L16" s="628"/>
      <c r="M16" s="628"/>
      <c r="N16" s="628"/>
      <c r="O16" s="628"/>
      <c r="P16" s="628"/>
      <c r="Q16" s="627" t="s">
        <v>35</v>
      </c>
      <c r="R16" s="628"/>
      <c r="S16" s="628"/>
      <c r="T16" s="628"/>
      <c r="U16" s="628"/>
      <c r="V16" s="628"/>
      <c r="W16" s="628"/>
      <c r="X16" s="629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606"/>
      <c r="B17" s="606"/>
      <c r="C17" s="606"/>
      <c r="D17" s="606"/>
      <c r="E17" s="606"/>
      <c r="F17" s="482"/>
      <c r="G17" s="483"/>
      <c r="H17" s="484"/>
      <c r="I17" s="627" t="s">
        <v>134</v>
      </c>
      <c r="J17" s="628"/>
      <c r="K17" s="628"/>
      <c r="L17" s="628"/>
      <c r="M17" s="647" t="s">
        <v>18</v>
      </c>
      <c r="N17" s="648"/>
      <c r="O17" s="648"/>
      <c r="P17" s="648"/>
      <c r="Q17" s="647" t="s">
        <v>134</v>
      </c>
      <c r="R17" s="648"/>
      <c r="S17" s="648"/>
      <c r="T17" s="649"/>
      <c r="U17" s="648" t="s">
        <v>18</v>
      </c>
      <c r="V17" s="648"/>
      <c r="W17" s="648"/>
      <c r="X17" s="649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47">
        <f>Eingabe_!J44</f>
        <v>158.01</v>
      </c>
      <c r="B18" s="847"/>
      <c r="C18" s="847"/>
      <c r="D18" s="847"/>
      <c r="E18" s="847"/>
      <c r="F18" s="848">
        <f>IF(ISBLANK(A18),"",1)</f>
        <v>1</v>
      </c>
      <c r="G18" s="849"/>
      <c r="H18" s="850"/>
      <c r="I18" s="851">
        <f>Eingabe_!K44</f>
        <v>0</v>
      </c>
      <c r="J18" s="852"/>
      <c r="K18" s="852"/>
      <c r="L18" s="853"/>
      <c r="M18" s="851">
        <f>Eingabe_!L44</f>
        <v>0</v>
      </c>
      <c r="N18" s="852"/>
      <c r="O18" s="852"/>
      <c r="P18" s="853"/>
      <c r="Q18" s="608">
        <f>IF(I18="-","-",AVERAGE(I18:L22))</f>
        <v>0</v>
      </c>
      <c r="R18" s="608"/>
      <c r="S18" s="608"/>
      <c r="T18" s="608"/>
      <c r="U18" s="608">
        <f>IF(M18="-","-",AVERAGE(M18:P22))</f>
        <v>0</v>
      </c>
      <c r="V18" s="608"/>
      <c r="W18" s="608"/>
      <c r="X18" s="608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47"/>
      <c r="B19" s="847"/>
      <c r="C19" s="847"/>
      <c r="D19" s="847"/>
      <c r="E19" s="847"/>
      <c r="F19" s="362"/>
      <c r="G19" s="363">
        <v>2</v>
      </c>
      <c r="H19" s="364"/>
      <c r="I19" s="851">
        <f>Eingabe_!K45</f>
        <v>0</v>
      </c>
      <c r="J19" s="852"/>
      <c r="K19" s="852"/>
      <c r="L19" s="853"/>
      <c r="M19" s="851">
        <f>Eingabe_!L45</f>
        <v>0</v>
      </c>
      <c r="N19" s="852"/>
      <c r="O19" s="852"/>
      <c r="P19" s="853"/>
      <c r="Q19" s="608"/>
      <c r="R19" s="608"/>
      <c r="S19" s="608"/>
      <c r="T19" s="608"/>
      <c r="U19" s="608"/>
      <c r="V19" s="608"/>
      <c r="W19" s="608"/>
      <c r="X19" s="608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47"/>
      <c r="B20" s="847"/>
      <c r="C20" s="847"/>
      <c r="D20" s="847"/>
      <c r="E20" s="847"/>
      <c r="F20" s="362"/>
      <c r="G20" s="363">
        <v>3</v>
      </c>
      <c r="H20" s="364"/>
      <c r="I20" s="851">
        <f>Eingabe_!K46</f>
        <v>0</v>
      </c>
      <c r="J20" s="852"/>
      <c r="K20" s="852"/>
      <c r="L20" s="853"/>
      <c r="M20" s="851">
        <f>Eingabe_!L46</f>
        <v>0</v>
      </c>
      <c r="N20" s="852"/>
      <c r="O20" s="852"/>
      <c r="P20" s="853"/>
      <c r="Q20" s="608"/>
      <c r="R20" s="608"/>
      <c r="S20" s="608"/>
      <c r="T20" s="608"/>
      <c r="U20" s="608"/>
      <c r="V20" s="608"/>
      <c r="W20" s="608"/>
      <c r="X20" s="608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47"/>
      <c r="B21" s="847"/>
      <c r="C21" s="847"/>
      <c r="D21" s="847"/>
      <c r="E21" s="847"/>
      <c r="F21" s="854">
        <v>4</v>
      </c>
      <c r="G21" s="855"/>
      <c r="H21" s="856"/>
      <c r="I21" s="851">
        <f>Eingabe_!K47</f>
        <v>0</v>
      </c>
      <c r="J21" s="852"/>
      <c r="K21" s="852"/>
      <c r="L21" s="853"/>
      <c r="M21" s="851">
        <f>Eingabe_!L47</f>
        <v>0</v>
      </c>
      <c r="N21" s="852"/>
      <c r="O21" s="852"/>
      <c r="P21" s="853"/>
      <c r="Q21" s="608"/>
      <c r="R21" s="608"/>
      <c r="S21" s="608"/>
      <c r="T21" s="608"/>
      <c r="U21" s="608"/>
      <c r="V21" s="608"/>
      <c r="W21" s="608"/>
      <c r="X21" s="608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47"/>
      <c r="B22" s="847"/>
      <c r="C22" s="847"/>
      <c r="D22" s="847"/>
      <c r="E22" s="847"/>
      <c r="F22" s="857">
        <v>5</v>
      </c>
      <c r="G22" s="858"/>
      <c r="H22" s="859"/>
      <c r="I22" s="851">
        <f>Eingabe_!K48</f>
        <v>0</v>
      </c>
      <c r="J22" s="852"/>
      <c r="K22" s="852"/>
      <c r="L22" s="853"/>
      <c r="M22" s="851">
        <f>Eingabe_!L48</f>
        <v>0</v>
      </c>
      <c r="N22" s="852"/>
      <c r="O22" s="852"/>
      <c r="P22" s="853"/>
      <c r="Q22" s="608"/>
      <c r="R22" s="608"/>
      <c r="S22" s="608"/>
      <c r="T22" s="608"/>
      <c r="U22" s="608"/>
      <c r="V22" s="608"/>
      <c r="W22" s="608"/>
      <c r="X22" s="608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47">
        <f>Eingabe_!J49</f>
        <v>158.01999999999998</v>
      </c>
      <c r="B23" s="847"/>
      <c r="C23" s="847"/>
      <c r="D23" s="847"/>
      <c r="E23" s="847"/>
      <c r="F23" s="848">
        <f>IF(ISBLANK(A23),"",1)</f>
        <v>1</v>
      </c>
      <c r="G23" s="849"/>
      <c r="H23" s="850"/>
      <c r="I23" s="851">
        <f>Eingabe_!K49</f>
        <v>0</v>
      </c>
      <c r="J23" s="852"/>
      <c r="K23" s="852"/>
      <c r="L23" s="853"/>
      <c r="M23" s="851">
        <f>Eingabe_!L49</f>
        <v>0</v>
      </c>
      <c r="N23" s="852"/>
      <c r="O23" s="852"/>
      <c r="P23" s="853"/>
      <c r="Q23" s="608">
        <f>IF(I23="-","-",AVERAGE(I23:K27))</f>
        <v>0</v>
      </c>
      <c r="R23" s="608"/>
      <c r="S23" s="608"/>
      <c r="T23" s="608"/>
      <c r="U23" s="608">
        <f>IF(M23="-","-",AVERAGE(M23:P27))</f>
        <v>0</v>
      </c>
      <c r="V23" s="608"/>
      <c r="W23" s="608"/>
      <c r="X23" s="608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47"/>
      <c r="B24" s="847"/>
      <c r="C24" s="847"/>
      <c r="D24" s="847"/>
      <c r="E24" s="847"/>
      <c r="F24" s="362"/>
      <c r="G24" s="363">
        <v>2</v>
      </c>
      <c r="H24" s="364"/>
      <c r="I24" s="851">
        <f>Eingabe_!K50</f>
        <v>0</v>
      </c>
      <c r="J24" s="852"/>
      <c r="K24" s="852"/>
      <c r="L24" s="853"/>
      <c r="M24" s="851">
        <f>Eingabe_!L50</f>
        <v>0</v>
      </c>
      <c r="N24" s="852"/>
      <c r="O24" s="852"/>
      <c r="P24" s="853"/>
      <c r="Q24" s="608"/>
      <c r="R24" s="608"/>
      <c r="S24" s="608"/>
      <c r="T24" s="608"/>
      <c r="U24" s="608"/>
      <c r="V24" s="608"/>
      <c r="W24" s="608"/>
      <c r="X24" s="608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47"/>
      <c r="B25" s="847"/>
      <c r="C25" s="847"/>
      <c r="D25" s="847"/>
      <c r="E25" s="847"/>
      <c r="F25" s="362"/>
      <c r="G25" s="363">
        <v>3</v>
      </c>
      <c r="H25" s="364"/>
      <c r="I25" s="851">
        <f>Eingabe_!K51</f>
        <v>0</v>
      </c>
      <c r="J25" s="852"/>
      <c r="K25" s="852"/>
      <c r="L25" s="853"/>
      <c r="M25" s="851">
        <f>Eingabe_!L51</f>
        <v>0</v>
      </c>
      <c r="N25" s="852"/>
      <c r="O25" s="852"/>
      <c r="P25" s="853"/>
      <c r="Q25" s="608"/>
      <c r="R25" s="608"/>
      <c r="S25" s="608"/>
      <c r="T25" s="608"/>
      <c r="U25" s="608"/>
      <c r="V25" s="608"/>
      <c r="W25" s="608"/>
      <c r="X25" s="608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47"/>
      <c r="B26" s="847"/>
      <c r="C26" s="847"/>
      <c r="D26" s="847"/>
      <c r="E26" s="847"/>
      <c r="F26" s="854">
        <v>4</v>
      </c>
      <c r="G26" s="855"/>
      <c r="H26" s="856"/>
      <c r="I26" s="851">
        <f>Eingabe_!K52</f>
        <v>0</v>
      </c>
      <c r="J26" s="852"/>
      <c r="K26" s="852"/>
      <c r="L26" s="853"/>
      <c r="M26" s="851">
        <f>Eingabe_!L52</f>
        <v>0</v>
      </c>
      <c r="N26" s="852"/>
      <c r="O26" s="852"/>
      <c r="P26" s="853"/>
      <c r="Q26" s="608"/>
      <c r="R26" s="608"/>
      <c r="S26" s="608"/>
      <c r="T26" s="608"/>
      <c r="U26" s="608"/>
      <c r="V26" s="608"/>
      <c r="W26" s="608"/>
      <c r="X26" s="608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1.9" customHeight="1">
      <c r="A27" s="847"/>
      <c r="B27" s="847"/>
      <c r="C27" s="847"/>
      <c r="D27" s="847"/>
      <c r="E27" s="847"/>
      <c r="F27" s="857">
        <v>5</v>
      </c>
      <c r="G27" s="858"/>
      <c r="H27" s="859"/>
      <c r="I27" s="851">
        <f>Eingabe_!K53</f>
        <v>0</v>
      </c>
      <c r="J27" s="852"/>
      <c r="K27" s="852"/>
      <c r="L27" s="853"/>
      <c r="M27" s="851">
        <f>Eingabe_!L53</f>
        <v>0</v>
      </c>
      <c r="N27" s="852"/>
      <c r="O27" s="852"/>
      <c r="P27" s="853"/>
      <c r="Q27" s="608"/>
      <c r="R27" s="608"/>
      <c r="S27" s="608"/>
      <c r="T27" s="608"/>
      <c r="U27" s="608"/>
      <c r="V27" s="608"/>
      <c r="W27" s="608"/>
      <c r="X27" s="608"/>
      <c r="Y27" s="268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1.9" customHeight="1">
      <c r="A28" s="847">
        <f>Eingabe_!J54</f>
        <v>158.02999999999997</v>
      </c>
      <c r="B28" s="847"/>
      <c r="C28" s="847"/>
      <c r="D28" s="847"/>
      <c r="E28" s="847"/>
      <c r="F28" s="854">
        <v>1</v>
      </c>
      <c r="G28" s="855"/>
      <c r="H28" s="856"/>
      <c r="I28" s="851">
        <f>Eingabe_!K54</f>
        <v>0</v>
      </c>
      <c r="J28" s="852"/>
      <c r="K28" s="852"/>
      <c r="L28" s="853"/>
      <c r="M28" s="851">
        <f>Eingabe_!L54</f>
        <v>0</v>
      </c>
      <c r="N28" s="852"/>
      <c r="O28" s="852"/>
      <c r="P28" s="853"/>
      <c r="Q28" s="608">
        <f>IF(I28="-","-",AVERAGE(I28:K32))</f>
        <v>0</v>
      </c>
      <c r="R28" s="608"/>
      <c r="S28" s="608"/>
      <c r="T28" s="608"/>
      <c r="U28" s="608">
        <f>IF(M28="-","-",AVERAGE(M28:P32))</f>
        <v>0</v>
      </c>
      <c r="V28" s="608"/>
      <c r="W28" s="608"/>
      <c r="X28" s="608"/>
      <c r="Y28" s="26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1.9" customHeight="1">
      <c r="A29" s="847"/>
      <c r="B29" s="847"/>
      <c r="C29" s="847"/>
      <c r="D29" s="847"/>
      <c r="E29" s="847"/>
      <c r="F29" s="854">
        <v>2</v>
      </c>
      <c r="G29" s="855"/>
      <c r="H29" s="856"/>
      <c r="I29" s="851">
        <f>Eingabe_!K55</f>
        <v>0</v>
      </c>
      <c r="J29" s="852"/>
      <c r="K29" s="852"/>
      <c r="L29" s="853"/>
      <c r="M29" s="851">
        <f>Eingabe_!L55</f>
        <v>0</v>
      </c>
      <c r="N29" s="852"/>
      <c r="O29" s="852"/>
      <c r="P29" s="853"/>
      <c r="Q29" s="608"/>
      <c r="R29" s="608"/>
      <c r="S29" s="608"/>
      <c r="T29" s="608"/>
      <c r="U29" s="608"/>
      <c r="V29" s="608"/>
      <c r="W29" s="608"/>
      <c r="X29" s="608"/>
      <c r="Y29" s="268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1.9" customHeight="1">
      <c r="A30" s="847"/>
      <c r="B30" s="847"/>
      <c r="C30" s="847"/>
      <c r="D30" s="847"/>
      <c r="E30" s="847"/>
      <c r="F30" s="854">
        <v>3</v>
      </c>
      <c r="G30" s="855"/>
      <c r="H30" s="856"/>
      <c r="I30" s="851">
        <f>Eingabe_!K56</f>
        <v>0</v>
      </c>
      <c r="J30" s="852"/>
      <c r="K30" s="852"/>
      <c r="L30" s="853"/>
      <c r="M30" s="851">
        <f>Eingabe_!L56</f>
        <v>0</v>
      </c>
      <c r="N30" s="852"/>
      <c r="O30" s="852"/>
      <c r="P30" s="853"/>
      <c r="Q30" s="608"/>
      <c r="R30" s="608"/>
      <c r="S30" s="608"/>
      <c r="T30" s="608"/>
      <c r="U30" s="608"/>
      <c r="V30" s="608"/>
      <c r="W30" s="608"/>
      <c r="X30" s="608"/>
      <c r="Y30" s="268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1.9" customHeight="1">
      <c r="A31" s="847"/>
      <c r="B31" s="847"/>
      <c r="C31" s="847"/>
      <c r="D31" s="847"/>
      <c r="E31" s="847"/>
      <c r="F31" s="854">
        <v>4</v>
      </c>
      <c r="G31" s="855"/>
      <c r="H31" s="856"/>
      <c r="I31" s="851">
        <f>Eingabe_!K57</f>
        <v>0</v>
      </c>
      <c r="J31" s="852"/>
      <c r="K31" s="852"/>
      <c r="L31" s="853"/>
      <c r="M31" s="851">
        <f>Eingabe_!L57</f>
        <v>0</v>
      </c>
      <c r="N31" s="852"/>
      <c r="O31" s="852"/>
      <c r="P31" s="853"/>
      <c r="Q31" s="608"/>
      <c r="R31" s="608"/>
      <c r="S31" s="608"/>
      <c r="T31" s="608"/>
      <c r="U31" s="608"/>
      <c r="V31" s="608"/>
      <c r="W31" s="608"/>
      <c r="X31" s="608"/>
      <c r="Y31" s="268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1.9" customHeight="1">
      <c r="A32" s="847"/>
      <c r="B32" s="847"/>
      <c r="C32" s="847"/>
      <c r="D32" s="847"/>
      <c r="E32" s="847"/>
      <c r="F32" s="854">
        <v>5</v>
      </c>
      <c r="G32" s="855"/>
      <c r="H32" s="856"/>
      <c r="I32" s="851">
        <f>Eingabe_!K58</f>
        <v>0</v>
      </c>
      <c r="J32" s="852"/>
      <c r="K32" s="852"/>
      <c r="L32" s="853"/>
      <c r="M32" s="851">
        <f>Eingabe_!L58</f>
        <v>0</v>
      </c>
      <c r="N32" s="852"/>
      <c r="O32" s="852"/>
      <c r="P32" s="853"/>
      <c r="Q32" s="608"/>
      <c r="R32" s="608"/>
      <c r="S32" s="608"/>
      <c r="T32" s="608"/>
      <c r="U32" s="608"/>
      <c r="V32" s="608"/>
      <c r="W32" s="608"/>
      <c r="X32" s="608"/>
      <c r="Y32" s="268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40" ht="12" hidden="1" customHeight="1">
      <c r="A33" s="847" t="s">
        <v>4</v>
      </c>
      <c r="B33" s="847"/>
      <c r="C33" s="847"/>
      <c r="D33" s="847"/>
      <c r="E33" s="847"/>
      <c r="F33" s="848" t="s">
        <v>4</v>
      </c>
      <c r="G33" s="849"/>
      <c r="H33" s="850"/>
      <c r="I33" s="860" t="s">
        <v>4</v>
      </c>
      <c r="J33" s="861"/>
      <c r="K33" s="861"/>
      <c r="L33" s="862"/>
      <c r="M33" s="860" t="s">
        <v>4</v>
      </c>
      <c r="N33" s="861"/>
      <c r="O33" s="861"/>
      <c r="P33" s="862"/>
      <c r="Q33" s="608" t="str">
        <f>IF(I33="-","-",AVERAGE(I33:K37))</f>
        <v>-</v>
      </c>
      <c r="R33" s="608"/>
      <c r="S33" s="608"/>
      <c r="T33" s="608"/>
      <c r="U33" s="608" t="str">
        <f t="shared" ref="U33" si="0">IF(M33="-","-",AVERAGE(M33:P37))</f>
        <v>-</v>
      </c>
      <c r="V33" s="608"/>
      <c r="W33" s="608"/>
      <c r="X33" s="608"/>
      <c r="AG33"/>
      <c r="AH33"/>
      <c r="AI33"/>
      <c r="AJ33"/>
      <c r="AK33"/>
      <c r="AL33"/>
      <c r="AM33"/>
      <c r="AN33"/>
    </row>
    <row r="34" spans="1:40" ht="12" hidden="1" customHeight="1">
      <c r="A34" s="847"/>
      <c r="B34" s="847"/>
      <c r="C34" s="847"/>
      <c r="D34" s="847"/>
      <c r="E34" s="847"/>
      <c r="F34" s="362"/>
      <c r="G34" s="363" t="s">
        <v>4</v>
      </c>
      <c r="H34" s="364"/>
      <c r="I34" s="860" t="s">
        <v>4</v>
      </c>
      <c r="J34" s="861"/>
      <c r="K34" s="861"/>
      <c r="L34" s="862"/>
      <c r="M34" s="860" t="s">
        <v>4</v>
      </c>
      <c r="N34" s="861"/>
      <c r="O34" s="861"/>
      <c r="P34" s="862"/>
      <c r="Q34" s="608"/>
      <c r="R34" s="608"/>
      <c r="S34" s="608"/>
      <c r="T34" s="608"/>
      <c r="U34" s="608"/>
      <c r="V34" s="608"/>
      <c r="W34" s="608"/>
      <c r="X34" s="608"/>
      <c r="AG34"/>
      <c r="AH34"/>
      <c r="AI34"/>
      <c r="AJ34"/>
      <c r="AK34"/>
      <c r="AL34"/>
      <c r="AM34"/>
      <c r="AN34"/>
    </row>
    <row r="35" spans="1:40" ht="12" hidden="1" customHeight="1">
      <c r="A35" s="847"/>
      <c r="B35" s="847"/>
      <c r="C35" s="847"/>
      <c r="D35" s="847"/>
      <c r="E35" s="847"/>
      <c r="F35" s="362"/>
      <c r="G35" s="363" t="s">
        <v>4</v>
      </c>
      <c r="H35" s="364"/>
      <c r="I35" s="860" t="s">
        <v>4</v>
      </c>
      <c r="J35" s="861"/>
      <c r="K35" s="861"/>
      <c r="L35" s="862"/>
      <c r="M35" s="860" t="s">
        <v>4</v>
      </c>
      <c r="N35" s="861"/>
      <c r="O35" s="861"/>
      <c r="P35" s="862"/>
      <c r="Q35" s="608"/>
      <c r="R35" s="608"/>
      <c r="S35" s="608"/>
      <c r="T35" s="608"/>
      <c r="U35" s="608"/>
      <c r="V35" s="608"/>
      <c r="W35" s="608"/>
      <c r="X35" s="608"/>
      <c r="AG35"/>
      <c r="AH35"/>
      <c r="AI35"/>
      <c r="AJ35"/>
      <c r="AK35"/>
      <c r="AL35"/>
      <c r="AM35"/>
      <c r="AN35"/>
    </row>
    <row r="36" spans="1:40" ht="12" hidden="1" customHeight="1">
      <c r="A36" s="847"/>
      <c r="B36" s="847"/>
      <c r="C36" s="847"/>
      <c r="D36" s="847"/>
      <c r="E36" s="847"/>
      <c r="F36" s="854" t="s">
        <v>4</v>
      </c>
      <c r="G36" s="855"/>
      <c r="H36" s="856"/>
      <c r="I36" s="860" t="s">
        <v>4</v>
      </c>
      <c r="J36" s="861"/>
      <c r="K36" s="861"/>
      <c r="L36" s="862"/>
      <c r="M36" s="860" t="s">
        <v>4</v>
      </c>
      <c r="N36" s="861"/>
      <c r="O36" s="861"/>
      <c r="P36" s="862"/>
      <c r="Q36" s="608"/>
      <c r="R36" s="608"/>
      <c r="S36" s="608"/>
      <c r="T36" s="608"/>
      <c r="U36" s="608"/>
      <c r="V36" s="608"/>
      <c r="W36" s="608"/>
      <c r="X36" s="608"/>
      <c r="AG36"/>
      <c r="AH36"/>
      <c r="AI36"/>
      <c r="AJ36"/>
      <c r="AK36"/>
      <c r="AL36"/>
      <c r="AM36"/>
      <c r="AN36"/>
    </row>
    <row r="37" spans="1:40" ht="12" hidden="1" customHeight="1">
      <c r="A37" s="847"/>
      <c r="B37" s="847"/>
      <c r="C37" s="847"/>
      <c r="D37" s="847"/>
      <c r="E37" s="847"/>
      <c r="F37" s="857" t="s">
        <v>4</v>
      </c>
      <c r="G37" s="858"/>
      <c r="H37" s="859"/>
      <c r="I37" s="860" t="s">
        <v>4</v>
      </c>
      <c r="J37" s="861"/>
      <c r="K37" s="861"/>
      <c r="L37" s="862"/>
      <c r="M37" s="860" t="s">
        <v>4</v>
      </c>
      <c r="N37" s="861"/>
      <c r="O37" s="861"/>
      <c r="P37" s="862"/>
      <c r="Q37" s="608"/>
      <c r="R37" s="608"/>
      <c r="S37" s="608"/>
      <c r="T37" s="608"/>
      <c r="U37" s="608"/>
      <c r="V37" s="608"/>
      <c r="W37" s="608"/>
      <c r="X37" s="608"/>
      <c r="AG37"/>
      <c r="AH37"/>
      <c r="AI37"/>
      <c r="AJ37"/>
      <c r="AK37"/>
      <c r="AL37"/>
      <c r="AM37"/>
      <c r="AN37"/>
    </row>
    <row r="38" spans="1:40" ht="12" customHeight="1">
      <c r="A38" s="863" t="s">
        <v>36</v>
      </c>
      <c r="B38" s="863"/>
      <c r="C38" s="863"/>
      <c r="D38" s="863"/>
      <c r="E38" s="863"/>
      <c r="F38" s="863"/>
      <c r="G38" s="863"/>
      <c r="H38" s="863"/>
      <c r="I38" s="864"/>
      <c r="J38" s="865" t="str">
        <f>E7</f>
        <v>OP 1   rooms/roomname</v>
      </c>
      <c r="K38" s="865"/>
      <c r="L38" s="865"/>
      <c r="M38" s="865"/>
      <c r="N38" s="865"/>
      <c r="O38" s="865"/>
      <c r="P38" s="866"/>
      <c r="Q38" s="869">
        <f>MAX(Q18:T32)</f>
        <v>0</v>
      </c>
      <c r="R38" s="870"/>
      <c r="S38" s="870"/>
      <c r="T38" s="871"/>
      <c r="U38" s="870">
        <f>MAX(U18:X32)</f>
        <v>0</v>
      </c>
      <c r="V38" s="870"/>
      <c r="W38" s="870"/>
      <c r="X38" s="871"/>
    </row>
    <row r="39" spans="1:40" ht="12" customHeight="1">
      <c r="A39" s="863"/>
      <c r="B39" s="863"/>
      <c r="C39" s="863"/>
      <c r="D39" s="863"/>
      <c r="E39" s="863"/>
      <c r="F39" s="863"/>
      <c r="G39" s="863"/>
      <c r="H39" s="863"/>
      <c r="I39" s="864"/>
      <c r="J39" s="867"/>
      <c r="K39" s="867"/>
      <c r="L39" s="867"/>
      <c r="M39" s="867"/>
      <c r="N39" s="867"/>
      <c r="O39" s="867"/>
      <c r="P39" s="868"/>
      <c r="Q39" s="872"/>
      <c r="R39" s="873"/>
      <c r="S39" s="873"/>
      <c r="T39" s="874"/>
      <c r="U39" s="873"/>
      <c r="V39" s="873"/>
      <c r="W39" s="873"/>
      <c r="X39" s="874"/>
    </row>
    <row r="40" spans="1:40" ht="12" customHeight="1">
      <c r="A40" s="40" t="s">
        <v>327</v>
      </c>
      <c r="B40" s="63"/>
      <c r="C40" s="63"/>
      <c r="D40" s="63"/>
      <c r="E40" s="17"/>
      <c r="F40" s="17"/>
      <c r="P40" s="63"/>
      <c r="Q40" s="63"/>
      <c r="R40" s="63"/>
      <c r="S40" s="40"/>
      <c r="T40" s="40"/>
      <c r="U40" s="40"/>
      <c r="V40" s="40"/>
      <c r="W40" s="40"/>
      <c r="X40" s="40"/>
    </row>
    <row r="41" spans="1:40" ht="12" customHeight="1"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40" ht="12" customHeight="1">
      <c r="A42" s="2" t="s">
        <v>224</v>
      </c>
      <c r="B42" s="63"/>
      <c r="C42" s="63"/>
      <c r="D42" s="63"/>
      <c r="E42" s="17"/>
      <c r="F42" s="17"/>
      <c r="P42" s="63"/>
      <c r="Q42" s="875" t="s">
        <v>17</v>
      </c>
      <c r="R42" s="875"/>
      <c r="S42" s="875"/>
      <c r="T42" s="875"/>
      <c r="U42" s="875" t="s">
        <v>18</v>
      </c>
      <c r="V42" s="875"/>
      <c r="W42" s="875"/>
      <c r="X42" s="875"/>
    </row>
    <row r="43" spans="1:40" ht="12" customHeight="1">
      <c r="A43" s="47" t="s">
        <v>202</v>
      </c>
      <c r="B43" s="1"/>
      <c r="C43" s="1"/>
      <c r="D43" s="1"/>
      <c r="F43" s="64"/>
      <c r="G43" s="65"/>
      <c r="H43" s="66"/>
      <c r="I43" s="67"/>
      <c r="J43" s="67"/>
      <c r="K43" s="67"/>
      <c r="L43" s="67"/>
      <c r="M43" s="67"/>
      <c r="N43" s="67"/>
      <c r="O43" s="67"/>
      <c r="P43" s="67"/>
      <c r="Q43" s="876">
        <f>VLOOKUP([6]Eingabe_!$Z$104,[6]Eingabe_!$AM$2:$AW$7,5)</f>
        <v>3520</v>
      </c>
      <c r="R43" s="876"/>
      <c r="S43" s="876"/>
      <c r="T43" s="876"/>
      <c r="U43" s="876">
        <f>VLOOKUP([6]Eingabe_!$Z$104,[6]Eingabe_!$AM$2:$AW$7,7)</f>
        <v>29</v>
      </c>
      <c r="V43" s="876"/>
      <c r="W43" s="876"/>
      <c r="X43" s="876"/>
    </row>
    <row r="44" spans="1:40" ht="12" customHeight="1"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92"/>
      <c r="R44" s="877"/>
      <c r="S44" s="877"/>
      <c r="T44" s="877"/>
      <c r="U44" s="193"/>
      <c r="V44" s="877"/>
      <c r="W44" s="877"/>
      <c r="X44" s="877"/>
    </row>
    <row r="45" spans="1:40" ht="12" customHeight="1"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92"/>
      <c r="R45" s="877"/>
      <c r="S45" s="877"/>
      <c r="T45" s="877"/>
      <c r="U45" s="193"/>
      <c r="V45" s="877"/>
      <c r="W45" s="877"/>
      <c r="X45" s="877"/>
    </row>
    <row r="46" spans="1:40" ht="12" customHeight="1">
      <c r="F46" s="68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92"/>
      <c r="R46" s="327"/>
      <c r="S46" s="327"/>
      <c r="T46" s="327"/>
      <c r="U46" s="193"/>
      <c r="V46" s="327"/>
      <c r="W46" s="327"/>
      <c r="X46" s="327"/>
    </row>
    <row r="47" spans="1:40" ht="12" customHeight="1">
      <c r="F47" s="68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92"/>
      <c r="R47" s="327"/>
      <c r="S47" s="327"/>
      <c r="T47" s="327"/>
      <c r="U47" s="193"/>
      <c r="V47" s="327"/>
      <c r="W47" s="327"/>
      <c r="X47" s="327"/>
    </row>
    <row r="48" spans="1:40" ht="12" customHeight="1">
      <c r="F48" s="68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92"/>
      <c r="R48" s="327"/>
      <c r="S48" s="327"/>
      <c r="T48" s="327"/>
      <c r="U48" s="193"/>
      <c r="V48" s="327"/>
      <c r="W48" s="327"/>
      <c r="X48" s="327"/>
    </row>
    <row r="49" spans="1:34" ht="12" customHeight="1">
      <c r="F49" s="68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92"/>
      <c r="R49" s="327"/>
      <c r="S49" s="327"/>
      <c r="T49" s="327"/>
      <c r="U49" s="193"/>
      <c r="V49" s="327"/>
      <c r="W49" s="327"/>
      <c r="X49" s="327"/>
    </row>
    <row r="50" spans="1:34" ht="12" customHeight="1">
      <c r="F50" s="68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92"/>
      <c r="R50" s="327"/>
      <c r="S50" s="327"/>
      <c r="T50" s="327"/>
      <c r="U50" s="193"/>
      <c r="V50" s="327"/>
      <c r="W50" s="327"/>
      <c r="X50" s="327"/>
    </row>
    <row r="51" spans="1:34" ht="12" customHeight="1">
      <c r="F51" s="68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92"/>
      <c r="R51" s="327"/>
      <c r="S51" s="327"/>
      <c r="T51" s="327"/>
      <c r="U51" s="193"/>
      <c r="V51" s="327"/>
      <c r="W51" s="327"/>
      <c r="X51" s="327"/>
    </row>
    <row r="52" spans="1:34" ht="12" customHeight="1">
      <c r="F52" s="68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92"/>
      <c r="R52" s="327"/>
      <c r="S52" s="327"/>
      <c r="T52" s="327"/>
      <c r="U52" s="193"/>
      <c r="V52" s="327"/>
      <c r="W52" s="327"/>
      <c r="X52" s="327"/>
    </row>
    <row r="53" spans="1:34" ht="12" customHeight="1">
      <c r="F53" s="68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92"/>
      <c r="R53" s="327"/>
      <c r="S53" s="327"/>
      <c r="T53" s="327"/>
      <c r="U53" s="193"/>
      <c r="V53" s="327"/>
      <c r="W53" s="327"/>
      <c r="X53" s="327"/>
    </row>
    <row r="54" spans="1:34" ht="12" customHeight="1">
      <c r="F54" s="68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92"/>
      <c r="R54" s="327"/>
      <c r="S54" s="327"/>
      <c r="T54" s="327"/>
      <c r="U54" s="193"/>
      <c r="V54" s="327"/>
      <c r="W54" s="327"/>
      <c r="X54" s="327"/>
    </row>
    <row r="55" spans="1:34" ht="12" customHeight="1">
      <c r="F55" s="68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92"/>
      <c r="R55" s="327"/>
      <c r="S55" s="327"/>
      <c r="T55" s="327"/>
      <c r="U55" s="193"/>
      <c r="V55" s="327"/>
      <c r="W55" s="327"/>
      <c r="X55" s="327"/>
    </row>
    <row r="56" spans="1:34" ht="12" customHeight="1">
      <c r="B56" s="63"/>
      <c r="D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"/>
      <c r="Q56" s="63"/>
      <c r="R56" s="63"/>
      <c r="S56" s="63"/>
      <c r="T56" s="63"/>
      <c r="U56" s="63"/>
      <c r="V56" s="63"/>
      <c r="W56" s="63"/>
      <c r="X56" s="63"/>
    </row>
    <row r="57" spans="1:34" ht="12" customHeight="1"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AF57" s="365"/>
    </row>
    <row r="58" spans="1:34" ht="12" customHeight="1">
      <c r="AF58" s="366"/>
      <c r="AH58" s="366"/>
    </row>
    <row r="59" spans="1:34" ht="12" customHeight="1">
      <c r="AF59" s="366"/>
      <c r="AH59" s="366"/>
    </row>
    <row r="60" spans="1:34" ht="12" customHeight="1">
      <c r="T60" s="194"/>
    </row>
    <row r="61" spans="1:34" ht="12" customHeight="1"/>
    <row r="62" spans="1:34" ht="12" customHeight="1"/>
    <row r="63" spans="1:34" ht="12" customHeight="1">
      <c r="A63" s="63" t="s">
        <v>37</v>
      </c>
      <c r="B63" s="63"/>
      <c r="D63" s="63"/>
      <c r="F63" s="63" t="str">
        <f>IF(AND(Q38&lt;Q43,U38&lt;U43),"Die Spezifikationsgrenze für Partikelkonzentration innerhalb Laminarbereich wird eingehalten.","Die Spezifikationsgrenze für Partikelkonzentration innerhalb Laminarbereich wurde überschritten.")</f>
        <v>Die Spezifikationsgrenze für Partikelkonzentration innerhalb Laminarbereich wird eingehalten.</v>
      </c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1:34" ht="12" customHeight="1">
      <c r="A64" s="69" t="s">
        <v>38</v>
      </c>
      <c r="B64" s="69"/>
      <c r="C64" s="69"/>
      <c r="D64" s="69"/>
      <c r="E64" s="69"/>
      <c r="F64" s="69" t="str">
        <f>IF(AND(Q38&lt;Q43,U38&lt;U43),"Der Raum entspricht den Anforderungen.","Der Raum entspricht den Anforderungen nicht.")</f>
        <v>Der Raum entspricht den Anforderungen.</v>
      </c>
      <c r="G64" s="69"/>
      <c r="H64" s="69"/>
      <c r="I64" s="69"/>
      <c r="J64" s="69"/>
      <c r="K64" s="69"/>
      <c r="L64" s="69"/>
      <c r="M64" s="69"/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</sheetData>
  <mergeCells count="92">
    <mergeCell ref="Q43:T43"/>
    <mergeCell ref="U43:X43"/>
    <mergeCell ref="R44:T44"/>
    <mergeCell ref="V44:X44"/>
    <mergeCell ref="R45:T45"/>
    <mergeCell ref="V45:X45"/>
    <mergeCell ref="A38:I39"/>
    <mergeCell ref="J38:P39"/>
    <mergeCell ref="Q38:T39"/>
    <mergeCell ref="U38:X39"/>
    <mergeCell ref="Q42:T42"/>
    <mergeCell ref="U42:X42"/>
    <mergeCell ref="A33:E37"/>
    <mergeCell ref="F33:H33"/>
    <mergeCell ref="I33:L33"/>
    <mergeCell ref="M33:P33"/>
    <mergeCell ref="Q33:T37"/>
    <mergeCell ref="F36:H36"/>
    <mergeCell ref="I36:L36"/>
    <mergeCell ref="M36:P36"/>
    <mergeCell ref="F37:H37"/>
    <mergeCell ref="I37:L37"/>
    <mergeCell ref="M37:P37"/>
    <mergeCell ref="U33:X37"/>
    <mergeCell ref="I34:L34"/>
    <mergeCell ref="M34:P34"/>
    <mergeCell ref="I35:L35"/>
    <mergeCell ref="M35:P35"/>
    <mergeCell ref="A28:E32"/>
    <mergeCell ref="F28:H28"/>
    <mergeCell ref="I28:L28"/>
    <mergeCell ref="M28:P28"/>
    <mergeCell ref="I30:L30"/>
    <mergeCell ref="M30:P30"/>
    <mergeCell ref="F31:H31"/>
    <mergeCell ref="I31:L31"/>
    <mergeCell ref="M31:P31"/>
    <mergeCell ref="Q28:T32"/>
    <mergeCell ref="U28:X32"/>
    <mergeCell ref="F29:H29"/>
    <mergeCell ref="I29:L29"/>
    <mergeCell ref="M29:P29"/>
    <mergeCell ref="F30:H30"/>
    <mergeCell ref="F32:H32"/>
    <mergeCell ref="I32:L32"/>
    <mergeCell ref="M32:P32"/>
    <mergeCell ref="Q23:T27"/>
    <mergeCell ref="U23:X27"/>
    <mergeCell ref="I24:L24"/>
    <mergeCell ref="M24:P24"/>
    <mergeCell ref="I25:L25"/>
    <mergeCell ref="M25:P25"/>
    <mergeCell ref="I26:L26"/>
    <mergeCell ref="M26:P26"/>
    <mergeCell ref="I27:L27"/>
    <mergeCell ref="M27:P27"/>
    <mergeCell ref="A23:E27"/>
    <mergeCell ref="F23:H23"/>
    <mergeCell ref="I23:L23"/>
    <mergeCell ref="M23:P23"/>
    <mergeCell ref="F26:H26"/>
    <mergeCell ref="F27:H27"/>
    <mergeCell ref="U18:X22"/>
    <mergeCell ref="I19:L19"/>
    <mergeCell ref="M19:P19"/>
    <mergeCell ref="I20:L20"/>
    <mergeCell ref="M20:P20"/>
    <mergeCell ref="I21:L21"/>
    <mergeCell ref="M21:P21"/>
    <mergeCell ref="I22:L22"/>
    <mergeCell ref="M22:P22"/>
    <mergeCell ref="A18:E22"/>
    <mergeCell ref="F18:H18"/>
    <mergeCell ref="I18:L18"/>
    <mergeCell ref="M18:P18"/>
    <mergeCell ref="Q18:T22"/>
    <mergeCell ref="F21:H21"/>
    <mergeCell ref="F22:H22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D7F7-7EE2-4B7A-AD9A-22DA7F4CFBE9}">
  <sheetPr codeName="Tabelle29">
    <tabColor rgb="FF92D050"/>
    <pageSetUpPr fitToPage="1"/>
  </sheetPr>
  <dimension ref="A1:AY210"/>
  <sheetViews>
    <sheetView zoomScaleNormal="100" zoomScaleSheetLayoutView="91" zoomScalePageLayoutView="88" workbookViewId="0">
      <selection activeCell="BC59" sqref="BC5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175</v>
      </c>
      <c r="B1" s="5"/>
      <c r="C1" s="5"/>
      <c r="D1" s="5"/>
      <c r="E1" s="245" t="s">
        <v>577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Seitenregister!X25</f>
        <v>21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03" t="str">
        <f>Eingabe_!R8</f>
        <v>06.05.2022</v>
      </c>
      <c r="S5" s="603"/>
      <c r="T5" s="603"/>
      <c r="U5" s="603"/>
      <c r="V5" s="603"/>
      <c r="W5" s="603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45" t="str">
        <f>Eingabe_!$G$20</f>
        <v>OP 1</v>
      </c>
      <c r="S7" s="845"/>
      <c r="T7" s="845"/>
      <c r="U7" s="845"/>
      <c r="V7" s="845"/>
      <c r="W7" s="845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46">
        <f>[6]Eingabe_!E9</f>
        <v>46.47</v>
      </c>
      <c r="F9" s="846"/>
      <c r="G9" s="846"/>
      <c r="H9" s="846"/>
      <c r="I9" s="846"/>
      <c r="J9" s="846"/>
      <c r="K9" s="846"/>
      <c r="L9" s="846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'P PK_I'!W9</f>
        <v>3</v>
      </c>
      <c r="X9" s="56"/>
      <c r="Y9" s="268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VLOOKUP([6]Eingabe_!$Z$139,[6]Eingabe_!$AM$2:$AW$7,9)</f>
        <v>ISO Klasse 7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578</v>
      </c>
      <c r="O10" s="59"/>
      <c r="P10" s="59"/>
      <c r="Q10" s="59"/>
      <c r="R10" s="59"/>
      <c r="S10" s="59"/>
      <c r="T10" s="59"/>
      <c r="U10" s="59"/>
      <c r="V10" s="59"/>
      <c r="W10" s="61">
        <f>W9</f>
        <v>3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37" t="s">
        <v>579</v>
      </c>
      <c r="B12" s="537"/>
      <c r="C12" s="537"/>
      <c r="D12" s="537"/>
      <c r="E12" s="537"/>
      <c r="F12" s="537"/>
      <c r="G12" s="537"/>
      <c r="H12" s="537"/>
      <c r="I12" s="537"/>
      <c r="J12" s="537"/>
      <c r="K12" s="537"/>
      <c r="L12" s="537"/>
      <c r="M12" s="537"/>
      <c r="N12" s="537"/>
      <c r="O12" s="537"/>
      <c r="P12" s="537"/>
      <c r="Q12" s="537"/>
      <c r="R12" s="537"/>
      <c r="S12" s="537"/>
      <c r="T12" s="537"/>
      <c r="U12" s="537"/>
      <c r="V12" s="537"/>
      <c r="W12" s="537"/>
      <c r="X12" s="537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37"/>
      <c r="B13" s="537"/>
      <c r="C13" s="537"/>
      <c r="D13" s="537"/>
      <c r="E13" s="537"/>
      <c r="F13" s="537"/>
      <c r="G13" s="537"/>
      <c r="H13" s="537"/>
      <c r="I13" s="537"/>
      <c r="J13" s="537"/>
      <c r="K13" s="537"/>
      <c r="L13" s="537"/>
      <c r="M13" s="537"/>
      <c r="N13" s="537"/>
      <c r="O13" s="537"/>
      <c r="P13" s="537"/>
      <c r="Q13" s="537"/>
      <c r="R13" s="537"/>
      <c r="S13" s="537"/>
      <c r="T13" s="537"/>
      <c r="U13" s="537"/>
      <c r="V13" s="537"/>
      <c r="W13" s="537"/>
      <c r="X13" s="537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606" t="s">
        <v>31</v>
      </c>
      <c r="B14" s="606"/>
      <c r="C14" s="606"/>
      <c r="D14" s="606"/>
      <c r="E14" s="606"/>
      <c r="F14" s="624" t="s">
        <v>32</v>
      </c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4" t="s">
        <v>33</v>
      </c>
      <c r="R14" s="625"/>
      <c r="S14" s="625"/>
      <c r="T14" s="625"/>
      <c r="U14" s="625"/>
      <c r="V14" s="625"/>
      <c r="W14" s="625"/>
      <c r="X14" s="626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606"/>
      <c r="B15" s="606"/>
      <c r="C15" s="606"/>
      <c r="D15" s="606"/>
      <c r="E15" s="606"/>
      <c r="F15" s="627"/>
      <c r="G15" s="628"/>
      <c r="H15" s="628"/>
      <c r="I15" s="628"/>
      <c r="J15" s="628"/>
      <c r="K15" s="628"/>
      <c r="L15" s="628"/>
      <c r="M15" s="628"/>
      <c r="N15" s="628"/>
      <c r="O15" s="628"/>
      <c r="P15" s="628"/>
      <c r="Q15" s="627"/>
      <c r="R15" s="628"/>
      <c r="S15" s="628"/>
      <c r="T15" s="628"/>
      <c r="U15" s="628"/>
      <c r="V15" s="628"/>
      <c r="W15" s="628"/>
      <c r="X15" s="629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606"/>
      <c r="B16" s="606"/>
      <c r="C16" s="606"/>
      <c r="D16" s="606"/>
      <c r="E16" s="606"/>
      <c r="F16" s="482" t="s">
        <v>34</v>
      </c>
      <c r="G16" s="483"/>
      <c r="H16" s="484"/>
      <c r="I16" s="627" t="s">
        <v>35</v>
      </c>
      <c r="J16" s="628"/>
      <c r="K16" s="628"/>
      <c r="L16" s="628"/>
      <c r="M16" s="628"/>
      <c r="N16" s="628"/>
      <c r="O16" s="628"/>
      <c r="P16" s="628"/>
      <c r="Q16" s="627" t="s">
        <v>35</v>
      </c>
      <c r="R16" s="628"/>
      <c r="S16" s="628"/>
      <c r="T16" s="628"/>
      <c r="U16" s="628"/>
      <c r="V16" s="628"/>
      <c r="W16" s="628"/>
      <c r="X16" s="629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606"/>
      <c r="B17" s="606"/>
      <c r="C17" s="606"/>
      <c r="D17" s="606"/>
      <c r="E17" s="606"/>
      <c r="F17" s="482"/>
      <c r="G17" s="483"/>
      <c r="H17" s="484"/>
      <c r="I17" s="627" t="s">
        <v>134</v>
      </c>
      <c r="J17" s="628"/>
      <c r="K17" s="628"/>
      <c r="L17" s="628"/>
      <c r="M17" s="647" t="s">
        <v>18</v>
      </c>
      <c r="N17" s="648"/>
      <c r="O17" s="648"/>
      <c r="P17" s="648"/>
      <c r="Q17" s="647" t="s">
        <v>134</v>
      </c>
      <c r="R17" s="648"/>
      <c r="S17" s="648"/>
      <c r="T17" s="649"/>
      <c r="U17" s="648" t="s">
        <v>18</v>
      </c>
      <c r="V17" s="648"/>
      <c r="W17" s="648"/>
      <c r="X17" s="649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47">
        <f>Eingabe_!J79</f>
        <v>158.10999999999999</v>
      </c>
      <c r="B18" s="847"/>
      <c r="C18" s="847"/>
      <c r="D18" s="847"/>
      <c r="E18" s="847"/>
      <c r="F18" s="848">
        <f>IF($A18=" - "," - ",1)</f>
        <v>1</v>
      </c>
      <c r="G18" s="849"/>
      <c r="H18" s="850"/>
      <c r="I18" s="851">
        <f>Eingabe_!K79</f>
        <v>2260.2062438197499</v>
      </c>
      <c r="J18" s="852"/>
      <c r="K18" s="852"/>
      <c r="L18" s="853"/>
      <c r="M18" s="851">
        <f>Eingabe_!L79</f>
        <v>282.52578047746903</v>
      </c>
      <c r="N18" s="852"/>
      <c r="O18" s="852"/>
      <c r="P18" s="853"/>
      <c r="Q18" s="608">
        <f>IF(I18="-","-",AVERAGE(I18:L20))</f>
        <v>918.2087865517733</v>
      </c>
      <c r="R18" s="608"/>
      <c r="S18" s="608"/>
      <c r="T18" s="608"/>
      <c r="U18" s="608">
        <f>IF(M18="-","-",AVERAGE(M18:P20))</f>
        <v>164.80670527852337</v>
      </c>
      <c r="V18" s="608"/>
      <c r="W18" s="608"/>
      <c r="X18" s="608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47"/>
      <c r="B19" s="847"/>
      <c r="C19" s="847"/>
      <c r="D19" s="847"/>
      <c r="E19" s="847"/>
      <c r="F19" s="848">
        <f>IF($A18=" - "," - ",2)</f>
        <v>2</v>
      </c>
      <c r="G19" s="849"/>
      <c r="H19" s="850"/>
      <c r="I19" s="851">
        <f>Eingabe_!K80</f>
        <v>353.15722559683599</v>
      </c>
      <c r="J19" s="852"/>
      <c r="K19" s="852"/>
      <c r="L19" s="853"/>
      <c r="M19" s="851">
        <f>Eingabe_!L80</f>
        <v>141.262890238734</v>
      </c>
      <c r="N19" s="852"/>
      <c r="O19" s="852"/>
      <c r="P19" s="853"/>
      <c r="Q19" s="608"/>
      <c r="R19" s="608"/>
      <c r="S19" s="608"/>
      <c r="T19" s="608"/>
      <c r="U19" s="608"/>
      <c r="V19" s="608"/>
      <c r="W19" s="608"/>
      <c r="X19" s="608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47"/>
      <c r="B20" s="847"/>
      <c r="C20" s="847"/>
      <c r="D20" s="847"/>
      <c r="E20" s="847"/>
      <c r="F20" s="848">
        <f>IF($A18=" - "," - ",3)</f>
        <v>3</v>
      </c>
      <c r="G20" s="849"/>
      <c r="H20" s="850"/>
      <c r="I20" s="851">
        <f>Eingabe_!K81</f>
        <v>141.262890238734</v>
      </c>
      <c r="J20" s="852"/>
      <c r="K20" s="852"/>
      <c r="L20" s="853"/>
      <c r="M20" s="851">
        <f>Eingabe_!L81</f>
        <v>70.6314451193671</v>
      </c>
      <c r="N20" s="852"/>
      <c r="O20" s="852"/>
      <c r="P20" s="853"/>
      <c r="Q20" s="608"/>
      <c r="R20" s="608"/>
      <c r="S20" s="608"/>
      <c r="T20" s="608"/>
      <c r="U20" s="608"/>
      <c r="V20" s="608"/>
      <c r="W20" s="608"/>
      <c r="X20" s="608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47">
        <f>Eingabe_!J82</f>
        <v>158.11999999999998</v>
      </c>
      <c r="B21" s="847"/>
      <c r="C21" s="847"/>
      <c r="D21" s="847"/>
      <c r="E21" s="847"/>
      <c r="F21" s="848">
        <f>IF($A21=" - "," - ",1)</f>
        <v>1</v>
      </c>
      <c r="G21" s="849"/>
      <c r="H21" s="850"/>
      <c r="I21" s="851">
        <f>Eingabe_!K82</f>
        <v>3566.8879785280401</v>
      </c>
      <c r="J21" s="852"/>
      <c r="K21" s="852"/>
      <c r="L21" s="853"/>
      <c r="M21" s="851">
        <f>Eingabe_!L82</f>
        <v>847.577341432406</v>
      </c>
      <c r="N21" s="852"/>
      <c r="O21" s="852"/>
      <c r="P21" s="853"/>
      <c r="Q21" s="608">
        <f>IF(A21=" - "," - ",AVERAGE(I21:L23))</f>
        <v>1636.2951452653372</v>
      </c>
      <c r="R21" s="608"/>
      <c r="S21" s="608"/>
      <c r="T21" s="608"/>
      <c r="U21" s="608">
        <f>IF(A21=" - "," - ",AVERAGE(M21:P23))</f>
        <v>364.92913311673027</v>
      </c>
      <c r="V21" s="608"/>
      <c r="W21" s="608"/>
      <c r="X21" s="608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47"/>
      <c r="B22" s="847"/>
      <c r="C22" s="847"/>
      <c r="D22" s="847"/>
      <c r="E22" s="847"/>
      <c r="F22" s="848">
        <f>IF($A21=" - "," - ",2)</f>
        <v>2</v>
      </c>
      <c r="G22" s="849"/>
      <c r="H22" s="850"/>
      <c r="I22" s="851">
        <f>Eingabe_!K83</f>
        <v>317.84150303715199</v>
      </c>
      <c r="J22" s="852"/>
      <c r="K22" s="852"/>
      <c r="L22" s="853"/>
      <c r="M22" s="851">
        <f>Eingabe_!L83</f>
        <v>35.3157225596836</v>
      </c>
      <c r="N22" s="852"/>
      <c r="O22" s="852"/>
      <c r="P22" s="853"/>
      <c r="Q22" s="608"/>
      <c r="R22" s="608"/>
      <c r="S22" s="608"/>
      <c r="T22" s="608"/>
      <c r="U22" s="608"/>
      <c r="V22" s="608"/>
      <c r="W22" s="608"/>
      <c r="X22" s="608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47"/>
      <c r="B23" s="847"/>
      <c r="C23" s="847"/>
      <c r="D23" s="847"/>
      <c r="E23" s="847"/>
      <c r="F23" s="848">
        <f>IF($A21=" - "," - ",3)</f>
        <v>3</v>
      </c>
      <c r="G23" s="849"/>
      <c r="H23" s="850"/>
      <c r="I23" s="851">
        <f>Eingabe_!K84</f>
        <v>1024.15595423082</v>
      </c>
      <c r="J23" s="852"/>
      <c r="K23" s="852"/>
      <c r="L23" s="853"/>
      <c r="M23" s="851">
        <f>Eingabe_!L84</f>
        <v>211.89433535810099</v>
      </c>
      <c r="N23" s="852"/>
      <c r="O23" s="852"/>
      <c r="P23" s="853"/>
      <c r="Q23" s="608"/>
      <c r="R23" s="608"/>
      <c r="S23" s="608"/>
      <c r="T23" s="608"/>
      <c r="U23" s="608"/>
      <c r="V23" s="608"/>
      <c r="W23" s="608"/>
      <c r="X23" s="608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47">
        <f>Eingabe_!J85</f>
        <v>158.12999999999997</v>
      </c>
      <c r="B24" s="847"/>
      <c r="C24" s="847"/>
      <c r="D24" s="847"/>
      <c r="E24" s="847"/>
      <c r="F24" s="848">
        <f t="shared" ref="F24" si="0">IF($A24=" - "," - ",1)</f>
        <v>1</v>
      </c>
      <c r="G24" s="849"/>
      <c r="H24" s="850"/>
      <c r="I24" s="851">
        <f>Eingabe_!K85</f>
        <v>2719.3106370956302</v>
      </c>
      <c r="J24" s="852"/>
      <c r="K24" s="852"/>
      <c r="L24" s="853"/>
      <c r="M24" s="851">
        <f>Eingabe_!L85</f>
        <v>494.42011583557002</v>
      </c>
      <c r="N24" s="852"/>
      <c r="O24" s="852"/>
      <c r="P24" s="853"/>
      <c r="Q24" s="608">
        <f t="shared" ref="Q24" si="1">IF(A24=" - "," - ",AVERAGE(I24:L26))</f>
        <v>1447.9446249470266</v>
      </c>
      <c r="R24" s="608"/>
      <c r="S24" s="608"/>
      <c r="T24" s="608"/>
      <c r="U24" s="608">
        <f t="shared" ref="U24" si="2">IF(A24=" - "," - ",AVERAGE(M24:P26))</f>
        <v>223.66624287799598</v>
      </c>
      <c r="V24" s="608"/>
      <c r="W24" s="608"/>
      <c r="X24" s="608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47"/>
      <c r="B25" s="847"/>
      <c r="C25" s="847"/>
      <c r="D25" s="847"/>
      <c r="E25" s="847"/>
      <c r="F25" s="848">
        <f t="shared" ref="F25" si="3">IF($A24=" - "," - ",2)</f>
        <v>2</v>
      </c>
      <c r="G25" s="849"/>
      <c r="H25" s="850"/>
      <c r="I25" s="851">
        <f>Eingabe_!K86</f>
        <v>282.52578047746903</v>
      </c>
      <c r="J25" s="852"/>
      <c r="K25" s="852"/>
      <c r="L25" s="853"/>
      <c r="M25" s="851">
        <f>Eingabe_!L86</f>
        <v>0</v>
      </c>
      <c r="N25" s="852"/>
      <c r="O25" s="852"/>
      <c r="P25" s="853"/>
      <c r="Q25" s="608"/>
      <c r="R25" s="608"/>
      <c r="S25" s="608"/>
      <c r="T25" s="608"/>
      <c r="U25" s="608"/>
      <c r="V25" s="608"/>
      <c r="W25" s="608"/>
      <c r="X25" s="608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47"/>
      <c r="B26" s="847"/>
      <c r="C26" s="847"/>
      <c r="D26" s="847"/>
      <c r="E26" s="847"/>
      <c r="F26" s="848">
        <f t="shared" ref="F26" si="4">IF($A24=" - "," - ",3)</f>
        <v>3</v>
      </c>
      <c r="G26" s="849"/>
      <c r="H26" s="850"/>
      <c r="I26" s="851">
        <f>Eingabe_!K87</f>
        <v>1341.9974572679801</v>
      </c>
      <c r="J26" s="852"/>
      <c r="K26" s="852"/>
      <c r="L26" s="853"/>
      <c r="M26" s="851">
        <f>Eingabe_!L87</f>
        <v>176.57861279841799</v>
      </c>
      <c r="N26" s="852"/>
      <c r="O26" s="852"/>
      <c r="P26" s="853"/>
      <c r="Q26" s="608"/>
      <c r="R26" s="608"/>
      <c r="S26" s="608"/>
      <c r="T26" s="608"/>
      <c r="U26" s="608"/>
      <c r="V26" s="608"/>
      <c r="W26" s="608"/>
      <c r="X26" s="608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" customHeight="1">
      <c r="A27" s="847">
        <f>Eingabe_!J88</f>
        <v>158.13999999999996</v>
      </c>
      <c r="B27" s="847"/>
      <c r="C27" s="847"/>
      <c r="D27" s="847"/>
      <c r="E27" s="847"/>
      <c r="F27" s="848">
        <f t="shared" ref="F27" si="5">IF($A27=" - "," - ",1)</f>
        <v>1</v>
      </c>
      <c r="G27" s="849"/>
      <c r="H27" s="850"/>
      <c r="I27" s="851">
        <f>Eingabe_!K88</f>
        <v>1236.0502895889199</v>
      </c>
      <c r="J27" s="852"/>
      <c r="K27" s="852"/>
      <c r="L27" s="853"/>
      <c r="M27" s="851">
        <f>Eingabe_!L88</f>
        <v>282.52578047746903</v>
      </c>
      <c r="N27" s="852"/>
      <c r="O27" s="852"/>
      <c r="P27" s="853"/>
      <c r="Q27" s="608">
        <f t="shared" ref="Q27" si="6">IF(A27=" - "," - ",AVERAGE(I27:L29))</f>
        <v>541.50774591514664</v>
      </c>
      <c r="R27" s="608"/>
      <c r="S27" s="608"/>
      <c r="T27" s="608"/>
      <c r="U27" s="608">
        <f t="shared" ref="U27" si="7">IF(A27=" - "," - ",AVERAGE(M27:P29))</f>
        <v>105.94716767905088</v>
      </c>
      <c r="V27" s="608"/>
      <c r="W27" s="608"/>
      <c r="X27" s="608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" customHeight="1">
      <c r="A28" s="847"/>
      <c r="B28" s="847"/>
      <c r="C28" s="847"/>
      <c r="D28" s="847"/>
      <c r="E28" s="847"/>
      <c r="F28" s="848">
        <f t="shared" ref="F28" si="8">IF($A27=" - "," - ",2)</f>
        <v>2</v>
      </c>
      <c r="G28" s="849"/>
      <c r="H28" s="850"/>
      <c r="I28" s="851">
        <f>Eingabe_!K89</f>
        <v>282.52578047746903</v>
      </c>
      <c r="J28" s="852"/>
      <c r="K28" s="852"/>
      <c r="L28" s="853"/>
      <c r="M28" s="851">
        <f>Eingabe_!L89</f>
        <v>0</v>
      </c>
      <c r="N28" s="852"/>
      <c r="O28" s="852"/>
      <c r="P28" s="853"/>
      <c r="Q28" s="608"/>
      <c r="R28" s="608"/>
      <c r="S28" s="608"/>
      <c r="T28" s="608"/>
      <c r="U28" s="608"/>
      <c r="V28" s="608"/>
      <c r="W28" s="608"/>
      <c r="X28" s="60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" customHeight="1">
      <c r="A29" s="847"/>
      <c r="B29" s="847"/>
      <c r="C29" s="847"/>
      <c r="D29" s="847"/>
      <c r="E29" s="847"/>
      <c r="F29" s="848">
        <f t="shared" ref="F29" si="9">IF($A27=" - "," - ",3)</f>
        <v>3</v>
      </c>
      <c r="G29" s="849"/>
      <c r="H29" s="850"/>
      <c r="I29" s="851">
        <f>Eingabe_!K90</f>
        <v>105.94716767905101</v>
      </c>
      <c r="J29" s="852"/>
      <c r="K29" s="852"/>
      <c r="L29" s="853"/>
      <c r="M29" s="851">
        <f>Eingabe_!L90</f>
        <v>35.3157225596836</v>
      </c>
      <c r="N29" s="852"/>
      <c r="O29" s="852"/>
      <c r="P29" s="853"/>
      <c r="Q29" s="608"/>
      <c r="R29" s="608"/>
      <c r="S29" s="608"/>
      <c r="T29" s="608"/>
      <c r="U29" s="608"/>
      <c r="V29" s="608"/>
      <c r="W29" s="608"/>
      <c r="X29" s="608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" customHeight="1">
      <c r="A30" s="878">
        <f>Eingabe_!J91</f>
        <v>158.14999999999995</v>
      </c>
      <c r="B30" s="878"/>
      <c r="C30" s="878"/>
      <c r="D30" s="878"/>
      <c r="E30" s="878"/>
      <c r="F30" s="848">
        <f t="shared" ref="F30" si="10">IF($A30=" - "," - ",1)</f>
        <v>1</v>
      </c>
      <c r="G30" s="849"/>
      <c r="H30" s="850"/>
      <c r="I30" s="851">
        <f>Eingabe_!K91</f>
        <v>3037.15214013279</v>
      </c>
      <c r="J30" s="852"/>
      <c r="K30" s="852"/>
      <c r="L30" s="853"/>
      <c r="M30" s="851">
        <f>Eingabe_!L91</f>
        <v>423.788670716203</v>
      </c>
      <c r="N30" s="852"/>
      <c r="O30" s="852"/>
      <c r="P30" s="853"/>
      <c r="Q30" s="608">
        <f t="shared" ref="Q30" si="11">IF(A30=" - "," - ",AVERAGE(I30:L32))</f>
        <v>1083.0154918302972</v>
      </c>
      <c r="R30" s="608"/>
      <c r="S30" s="608"/>
      <c r="T30" s="608"/>
      <c r="U30" s="608">
        <f t="shared" ref="U30" si="12">IF(A30=" - "," - ",AVERAGE(M30:P32))</f>
        <v>153.03479775862886</v>
      </c>
      <c r="V30" s="608"/>
      <c r="W30" s="608"/>
      <c r="X30" s="608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" customHeight="1">
      <c r="A31" s="878"/>
      <c r="B31" s="878"/>
      <c r="C31" s="878"/>
      <c r="D31" s="878"/>
      <c r="E31" s="878"/>
      <c r="F31" s="848">
        <f t="shared" ref="F31" si="13">IF($A30=" - "," - ",2)</f>
        <v>2</v>
      </c>
      <c r="G31" s="849"/>
      <c r="H31" s="850"/>
      <c r="I31" s="851">
        <f>Eingabe_!K92</f>
        <v>176.57861279841799</v>
      </c>
      <c r="J31" s="852"/>
      <c r="K31" s="852"/>
      <c r="L31" s="853"/>
      <c r="M31" s="851">
        <f>Eingabe_!L92</f>
        <v>35.3157225596836</v>
      </c>
      <c r="N31" s="852"/>
      <c r="O31" s="852"/>
      <c r="P31" s="853"/>
      <c r="Q31" s="608"/>
      <c r="R31" s="608"/>
      <c r="S31" s="608"/>
      <c r="T31" s="608"/>
      <c r="U31" s="608"/>
      <c r="V31" s="608"/>
      <c r="W31" s="608"/>
      <c r="X31" s="608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" customHeight="1">
      <c r="A32" s="878"/>
      <c r="B32" s="878"/>
      <c r="C32" s="878"/>
      <c r="D32" s="878"/>
      <c r="E32" s="878"/>
      <c r="F32" s="848">
        <f t="shared" ref="F32" si="14">IF($A30=" - "," - ",3)</f>
        <v>3</v>
      </c>
      <c r="G32" s="849"/>
      <c r="H32" s="850"/>
      <c r="I32" s="851">
        <f>Eingabe_!K93</f>
        <v>35.3157225596836</v>
      </c>
      <c r="J32" s="852"/>
      <c r="K32" s="852"/>
      <c r="L32" s="853"/>
      <c r="M32" s="851">
        <f>Eingabe_!L93</f>
        <v>0</v>
      </c>
      <c r="N32" s="852"/>
      <c r="O32" s="852"/>
      <c r="P32" s="853"/>
      <c r="Q32" s="608"/>
      <c r="R32" s="608"/>
      <c r="S32" s="608"/>
      <c r="T32" s="608"/>
      <c r="U32" s="608"/>
      <c r="V32" s="608"/>
      <c r="W32" s="608"/>
      <c r="X32" s="608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34" ht="12" customHeight="1">
      <c r="A33" s="878">
        <f>Eingabe_!J94</f>
        <v>158.15999999999994</v>
      </c>
      <c r="B33" s="878"/>
      <c r="C33" s="878"/>
      <c r="D33" s="878"/>
      <c r="E33" s="878"/>
      <c r="F33" s="848">
        <f t="shared" ref="F33" si="15">IF($A33=" - "," - ",1)</f>
        <v>1</v>
      </c>
      <c r="G33" s="849"/>
      <c r="H33" s="850"/>
      <c r="I33" s="851">
        <f>Eingabe_!K94</f>
        <v>4944.2011583556996</v>
      </c>
      <c r="J33" s="852"/>
      <c r="K33" s="852"/>
      <c r="L33" s="853"/>
      <c r="M33" s="851">
        <f>Eingabe_!L94</f>
        <v>741.63017375335505</v>
      </c>
      <c r="N33" s="852"/>
      <c r="O33" s="852"/>
      <c r="P33" s="853"/>
      <c r="Q33" s="608">
        <f t="shared" ref="Q33" si="16">IF(A33=" - "," - ",AVERAGE(I33:L35))</f>
        <v>2389.6972265385884</v>
      </c>
      <c r="R33" s="608"/>
      <c r="S33" s="608"/>
      <c r="T33" s="608"/>
      <c r="U33" s="608">
        <f t="shared" ref="U33" si="17">IF(A33=" - "," - ",AVERAGE(M33:P35))</f>
        <v>341.38531807694108</v>
      </c>
      <c r="V33" s="608"/>
      <c r="W33" s="608"/>
      <c r="X33" s="608"/>
    </row>
    <row r="34" spans="1:34" ht="12" customHeight="1">
      <c r="A34" s="878"/>
      <c r="B34" s="878"/>
      <c r="C34" s="878"/>
      <c r="D34" s="878"/>
      <c r="E34" s="878"/>
      <c r="F34" s="848">
        <f t="shared" ref="F34" si="18">IF($A33=" - "," - ",2)</f>
        <v>2</v>
      </c>
      <c r="G34" s="849"/>
      <c r="H34" s="850"/>
      <c r="I34" s="851">
        <f>Eingabe_!K95</f>
        <v>1871.7332956632299</v>
      </c>
      <c r="J34" s="852"/>
      <c r="K34" s="852"/>
      <c r="L34" s="853"/>
      <c r="M34" s="851">
        <f>Eingabe_!L95</f>
        <v>211.89433535810099</v>
      </c>
      <c r="N34" s="852"/>
      <c r="O34" s="852"/>
      <c r="P34" s="853"/>
      <c r="Q34" s="608"/>
      <c r="R34" s="608"/>
      <c r="S34" s="608"/>
      <c r="T34" s="608"/>
      <c r="U34" s="608"/>
      <c r="V34" s="608"/>
      <c r="W34" s="608"/>
      <c r="X34" s="608"/>
    </row>
    <row r="35" spans="1:34" ht="12" customHeight="1">
      <c r="A35" s="878"/>
      <c r="B35" s="878"/>
      <c r="C35" s="878"/>
      <c r="D35" s="878"/>
      <c r="E35" s="878"/>
      <c r="F35" s="848">
        <f t="shared" ref="F35" si="19">IF($A33=" - "," - ",3)</f>
        <v>3</v>
      </c>
      <c r="G35" s="849"/>
      <c r="H35" s="850"/>
      <c r="I35" s="851">
        <f>Eingabe_!K96</f>
        <v>353.15722559683599</v>
      </c>
      <c r="J35" s="852"/>
      <c r="K35" s="852"/>
      <c r="L35" s="853"/>
      <c r="M35" s="851">
        <f>Eingabe_!L96</f>
        <v>70.6314451193671</v>
      </c>
      <c r="N35" s="852"/>
      <c r="O35" s="852"/>
      <c r="P35" s="853"/>
      <c r="Q35" s="608"/>
      <c r="R35" s="608"/>
      <c r="S35" s="608"/>
      <c r="T35" s="608"/>
      <c r="U35" s="608"/>
      <c r="V35" s="608"/>
      <c r="W35" s="608"/>
      <c r="X35" s="608"/>
    </row>
    <row r="36" spans="1:34" ht="12" customHeight="1">
      <c r="A36" s="878">
        <f>Eingabe_!J97</f>
        <v>158.16999999999993</v>
      </c>
      <c r="B36" s="878"/>
      <c r="C36" s="878"/>
      <c r="D36" s="878"/>
      <c r="E36" s="878"/>
      <c r="F36" s="848">
        <f t="shared" ref="F36" si="20">IF($A36=" - "," - ",1)</f>
        <v>1</v>
      </c>
      <c r="G36" s="849"/>
      <c r="H36" s="850"/>
      <c r="I36" s="851">
        <f>Eingabe_!K97</f>
        <v>2648.67919197627</v>
      </c>
      <c r="J36" s="852"/>
      <c r="K36" s="852"/>
      <c r="L36" s="853"/>
      <c r="M36" s="851">
        <f>Eingabe_!L97</f>
        <v>565.05156095493703</v>
      </c>
      <c r="N36" s="852"/>
      <c r="O36" s="852"/>
      <c r="P36" s="853"/>
      <c r="Q36" s="608">
        <f t="shared" ref="Q36" si="21">IF(A36=" - "," - ",AVERAGE(I36:L38))</f>
        <v>1118.3312143899807</v>
      </c>
      <c r="R36" s="608"/>
      <c r="S36" s="608"/>
      <c r="T36" s="608"/>
      <c r="U36" s="608">
        <f t="shared" ref="U36" si="22">IF(A36=" - "," - ",AVERAGE(M36:P38))</f>
        <v>247.21005791778506</v>
      </c>
      <c r="V36" s="608"/>
      <c r="W36" s="608"/>
      <c r="X36" s="608"/>
    </row>
    <row r="37" spans="1:34" ht="11.9" customHeight="1">
      <c r="A37" s="878"/>
      <c r="B37" s="878"/>
      <c r="C37" s="878"/>
      <c r="D37" s="878"/>
      <c r="E37" s="878"/>
      <c r="F37" s="848">
        <f t="shared" ref="F37" si="23">IF($A36=" - "," - ",2)</f>
        <v>2</v>
      </c>
      <c r="G37" s="849"/>
      <c r="H37" s="850"/>
      <c r="I37" s="851">
        <f>Eingabe_!K98</f>
        <v>423.788670716203</v>
      </c>
      <c r="J37" s="852"/>
      <c r="K37" s="852"/>
      <c r="L37" s="853"/>
      <c r="M37" s="851">
        <f>Eingabe_!L98</f>
        <v>70.6314451193671</v>
      </c>
      <c r="N37" s="852"/>
      <c r="O37" s="852"/>
      <c r="P37" s="853"/>
      <c r="Q37" s="608"/>
      <c r="R37" s="608"/>
      <c r="S37" s="608"/>
      <c r="T37" s="608"/>
      <c r="U37" s="608"/>
      <c r="V37" s="608"/>
      <c r="W37" s="608"/>
      <c r="X37" s="608"/>
    </row>
    <row r="38" spans="1:34" ht="11.9" customHeight="1">
      <c r="A38" s="878"/>
      <c r="B38" s="878"/>
      <c r="C38" s="878"/>
      <c r="D38" s="878"/>
      <c r="E38" s="878"/>
      <c r="F38" s="848">
        <f t="shared" ref="F38" si="24">IF($A36=" - "," - ",3)</f>
        <v>3</v>
      </c>
      <c r="G38" s="849"/>
      <c r="H38" s="850"/>
      <c r="I38" s="851">
        <f>Eingabe_!K99</f>
        <v>282.52578047746903</v>
      </c>
      <c r="J38" s="852"/>
      <c r="K38" s="852"/>
      <c r="L38" s="853"/>
      <c r="M38" s="851">
        <f>Eingabe_!L99</f>
        <v>105.94716767905101</v>
      </c>
      <c r="N38" s="852"/>
      <c r="O38" s="852"/>
      <c r="P38" s="853"/>
      <c r="Q38" s="608"/>
      <c r="R38" s="608"/>
      <c r="S38" s="608"/>
      <c r="T38" s="608"/>
      <c r="U38" s="608"/>
      <c r="V38" s="608"/>
      <c r="W38" s="608"/>
      <c r="X38" s="608"/>
    </row>
    <row r="39" spans="1:34" ht="11.9" customHeight="1">
      <c r="A39" s="863" t="s">
        <v>36</v>
      </c>
      <c r="B39" s="863"/>
      <c r="C39" s="863"/>
      <c r="D39" s="863"/>
      <c r="E39" s="863"/>
      <c r="F39" s="863"/>
      <c r="G39" s="863"/>
      <c r="H39" s="863"/>
      <c r="I39" s="864"/>
      <c r="J39" s="865" t="str">
        <f>E7</f>
        <v>OP 1   rooms/roomname</v>
      </c>
      <c r="K39" s="865"/>
      <c r="L39" s="865"/>
      <c r="M39" s="865"/>
      <c r="N39" s="865"/>
      <c r="O39" s="865"/>
      <c r="P39" s="866"/>
      <c r="Q39" s="869">
        <f>MAX(Q18:T32)</f>
        <v>1636.2951452653372</v>
      </c>
      <c r="R39" s="870"/>
      <c r="S39" s="870"/>
      <c r="T39" s="871"/>
      <c r="U39" s="870">
        <f>MAX(U18:X32)</f>
        <v>364.92913311673027</v>
      </c>
      <c r="V39" s="870"/>
      <c r="W39" s="870"/>
      <c r="X39" s="871"/>
    </row>
    <row r="40" spans="1:34" ht="11.9" customHeight="1">
      <c r="A40" s="863"/>
      <c r="B40" s="863"/>
      <c r="C40" s="863"/>
      <c r="D40" s="863"/>
      <c r="E40" s="863"/>
      <c r="F40" s="863"/>
      <c r="G40" s="863"/>
      <c r="H40" s="863"/>
      <c r="I40" s="864"/>
      <c r="J40" s="867"/>
      <c r="K40" s="867"/>
      <c r="L40" s="867"/>
      <c r="M40" s="867"/>
      <c r="N40" s="867"/>
      <c r="O40" s="867"/>
      <c r="P40" s="868"/>
      <c r="Q40" s="872"/>
      <c r="R40" s="873"/>
      <c r="S40" s="873"/>
      <c r="T40" s="874"/>
      <c r="U40" s="873"/>
      <c r="V40" s="873"/>
      <c r="W40" s="873"/>
      <c r="X40" s="874"/>
    </row>
    <row r="41" spans="1:34" ht="11.9" customHeight="1">
      <c r="A41" s="40" t="s">
        <v>580</v>
      </c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34" ht="11.9" customHeight="1">
      <c r="B42" s="63"/>
      <c r="C42" s="63"/>
      <c r="D42" s="63"/>
      <c r="E42" s="17"/>
      <c r="F42" s="17"/>
      <c r="P42" s="63"/>
      <c r="Q42" s="63"/>
      <c r="R42" s="63"/>
      <c r="S42" s="40"/>
      <c r="T42" s="40"/>
      <c r="U42" s="40"/>
      <c r="V42" s="40"/>
      <c r="W42" s="40"/>
      <c r="X42" s="40"/>
    </row>
    <row r="43" spans="1:34">
      <c r="A43" s="2" t="s">
        <v>224</v>
      </c>
      <c r="B43" s="63"/>
      <c r="C43" s="63"/>
      <c r="D43" s="63"/>
      <c r="E43" s="17"/>
      <c r="F43" s="17"/>
      <c r="P43" s="63"/>
      <c r="Q43" s="875" t="s">
        <v>17</v>
      </c>
      <c r="R43" s="875"/>
      <c r="S43" s="875"/>
      <c r="T43" s="875"/>
      <c r="U43" s="875" t="s">
        <v>18</v>
      </c>
      <c r="V43" s="875"/>
      <c r="W43" s="875"/>
      <c r="X43" s="875"/>
    </row>
    <row r="44" spans="1:34" ht="13.3">
      <c r="A44" s="47" t="s">
        <v>202</v>
      </c>
      <c r="B44" s="1"/>
      <c r="C44" s="1"/>
      <c r="D44" s="1"/>
      <c r="F44" s="64"/>
      <c r="G44" s="65"/>
      <c r="H44" s="66"/>
      <c r="I44" s="67"/>
      <c r="J44" s="67"/>
      <c r="K44" s="67"/>
      <c r="L44" s="67"/>
      <c r="M44" s="67"/>
      <c r="N44" s="67"/>
      <c r="O44" s="67"/>
      <c r="P44" s="67"/>
      <c r="Q44" s="876">
        <f>VLOOKUP([6]Eingabe_!$Z$139,[6]Eingabe_!$AM$2:$AW$7,5)</f>
        <v>352000</v>
      </c>
      <c r="R44" s="876"/>
      <c r="S44" s="876"/>
      <c r="T44" s="876"/>
      <c r="U44" s="876">
        <f>VLOOKUP([6]Eingabe_!$Z$139,[6]Eingabe_!$AM$2:$AW$7,7)</f>
        <v>2930</v>
      </c>
      <c r="V44" s="876"/>
      <c r="W44" s="876"/>
      <c r="X44" s="876"/>
    </row>
    <row r="45" spans="1:34" ht="11.9" customHeight="1"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AF45" s="365"/>
    </row>
    <row r="46" spans="1:34" ht="11.9" customHeight="1">
      <c r="AF46" s="366"/>
      <c r="AH46" s="366"/>
    </row>
    <row r="47" spans="1:34" ht="11.9" customHeight="1">
      <c r="AF47" s="366"/>
      <c r="AH47" s="366"/>
    </row>
    <row r="48" spans="1:34" ht="11.9" customHeight="1">
      <c r="T48" s="194"/>
    </row>
    <row r="49" spans="1:20" ht="11.9" customHeight="1"/>
    <row r="50" spans="1:20" ht="11.9" customHeight="1"/>
    <row r="51" spans="1:20" ht="12" customHeight="1"/>
    <row r="52" spans="1:20" ht="12" customHeight="1"/>
    <row r="53" spans="1:20" ht="12" customHeight="1"/>
    <row r="54" spans="1:20" ht="12" customHeight="1"/>
    <row r="55" spans="1:20" ht="12" customHeight="1"/>
    <row r="56" spans="1:20" ht="12" customHeight="1"/>
    <row r="57" spans="1:20" ht="12" customHeight="1"/>
    <row r="58" spans="1:20" ht="12" customHeight="1">
      <c r="A58" s="63" t="s">
        <v>37</v>
      </c>
      <c r="B58" s="63"/>
      <c r="D58" s="63"/>
      <c r="F58" s="63" t="str">
        <f>IF(AND(Q39&lt;Q44,U39&lt;U44),"Die Spezifikationsgrenze für Partikelkonzentration ausserhalb Laminarbereich wird eingehalten.","Die Spezifikationsgrenze für Partikelkonzentration ausserhalb Laminarbereich  wurde überschritten.")</f>
        <v>Die Spezifikationsgrenze für Partikelkonzentration ausserhalb Laminarbereich wird eingehalten.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1:20" ht="12" customHeight="1">
      <c r="A59" s="69" t="s">
        <v>38</v>
      </c>
      <c r="B59" s="69"/>
      <c r="C59" s="69"/>
      <c r="D59" s="69"/>
      <c r="E59" s="69"/>
      <c r="F59" s="69" t="str">
        <f>IF(AND(Q39&lt;Q44,U39&lt;U44),"Der Raum entspricht den Anforderungen.","Der Raum entspricht den Anforderungen nicht.")</f>
        <v>Der Raum entspricht den Anforderungen.</v>
      </c>
      <c r="G59" s="69"/>
      <c r="H59" s="69"/>
      <c r="I59" s="69"/>
      <c r="J59" s="69"/>
      <c r="K59" s="69"/>
      <c r="L59" s="69"/>
      <c r="M59" s="69"/>
    </row>
    <row r="60" spans="1:20" ht="12" customHeight="1"/>
    <row r="61" spans="1:20" ht="12" customHeight="1"/>
    <row r="62" spans="1:20" ht="6" customHeight="1"/>
    <row r="63" spans="1:20" ht="6" customHeight="1"/>
    <row r="64" spans="1:20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</sheetData>
  <mergeCells count="106">
    <mergeCell ref="U36:X38"/>
    <mergeCell ref="F37:H37"/>
    <mergeCell ref="I37:L37"/>
    <mergeCell ref="M37:P37"/>
    <mergeCell ref="F38:H38"/>
    <mergeCell ref="I38:L38"/>
    <mergeCell ref="M38:P38"/>
    <mergeCell ref="I35:L35"/>
    <mergeCell ref="M35:P35"/>
    <mergeCell ref="U33:X35"/>
    <mergeCell ref="U44:X44"/>
    <mergeCell ref="A39:I40"/>
    <mergeCell ref="J39:P40"/>
    <mergeCell ref="Q39:T40"/>
    <mergeCell ref="U39:X40"/>
    <mergeCell ref="Q43:T43"/>
    <mergeCell ref="U43:X43"/>
    <mergeCell ref="Q30:T32"/>
    <mergeCell ref="U30:X32"/>
    <mergeCell ref="F31:H31"/>
    <mergeCell ref="I31:L31"/>
    <mergeCell ref="M31:P31"/>
    <mergeCell ref="F32:H32"/>
    <mergeCell ref="I32:L32"/>
    <mergeCell ref="M32:P32"/>
    <mergeCell ref="A36:E38"/>
    <mergeCell ref="F36:H36"/>
    <mergeCell ref="I36:L36"/>
    <mergeCell ref="M36:P36"/>
    <mergeCell ref="A33:E35"/>
    <mergeCell ref="F33:H33"/>
    <mergeCell ref="I33:L33"/>
    <mergeCell ref="M33:P33"/>
    <mergeCell ref="Q33:T35"/>
    <mergeCell ref="A30:E32"/>
    <mergeCell ref="F30:H30"/>
    <mergeCell ref="I30:L30"/>
    <mergeCell ref="M30:P30"/>
    <mergeCell ref="A27:E29"/>
    <mergeCell ref="F27:H27"/>
    <mergeCell ref="I27:L27"/>
    <mergeCell ref="M27:P27"/>
    <mergeCell ref="Q44:T44"/>
    <mergeCell ref="F34:H34"/>
    <mergeCell ref="I34:L34"/>
    <mergeCell ref="M34:P34"/>
    <mergeCell ref="F35:H35"/>
    <mergeCell ref="Q36:T38"/>
    <mergeCell ref="U27:X29"/>
    <mergeCell ref="F28:H28"/>
    <mergeCell ref="I28:L28"/>
    <mergeCell ref="M28:P28"/>
    <mergeCell ref="F29:H29"/>
    <mergeCell ref="Q24:T26"/>
    <mergeCell ref="U24:X26"/>
    <mergeCell ref="F25:H25"/>
    <mergeCell ref="I25:L25"/>
    <mergeCell ref="M25:P25"/>
    <mergeCell ref="F26:H26"/>
    <mergeCell ref="I26:L26"/>
    <mergeCell ref="M26:P26"/>
    <mergeCell ref="I29:L29"/>
    <mergeCell ref="M29:P29"/>
    <mergeCell ref="A24:E26"/>
    <mergeCell ref="F24:H24"/>
    <mergeCell ref="I24:L24"/>
    <mergeCell ref="M24:P24"/>
    <mergeCell ref="A21:E23"/>
    <mergeCell ref="F21:H21"/>
    <mergeCell ref="I21:L21"/>
    <mergeCell ref="M21:P21"/>
    <mergeCell ref="Q27:T29"/>
    <mergeCell ref="A18:E20"/>
    <mergeCell ref="F18:H18"/>
    <mergeCell ref="I18:L18"/>
    <mergeCell ref="M18:P18"/>
    <mergeCell ref="Q18:T20"/>
    <mergeCell ref="U18:X20"/>
    <mergeCell ref="Q21:T23"/>
    <mergeCell ref="U21:X23"/>
    <mergeCell ref="F22:H22"/>
    <mergeCell ref="I22:L22"/>
    <mergeCell ref="M22:P22"/>
    <mergeCell ref="F23:H23"/>
    <mergeCell ref="F19:H19"/>
    <mergeCell ref="I19:L19"/>
    <mergeCell ref="M19:P19"/>
    <mergeCell ref="F20:H20"/>
    <mergeCell ref="I20:L20"/>
    <mergeCell ref="M20:P20"/>
    <mergeCell ref="I23:L23"/>
    <mergeCell ref="M23:P23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8C5-E548-49FE-A310-7ADFEEED4B7F}">
  <sheetPr codeName="Tabelle37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47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Seitenregister!$X$27</f>
        <v>22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79" t="str">
        <f>Eingabe_!B7</f>
        <v>OP 1</v>
      </c>
      <c r="S7" s="879"/>
      <c r="T7" s="879"/>
      <c r="U7" s="879"/>
      <c r="V7" s="879"/>
      <c r="W7" s="879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>Leckprüfung am eingebauten Filtersystem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0" t="s">
        <v>328</v>
      </c>
      <c r="J51" s="880"/>
      <c r="K51" s="880"/>
      <c r="L51" s="880"/>
      <c r="M51" s="880"/>
      <c r="N51" s="880"/>
      <c r="O51" s="880"/>
      <c r="P51" s="880"/>
      <c r="Q51" s="880"/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 t="str">
        <f>Eingabe_!$D$7</f>
        <v>OP 1   rooms/roomname</v>
      </c>
      <c r="B53" s="606"/>
      <c r="C53" s="606"/>
      <c r="D53" s="606"/>
      <c r="E53" s="606"/>
      <c r="F53" s="606"/>
      <c r="G53" s="606"/>
      <c r="H53" s="606"/>
      <c r="I53" s="880" t="str">
        <f>_xlfn.TEXTJOIN(" ",,"F ",MIN('A FIT'!E15:H39)," - ",ROUND((MAX('A FIT'!$E$15:$H$39)),2))</f>
        <v>F  158.01  -  158.09</v>
      </c>
      <c r="J53" s="880"/>
      <c r="K53" s="880"/>
      <c r="L53" s="880"/>
      <c r="M53" s="880"/>
      <c r="N53" s="880"/>
      <c r="O53" s="880"/>
      <c r="P53" s="880"/>
      <c r="Q53" s="880"/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/>
      <c r="B54" s="606"/>
      <c r="C54" s="606"/>
      <c r="D54" s="606"/>
      <c r="E54" s="606"/>
      <c r="F54" s="606"/>
      <c r="G54" s="606"/>
      <c r="H54" s="606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206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R5:W5"/>
    <mergeCell ref="R7:W7"/>
    <mergeCell ref="I51:X52"/>
    <mergeCell ref="A53:H54"/>
    <mergeCell ref="I53:X54"/>
    <mergeCell ref="A9:X10"/>
    <mergeCell ref="A51:H5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6492-5490-4F91-86CD-2F85FD9FAD1A}">
  <sheetPr codeName="Tabelle52">
    <tabColor rgb="FF0070C0"/>
    <pageSetUpPr fitToPage="1"/>
  </sheetPr>
  <dimension ref="A1:BC213"/>
  <sheetViews>
    <sheetView view="pageLayout" zoomScale="79" zoomScaleNormal="100" zoomScaleSheetLayoutView="99" zoomScalePageLayoutView="79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Seitenregister!X28</f>
        <v>23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87" t="str">
        <f>Eingabe_!B7</f>
        <v>OP 1</v>
      </c>
      <c r="S7" s="887"/>
      <c r="T7" s="887"/>
      <c r="U7" s="887"/>
      <c r="V7" s="887"/>
      <c r="W7" s="887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>Dichtsitzprüfung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0" t="s">
        <v>328</v>
      </c>
      <c r="J51" s="880"/>
      <c r="K51" s="880"/>
      <c r="L51" s="880"/>
      <c r="M51" s="880"/>
      <c r="N51" s="880"/>
      <c r="O51" s="880"/>
      <c r="P51" s="880"/>
      <c r="Q51" s="880"/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 t="str">
        <f>Eingabe_!$D$7</f>
        <v>OP 1   rooms/roomname</v>
      </c>
      <c r="B53" s="606"/>
      <c r="C53" s="606"/>
      <c r="D53" s="606"/>
      <c r="E53" s="606"/>
      <c r="F53" s="606"/>
      <c r="G53" s="606"/>
      <c r="H53" s="606"/>
      <c r="I53" s="880" t="str">
        <f>_xlfn.TEXTJOIN(" ",,"F ",MIN('A FIT'!E15:H39)," - ",ROUND((MAX('A FIT'!$E$15:$H$39)),2))</f>
        <v>F  158.01  -  158.09</v>
      </c>
      <c r="J53" s="880"/>
      <c r="K53" s="880"/>
      <c r="L53" s="880"/>
      <c r="M53" s="880"/>
      <c r="N53" s="880"/>
      <c r="O53" s="880"/>
      <c r="P53" s="880"/>
      <c r="Q53" s="880"/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/>
      <c r="B54" s="606"/>
      <c r="C54" s="606"/>
      <c r="D54" s="606"/>
      <c r="E54" s="606"/>
      <c r="F54" s="606"/>
      <c r="G54" s="606"/>
      <c r="H54" s="606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31" t="s">
        <v>329</v>
      </c>
      <c r="B56" s="31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31" t="s">
        <v>323</v>
      </c>
      <c r="C57" s="292"/>
      <c r="D57" s="292"/>
      <c r="E57" s="292"/>
      <c r="F57" s="292"/>
      <c r="G57" s="292"/>
      <c r="H57" s="292"/>
      <c r="I57" s="292"/>
      <c r="J57" s="292"/>
      <c r="K57" s="292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5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C2F3-BB07-4C78-9EB4-50ED1CE8842C}">
  <sheetPr codeName="Tabelle38">
    <tabColor rgb="FF0070C0"/>
    <pageSetUpPr fitToPage="1"/>
  </sheetPr>
  <dimension ref="A1:BC213"/>
  <sheetViews>
    <sheetView view="pageLayout" zoomScale="98" zoomScaleNormal="100" zoomScaleSheetLayoutView="100" zoomScalePageLayoutView="98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104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Seitenregister!$X$29</f>
        <v>24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88" t="str">
        <f>Eingabe_!G15</f>
        <v>OP 1</v>
      </c>
      <c r="S7" s="888"/>
      <c r="T7" s="888"/>
      <c r="U7" s="888"/>
      <c r="V7" s="888"/>
      <c r="W7" s="888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>Volumenströme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9" t="s">
        <v>351</v>
      </c>
      <c r="J51" s="890"/>
      <c r="K51" s="890"/>
      <c r="L51" s="890"/>
      <c r="M51" s="890"/>
      <c r="N51" s="890"/>
      <c r="O51" s="890"/>
      <c r="P51" s="891"/>
      <c r="Q51" s="880" t="s">
        <v>302</v>
      </c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92"/>
      <c r="J52" s="893"/>
      <c r="K52" s="893"/>
      <c r="L52" s="893"/>
      <c r="M52" s="893"/>
      <c r="N52" s="893"/>
      <c r="O52" s="893"/>
      <c r="P52" s="894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 t="str">
        <f>Eingabe_!$D$7</f>
        <v>OP 1   rooms/roomname</v>
      </c>
      <c r="B53" s="606"/>
      <c r="C53" s="606"/>
      <c r="D53" s="606"/>
      <c r="E53" s="606"/>
      <c r="F53" s="606"/>
      <c r="G53" s="606"/>
      <c r="H53" s="606"/>
      <c r="I53" s="880" t="str">
        <f>_xlfn.TEXTJOIN(" ",,"F ",MIN('A FIT'!E15:H39)," - ",ROUND((MAX('A FIT'!$E$15:$H$39)),2))</f>
        <v>F  158.01  -  158.09</v>
      </c>
      <c r="J53" s="880"/>
      <c r="K53" s="880"/>
      <c r="L53" s="880"/>
      <c r="M53" s="880"/>
      <c r="N53" s="880"/>
      <c r="O53" s="880"/>
      <c r="P53" s="880"/>
      <c r="Q53" s="880" t="str">
        <f>_xlfn.TEXTJOIN(,,"A ",((IF((MIN('P Volumenströme'!F31:I37))=0,"",(_xlfn.TEXTJOIN(" - ",,MIN('P Volumenströme'!F31:I37),ROUND((MAX('P Volumenströme'!F31:I37)),2)))))))</f>
        <v>A 158.01 - 158.05</v>
      </c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/>
      <c r="B54" s="606"/>
      <c r="C54" s="606"/>
      <c r="D54" s="606"/>
      <c r="E54" s="606"/>
      <c r="F54" s="606"/>
      <c r="G54" s="606"/>
      <c r="H54" s="606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330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331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9">
    <mergeCell ref="A53:H54"/>
    <mergeCell ref="R5:W5"/>
    <mergeCell ref="R7:W7"/>
    <mergeCell ref="A9:X10"/>
    <mergeCell ref="A51:H52"/>
    <mergeCell ref="Q51:X52"/>
    <mergeCell ref="I53:P54"/>
    <mergeCell ref="Q53:X54"/>
    <mergeCell ref="I51:P5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CDD1-7F9C-4E99-9904-7155E126BEE0}">
  <sheetPr codeName="Tabelle44">
    <tabColor rgb="FF0070C0"/>
    <pageSetUpPr fitToPage="1"/>
  </sheetPr>
  <dimension ref="A1:BC213"/>
  <sheetViews>
    <sheetView view="pageLayout" topLeftCell="A2" zoomScale="103" zoomScaleNormal="100" zoomScaleSheetLayoutView="99" zoomScalePageLayoutView="103" workbookViewId="0">
      <selection activeCell="AA22" sqref="AA22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506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Seitenregister!$X$30</f>
        <v>25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5" t="str">
        <f>Eingabe_!B7</f>
        <v>OP 1</v>
      </c>
      <c r="S7" s="895"/>
      <c r="T7" s="895"/>
      <c r="U7" s="895"/>
      <c r="V7" s="895"/>
      <c r="W7" s="895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881" t="str">
        <f>G1</f>
        <v>Zuluft-Austrittsgeschwindigkeiten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268"/>
      <c r="Z21" s="268"/>
      <c r="AA21">
        <f>8*15</f>
        <v>120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268"/>
      <c r="Z41" s="268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268"/>
      <c r="Z42" s="268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268"/>
      <c r="Z44" s="268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268"/>
      <c r="Z45" s="268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0" t="s">
        <v>295</v>
      </c>
      <c r="J51" s="880"/>
      <c r="K51" s="880"/>
      <c r="L51" s="880"/>
      <c r="M51" s="880"/>
      <c r="N51" s="880"/>
      <c r="O51" s="880"/>
      <c r="P51" s="880"/>
      <c r="Q51" s="880"/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 t="str">
        <f>Eingabe_!$D$7</f>
        <v>OP 1   rooms/roomname</v>
      </c>
      <c r="B53" s="606"/>
      <c r="C53" s="606"/>
      <c r="D53" s="606"/>
      <c r="E53" s="606"/>
      <c r="F53" s="606"/>
      <c r="G53" s="606"/>
      <c r="H53" s="606"/>
      <c r="I53" s="880" t="s">
        <v>600</v>
      </c>
      <c r="J53" s="880"/>
      <c r="K53" s="880"/>
      <c r="L53" s="880"/>
      <c r="M53" s="880"/>
      <c r="N53" s="880"/>
      <c r="O53" s="880"/>
      <c r="P53" s="880"/>
      <c r="Q53" s="880"/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/>
      <c r="B54" s="606"/>
      <c r="C54" s="606"/>
      <c r="D54" s="606"/>
      <c r="E54" s="606"/>
      <c r="F54" s="606"/>
      <c r="G54" s="606"/>
      <c r="H54" s="606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268"/>
      <c r="I55" s="268"/>
      <c r="J55" s="268"/>
      <c r="K55" s="268"/>
      <c r="L55" s="268"/>
      <c r="M55" s="268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512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571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8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592C-D681-4FCF-BBC0-1A0A0A4A79B3}">
  <sheetPr codeName="Tabelle39">
    <tabColor rgb="FF0070C0"/>
    <pageSetUpPr fitToPage="1"/>
  </sheetPr>
  <dimension ref="A1:BC213"/>
  <sheetViews>
    <sheetView view="pageLayout" topLeftCell="A7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Seitenregister!$X$31</f>
        <v>26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6" t="str">
        <f>Eingabe_!G16</f>
        <v>OP 1</v>
      </c>
      <c r="S7" s="896"/>
      <c r="T7" s="896"/>
      <c r="U7" s="896"/>
      <c r="V7" s="896"/>
      <c r="W7" s="896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>Strömungsnachweis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0" t="s">
        <v>332</v>
      </c>
      <c r="J51" s="880"/>
      <c r="K51" s="880"/>
      <c r="L51" s="880"/>
      <c r="M51" s="880"/>
      <c r="N51" s="880"/>
      <c r="O51" s="880"/>
      <c r="P51" s="880"/>
      <c r="Q51" s="880"/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 t="str">
        <f>Eingabe_!$D$7</f>
        <v>OP 1   rooms/roomname</v>
      </c>
      <c r="B53" s="606"/>
      <c r="C53" s="606"/>
      <c r="D53" s="606"/>
      <c r="E53" s="606"/>
      <c r="F53" s="606"/>
      <c r="G53" s="606"/>
      <c r="H53" s="606"/>
      <c r="I53" s="880" t="str">
        <f>_xlfn.TEXTJOIN(", ",,Eingabe_!O44,Eingabe_!O45,Eingabe_!O46)</f>
        <v>S 02, S 03, S 42</v>
      </c>
      <c r="J53" s="880"/>
      <c r="K53" s="880"/>
      <c r="L53" s="880"/>
      <c r="M53" s="880"/>
      <c r="N53" s="880"/>
      <c r="O53" s="880"/>
      <c r="P53" s="880"/>
      <c r="Q53" s="880"/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/>
      <c r="B54" s="606"/>
      <c r="C54" s="606"/>
      <c r="D54" s="606"/>
      <c r="E54" s="606"/>
      <c r="F54" s="606"/>
      <c r="G54" s="606"/>
      <c r="H54" s="606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 s="270"/>
      <c r="C55" s="270"/>
      <c r="D55" s="270"/>
      <c r="E55" s="270"/>
      <c r="F55" s="270"/>
      <c r="G55" s="270"/>
      <c r="H55" s="1"/>
      <c r="I55" s="1"/>
      <c r="J55" s="1"/>
      <c r="K55" s="1"/>
      <c r="L55" s="1"/>
      <c r="M55" s="1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303</v>
      </c>
      <c r="B56" s="136"/>
      <c r="C56" s="136"/>
      <c r="D56" s="136"/>
      <c r="E56" s="136"/>
      <c r="F56" s="136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333</v>
      </c>
      <c r="C57" s="136"/>
      <c r="D57" s="136"/>
      <c r="E57" s="136"/>
      <c r="F57" s="136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2EF8-2EA6-4020-9EF2-27DBACA4D1C9}">
  <sheetPr codeName="Tabelle46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352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Seitenregister!$X$32</f>
        <v>27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7" t="str">
        <f>Eingabe_!G17</f>
        <v>OP 1</v>
      </c>
      <c r="S7" s="897"/>
      <c r="T7" s="897"/>
      <c r="U7" s="897"/>
      <c r="V7" s="897"/>
      <c r="W7" s="897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>Raumlufttemperatur und Raumluftfeuchte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0" t="s">
        <v>295</v>
      </c>
      <c r="J51" s="880"/>
      <c r="K51" s="880"/>
      <c r="L51" s="880"/>
      <c r="M51" s="880"/>
      <c r="N51" s="880"/>
      <c r="O51" s="880"/>
      <c r="P51" s="880"/>
      <c r="Q51" s="880"/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 t="str">
        <f>Eingabe_!$D$7</f>
        <v>OP 1   rooms/roomname</v>
      </c>
      <c r="B53" s="606"/>
      <c r="C53" s="606"/>
      <c r="D53" s="606"/>
      <c r="E53" s="606"/>
      <c r="F53" s="606"/>
      <c r="G53" s="606"/>
      <c r="H53" s="606"/>
      <c r="I53" s="880" t="s">
        <v>353</v>
      </c>
      <c r="J53" s="880"/>
      <c r="K53" s="880"/>
      <c r="L53" s="880"/>
      <c r="M53" s="880"/>
      <c r="N53" s="880"/>
      <c r="O53" s="880"/>
      <c r="P53" s="880"/>
      <c r="Q53" s="880"/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/>
      <c r="B54" s="606"/>
      <c r="C54" s="606"/>
      <c r="D54" s="606"/>
      <c r="E54" s="606"/>
      <c r="F54" s="606"/>
      <c r="G54" s="606"/>
      <c r="H54" s="606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363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9A1B-8A71-478D-9878-9BF536C9D6D1}">
  <sheetPr codeName="Tabelle6">
    <tabColor theme="6" tint="0.79998168889431442"/>
    <pageSetUpPr fitToPage="1"/>
  </sheetPr>
  <dimension ref="A1:AS56"/>
  <sheetViews>
    <sheetView showGridLines="0" view="pageLayout" zoomScale="103" zoomScaleNormal="103" zoomScaleSheetLayoutView="106" zoomScalePageLayoutView="103" workbookViewId="0">
      <selection activeCell="R5" sqref="R5"/>
    </sheetView>
  </sheetViews>
  <sheetFormatPr baseColWidth="10" defaultColWidth="10.84375" defaultRowHeight="11.6"/>
  <cols>
    <col min="1" max="1" width="4.4609375" style="2" customWidth="1"/>
    <col min="2" max="53" width="3.84375" style="2" customWidth="1"/>
    <col min="54" max="16384" width="10.84375" style="2"/>
  </cols>
  <sheetData>
    <row r="1" spans="1:45" ht="20.25" customHeight="1">
      <c r="A1" s="70" t="s">
        <v>39</v>
      </c>
      <c r="B1" s="71"/>
      <c r="C1" s="71"/>
      <c r="D1" s="71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3" t="s">
        <v>9</v>
      </c>
      <c r="U1" s="73"/>
      <c r="V1" s="74">
        <v>1</v>
      </c>
      <c r="W1" s="74" t="s">
        <v>10</v>
      </c>
      <c r="X1" s="75">
        <f>COUNT(X3:X49)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4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/>
      <c r="AI2"/>
      <c r="AJ2"/>
      <c r="AK2"/>
      <c r="AL2"/>
      <c r="AM2"/>
      <c r="AN2"/>
      <c r="AO2"/>
      <c r="AP2"/>
      <c r="AQ2"/>
      <c r="AR2"/>
      <c r="AS2"/>
    </row>
    <row r="3" spans="1:45" ht="12" customHeight="1">
      <c r="A3" s="76">
        <v>1</v>
      </c>
      <c r="B3" s="1"/>
      <c r="C3" s="77" t="s">
        <v>39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>
        <v>1</v>
      </c>
      <c r="Y3" s="10"/>
      <c r="Z3" s="10"/>
      <c r="AA3" s="10"/>
      <c r="AB3" s="10"/>
      <c r="AC3" s="10"/>
      <c r="AD3" s="10"/>
      <c r="AE3" s="10"/>
      <c r="AF3" s="10"/>
      <c r="AG3" s="10"/>
      <c r="AH3"/>
      <c r="AI3"/>
      <c r="AJ3"/>
      <c r="AK3"/>
      <c r="AL3"/>
      <c r="AM3"/>
      <c r="AN3"/>
      <c r="AO3"/>
      <c r="AP3"/>
      <c r="AQ3"/>
      <c r="AR3"/>
      <c r="AS3"/>
    </row>
    <row r="4" spans="1:45" ht="12" customHeight="1">
      <c r="A4" s="76">
        <v>2</v>
      </c>
      <c r="B4" s="47"/>
      <c r="C4" s="454" t="s">
        <v>16</v>
      </c>
      <c r="D4" s="454"/>
      <c r="E4" s="454"/>
      <c r="F4" s="454"/>
      <c r="G4" s="406"/>
      <c r="H4" s="406"/>
      <c r="I4" s="406"/>
      <c r="J4" s="406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197"/>
      <c r="W4" s="197"/>
      <c r="X4" s="407"/>
      <c r="Y4" s="10"/>
      <c r="Z4" s="10"/>
      <c r="AA4" s="10"/>
      <c r="AB4" s="10"/>
      <c r="AC4" s="10"/>
      <c r="AD4" s="10"/>
      <c r="AE4" s="10"/>
      <c r="AF4" s="10"/>
      <c r="AG4" s="10"/>
      <c r="AH4"/>
      <c r="AI4"/>
      <c r="AJ4"/>
      <c r="AK4"/>
      <c r="AL4"/>
      <c r="AM4"/>
      <c r="AN4"/>
      <c r="AO4"/>
      <c r="AP4"/>
      <c r="AQ4"/>
      <c r="AR4"/>
      <c r="AS4"/>
    </row>
    <row r="5" spans="1:45" ht="12" customHeight="1">
      <c r="A5" s="48">
        <v>2.1</v>
      </c>
      <c r="B5" s="1"/>
      <c r="C5" s="78" t="str">
        <f>'A Dichtsitz'!E1</f>
        <v>Dichtsitzprüfung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>
        <f>COUNTA($X$3:X4)+1</f>
        <v>2</v>
      </c>
      <c r="Y5" s="10"/>
      <c r="Z5" s="10"/>
      <c r="AA5" s="10"/>
      <c r="AB5" s="10"/>
      <c r="AC5" s="10"/>
      <c r="AD5" s="10"/>
      <c r="AE5" s="10"/>
      <c r="AF5" s="10"/>
      <c r="AG5" s="10"/>
      <c r="AH5"/>
      <c r="AI5"/>
      <c r="AJ5"/>
      <c r="AK5"/>
      <c r="AL5"/>
      <c r="AM5"/>
      <c r="AN5"/>
      <c r="AO5"/>
      <c r="AP5"/>
      <c r="AQ5"/>
      <c r="AR5"/>
      <c r="AS5"/>
    </row>
    <row r="6" spans="1:45" ht="12" customHeight="1">
      <c r="A6" s="48">
        <v>2.2000000000000002</v>
      </c>
      <c r="B6" s="1"/>
      <c r="C6" s="79" t="str">
        <f>'A FIT'!E1</f>
        <v>Leckprüfung am eingebauten Filtersystem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>
        <f>COUNTA($X$3:X5)+1</f>
        <v>3</v>
      </c>
      <c r="Y6" s="10"/>
      <c r="Z6" s="10"/>
      <c r="AA6" s="10"/>
      <c r="AB6" s="10"/>
      <c r="AC6" s="10"/>
      <c r="AD6" s="10"/>
      <c r="AE6" s="10"/>
      <c r="AF6" s="10"/>
      <c r="AG6" s="10"/>
      <c r="AH6"/>
      <c r="AI6"/>
      <c r="AJ6"/>
      <c r="AK6"/>
      <c r="AL6"/>
      <c r="AM6"/>
      <c r="AN6"/>
      <c r="AO6"/>
      <c r="AP6"/>
      <c r="AQ6"/>
      <c r="AR6"/>
      <c r="AS6"/>
    </row>
    <row r="7" spans="1:45" ht="12" customHeight="1">
      <c r="A7" s="48">
        <v>2.2999999999999998</v>
      </c>
      <c r="B7" s="1"/>
      <c r="C7" s="79" t="str">
        <f>'A Volumenströme'!E1</f>
        <v>Volumenströme Aussenluft, Zuluft und Abluft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>
        <f>COUNTA($X$3:X6)+1</f>
        <v>4</v>
      </c>
      <c r="Y7" s="10"/>
      <c r="Z7" s="10"/>
      <c r="AA7" s="10"/>
      <c r="AB7" s="10"/>
      <c r="AC7" s="10"/>
      <c r="AD7" s="10"/>
      <c r="AE7" s="10"/>
      <c r="AF7" s="10"/>
      <c r="AG7" s="10"/>
      <c r="AH7"/>
      <c r="AI7"/>
      <c r="AJ7"/>
      <c r="AK7"/>
      <c r="AL7"/>
      <c r="AM7"/>
      <c r="AO7"/>
      <c r="AP7"/>
      <c r="AQ7"/>
      <c r="AR7"/>
      <c r="AS7"/>
    </row>
    <row r="8" spans="1:45" ht="12" customHeight="1">
      <c r="A8" s="48">
        <v>2.4</v>
      </c>
      <c r="B8" s="1"/>
      <c r="C8" s="79" t="str">
        <f>'A Strömungsnachw.'!E1</f>
        <v>Strömungsnachweis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>
        <f>COUNTA($X$3:X7)+1</f>
        <v>5</v>
      </c>
      <c r="Y8" s="10"/>
      <c r="Z8" s="10"/>
      <c r="AA8" s="10"/>
      <c r="AB8" s="10"/>
      <c r="AC8" s="10"/>
      <c r="AD8" s="10"/>
      <c r="AE8" s="10"/>
      <c r="AF8" s="10"/>
      <c r="AG8" s="10"/>
      <c r="AH8"/>
      <c r="AI8"/>
      <c r="AJ8"/>
      <c r="AK8"/>
      <c r="AL8"/>
      <c r="AM8"/>
      <c r="AN8"/>
      <c r="AO8"/>
      <c r="AP8"/>
      <c r="AQ8"/>
      <c r="AR8"/>
      <c r="AS8"/>
    </row>
    <row r="9" spans="1:45" ht="12" customHeight="1">
      <c r="A9" s="48">
        <v>2.5</v>
      </c>
      <c r="B9" s="1"/>
      <c r="C9" s="79" t="str">
        <f>'A LW'!E1</f>
        <v>Zuluft-Luftwechselrate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>
        <f>COUNTA($X$3:X8)+1</f>
        <v>6</v>
      </c>
      <c r="Y9" s="10"/>
      <c r="Z9" s="10"/>
      <c r="AA9" s="10"/>
      <c r="AB9" s="10"/>
      <c r="AC9" s="10"/>
      <c r="AD9" s="10"/>
      <c r="AE9" s="10"/>
      <c r="AF9" s="10"/>
      <c r="AG9" s="10"/>
      <c r="AH9"/>
      <c r="AI9"/>
      <c r="AJ9"/>
      <c r="AK9"/>
      <c r="AL9"/>
      <c r="AM9"/>
      <c r="AN9"/>
      <c r="AO9"/>
      <c r="AP9"/>
      <c r="AQ9"/>
      <c r="AR9"/>
      <c r="AS9"/>
    </row>
    <row r="10" spans="1:45" ht="12" customHeight="1">
      <c r="A10" s="48">
        <v>2.6</v>
      </c>
      <c r="B10" s="1"/>
      <c r="C10" s="79" t="str">
        <f>'A Temp._Feuchte'!E1</f>
        <v>Raumlufttemperatur und Raumluftfeuchte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>
        <f>COUNTA($X$3:X9)+1</f>
        <v>7</v>
      </c>
      <c r="Y10" s="10"/>
      <c r="Z10" s="10"/>
      <c r="AA10" s="10"/>
      <c r="AB10" s="10"/>
      <c r="AC10" s="10"/>
      <c r="AD10" s="10"/>
      <c r="AE10" s="10"/>
      <c r="AF10" s="10"/>
      <c r="AG10" s="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" customHeight="1">
      <c r="A11" s="48">
        <v>2.7</v>
      </c>
      <c r="B11" s="1"/>
      <c r="C11" s="79" t="str">
        <f>'A Schall'!E1</f>
        <v>Beurteilungsschallpegel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>
        <f>COUNTA($X$3:X10)+1</f>
        <v>8</v>
      </c>
      <c r="Y11" s="10"/>
      <c r="Z11" s="10"/>
      <c r="AA11" s="10"/>
      <c r="AB11" s="10"/>
      <c r="AC11" s="10"/>
      <c r="AD11" s="10"/>
      <c r="AE11" s="10"/>
      <c r="AF11" s="10"/>
      <c r="AG11" s="10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2" customHeight="1">
      <c r="A12" s="398">
        <v>2.8</v>
      </c>
      <c r="B12" s="1"/>
      <c r="C12" s="79" t="str">
        <f>'A PK'!E1</f>
        <v>Partikelkonzentration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>
        <f>COUNTA($X$3:X11)+1</f>
        <v>9</v>
      </c>
      <c r="Y12" s="10"/>
      <c r="Z12" s="10"/>
      <c r="AA12" s="10"/>
      <c r="AB12" s="10"/>
      <c r="AC12" s="10"/>
      <c r="AD12" s="10"/>
      <c r="AE12" s="10"/>
      <c r="AF12" s="10"/>
      <c r="AG12" s="10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12" customHeight="1">
      <c r="A13" s="76">
        <v>3</v>
      </c>
      <c r="B13" s="47"/>
      <c r="C13" s="403" t="s">
        <v>175</v>
      </c>
      <c r="D13" s="197"/>
      <c r="E13" s="403"/>
      <c r="F13" s="403"/>
      <c r="G13" s="403"/>
      <c r="H13" s="403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45" ht="12" customHeight="1">
      <c r="A14" s="48">
        <v>3.1</v>
      </c>
      <c r="B14" s="1"/>
      <c r="C14" s="78" t="str">
        <f>'P Dichtsitz'!E1</f>
        <v>Dichtsitzprüfung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>
        <f>COUNTA($X$3:X13)+1</f>
        <v>10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45" ht="12" customHeight="1">
      <c r="A15" s="48">
        <v>3.2</v>
      </c>
      <c r="B15" s="1"/>
      <c r="C15" s="79" t="str">
        <f>'P FIT 1_4'!E1</f>
        <v xml:space="preserve">Leckprüfung am eingebauten Filtersystem </v>
      </c>
      <c r="D15" s="79"/>
      <c r="E15" s="79"/>
      <c r="F15" s="79"/>
      <c r="G15" s="79"/>
      <c r="H15" s="79"/>
      <c r="I15" s="79"/>
      <c r="J15" s="79"/>
      <c r="K15" s="79"/>
      <c r="L15" s="79"/>
      <c r="M15" s="113"/>
      <c r="N15" s="79" t="str">
        <f>Eingabe_!B40</f>
        <v>Filter Nr. 158.01 - Filter Nr. 158.04</v>
      </c>
      <c r="O15" s="79"/>
      <c r="P15" s="247"/>
      <c r="Q15" s="79"/>
      <c r="R15" s="247"/>
      <c r="S15" s="113"/>
      <c r="T15" s="113"/>
      <c r="U15" s="113"/>
      <c r="V15" s="79"/>
      <c r="W15" s="79"/>
      <c r="X15" s="79">
        <f>COUNTA($X$3:X14)+1</f>
        <v>11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45" ht="12" customHeight="1">
      <c r="A16" s="48">
        <v>3.3</v>
      </c>
      <c r="B16" s="1"/>
      <c r="C16" s="79" t="str">
        <f>'P FIT 5_7 '!E1</f>
        <v xml:space="preserve">Leckprüfung am eingebauten Filtersystem </v>
      </c>
      <c r="D16" s="79"/>
      <c r="E16" s="79"/>
      <c r="F16" s="79"/>
      <c r="G16" s="79"/>
      <c r="H16" s="79"/>
      <c r="I16" s="79"/>
      <c r="J16" s="79"/>
      <c r="K16" s="79"/>
      <c r="L16" s="79"/>
      <c r="M16" s="113"/>
      <c r="N16" s="79" t="str">
        <f>'P FIT 5_7 '!E9</f>
        <v>Filter Nr. 158.05 - Filter Nr. 158.07</v>
      </c>
      <c r="O16" s="79"/>
      <c r="P16" s="247"/>
      <c r="Q16" s="79"/>
      <c r="R16" s="247"/>
      <c r="S16" s="113"/>
      <c r="T16" s="113"/>
      <c r="U16" s="113"/>
      <c r="V16" s="79"/>
      <c r="W16" s="79"/>
      <c r="X16" s="79">
        <f>COUNTA($X$3:X15)+1</f>
        <v>12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2" customHeight="1">
      <c r="A17" s="48">
        <v>3.4</v>
      </c>
      <c r="B17" s="1"/>
      <c r="C17" s="79" t="str">
        <f>'P FIT 8_9'!E1</f>
        <v xml:space="preserve">Leckprüfung am eingebauten Filtersystem </v>
      </c>
      <c r="D17" s="79"/>
      <c r="E17" s="79"/>
      <c r="F17" s="79"/>
      <c r="G17" s="79"/>
      <c r="H17" s="79"/>
      <c r="I17" s="79"/>
      <c r="J17" s="79"/>
      <c r="K17" s="79"/>
      <c r="L17" s="79"/>
      <c r="M17" s="113"/>
      <c r="N17" s="79" t="str">
        <f>'P FIT 8_9'!E9</f>
        <v>Filter Nr. 158.08 - Filter Nr. 158.09</v>
      </c>
      <c r="O17" s="79"/>
      <c r="P17" s="247"/>
      <c r="Q17" s="79"/>
      <c r="R17" s="247"/>
      <c r="S17" s="113"/>
      <c r="T17" s="113"/>
      <c r="U17" s="113"/>
      <c r="V17" s="79"/>
      <c r="W17" s="79"/>
      <c r="X17" s="79">
        <f>COUNTA($X$3:X16)+1</f>
        <v>13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2" customHeight="1">
      <c r="A18" s="48">
        <v>3.5</v>
      </c>
      <c r="B18" s="246"/>
      <c r="C18" s="79" t="str">
        <f>'P Volumenströme'!E1</f>
        <v>Volumenströme Zuluft und Abluft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>
        <f>COUNTA($X$3:X17)+1</f>
        <v>14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2" customHeight="1">
      <c r="A19" s="48">
        <v>3.6</v>
      </c>
      <c r="B19" s="246"/>
      <c r="C19" s="79" t="str">
        <f>'P vZuluft'!E1</f>
        <v>Zuluft-Austrittsgeschwindigkeiten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>
        <f>COUNTA($X$3:X18)+1</f>
        <v>15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2" customHeight="1">
      <c r="A20" s="48">
        <v>3.7</v>
      </c>
      <c r="B20" s="246"/>
      <c r="C20" s="79" t="str">
        <f>'P STrömungsnachw.'!E1</f>
        <v>Strömungsnachweis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>
        <f>COUNTA($X$3:X19)+1</f>
        <v>16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2" customHeight="1">
      <c r="A21" s="48">
        <v>3.8</v>
      </c>
      <c r="B21" s="1"/>
      <c r="C21" s="79" t="str">
        <f>'P LW'!E1</f>
        <v>Zuluft-Luftwechselrate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>
        <f>COUNTA($X$3:X20)+1</f>
        <v>17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2" customHeight="1">
      <c r="A22" s="398">
        <v>3.9</v>
      </c>
      <c r="B22" s="246"/>
      <c r="C22" s="79" t="str">
        <f>'P T&amp;F '!E1</f>
        <v>Raumlufttemperatur und Raumluftfeuchte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>
        <f>COUNTA($X$3:X21)+1</f>
        <v>18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2" customHeight="1">
      <c r="A23" s="80">
        <v>3.1</v>
      </c>
      <c r="B23" s="246"/>
      <c r="C23" s="79" t="str">
        <f>'P Schall '!E1</f>
        <v>Beurteilungsschallpegel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>
        <f>COUNTA($X$3:X22)+1</f>
        <v>19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2" customHeight="1">
      <c r="A24" s="80">
        <v>3.11</v>
      </c>
      <c r="B24" s="246"/>
      <c r="C24" s="79" t="str">
        <f>'P PK_I'!E1</f>
        <v>Partikelkonzentration (innerhalb Laminarbereich)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>
        <f>COUNTA($X$3:X23)+1</f>
        <v>20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2" customHeight="1">
      <c r="A25" s="80">
        <v>3.12</v>
      </c>
      <c r="B25" s="246"/>
      <c r="C25" s="79" t="str">
        <f>'P PK_A'!E1</f>
        <v>Partikelkonzentration (ausserhalb Laminarbereich)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>
        <f>COUNTA($X$3:X24)+1</f>
        <v>21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2" customHeight="1">
      <c r="A26" s="76">
        <v>4</v>
      </c>
      <c r="B26" s="1"/>
      <c r="C26" s="81" t="s">
        <v>181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2" customHeight="1">
      <c r="A27" s="48">
        <v>4.0999999999999996</v>
      </c>
      <c r="B27" s="1"/>
      <c r="C27" s="372" t="str">
        <f>'Z FIT'!R7</f>
        <v>OP 1</v>
      </c>
      <c r="D27" s="78"/>
      <c r="E27" s="78"/>
      <c r="F27" s="78"/>
      <c r="G27" s="23"/>
      <c r="H27" s="78" t="str">
        <f>'Z FIT'!G1</f>
        <v>Leckprüfung am eingebauten Filtersystem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>
        <f>COUNTA($X$3:X26)+1</f>
        <v>22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2" customHeight="1">
      <c r="A28" s="48">
        <v>4.2</v>
      </c>
      <c r="B28" s="1"/>
      <c r="C28" s="378" t="str">
        <f>'Z Dichtsitz'!R7</f>
        <v>OP 1</v>
      </c>
      <c r="D28" s="79"/>
      <c r="E28" s="79"/>
      <c r="F28" s="79"/>
      <c r="G28" s="113"/>
      <c r="H28" s="79" t="str">
        <f>'Z Dichtsitz'!G1</f>
        <v>Dichtsitzprüfung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>
        <f>COUNTA($X$3:X27)+1</f>
        <v>23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2" customHeight="1">
      <c r="A29" s="48">
        <v>4.3</v>
      </c>
      <c r="B29" s="1"/>
      <c r="C29" s="373" t="str">
        <f>'Z Volumenströme'!R7</f>
        <v>OP 1</v>
      </c>
      <c r="D29" s="79"/>
      <c r="E29" s="79"/>
      <c r="F29" s="79"/>
      <c r="G29" s="113"/>
      <c r="H29" s="79" t="str">
        <f>'Z Volumenströme'!G1</f>
        <v>Volumenströme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>
        <f>COUNTA($X$3:X28)+1</f>
        <v>24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2" customHeight="1">
      <c r="A30" s="48">
        <v>4.4000000000000004</v>
      </c>
      <c r="B30" s="1"/>
      <c r="C30" s="374" t="str">
        <f>'Z Strömungsnachweis'!R7</f>
        <v>OP 1</v>
      </c>
      <c r="D30" s="79"/>
      <c r="E30" s="79"/>
      <c r="F30" s="79"/>
      <c r="G30" s="113"/>
      <c r="H30" s="79" t="str">
        <f>'Z Strömungsnachweis'!G1</f>
        <v>Strömungsnachweis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>
        <f>COUNTA($X$3:X29)+1</f>
        <v>25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2" customHeight="1">
      <c r="A31" s="48">
        <v>4.5</v>
      </c>
      <c r="B31" s="1"/>
      <c r="C31" s="371" t="str">
        <f>Eingabe_!B7</f>
        <v>OP 1</v>
      </c>
      <c r="D31" s="79"/>
      <c r="E31" s="79"/>
      <c r="F31" s="79"/>
      <c r="G31" s="113"/>
      <c r="H31" s="79" t="str">
        <f>'Z Vzuluft'!G1</f>
        <v>Zuluft-Austrittsgeschwindigkeiten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>
        <f>COUNTA($X$3:X30)+1</f>
        <v>26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2" customHeight="1">
      <c r="A32" s="48">
        <v>4.5999999999999996</v>
      </c>
      <c r="B32" s="1"/>
      <c r="C32" s="375" t="str">
        <f>'Z T&amp;F'!R7</f>
        <v>OP 1</v>
      </c>
      <c r="D32" s="79"/>
      <c r="E32" s="79"/>
      <c r="F32" s="79"/>
      <c r="G32" s="79"/>
      <c r="H32" s="79" t="str">
        <f>'Z T&amp;F'!G1</f>
        <v>Raumlufttemperatur und Raumluftfeuchte</v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>
        <f>COUNTA($X$3:X31)+1</f>
        <v>27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2" customHeight="1">
      <c r="A33" s="48">
        <v>4.7</v>
      </c>
      <c r="B33" s="1"/>
      <c r="C33" s="376" t="str">
        <f>'Z Schall'!R7</f>
        <v>OP 1</v>
      </c>
      <c r="D33" s="79"/>
      <c r="E33" s="79"/>
      <c r="F33" s="79"/>
      <c r="G33" s="79"/>
      <c r="H33" s="79" t="str">
        <f>'Z Schall'!G1</f>
        <v xml:space="preserve">Schallpegel 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>
        <f>COUNTA($X$3:X32)+1</f>
        <v>28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2" customHeight="1">
      <c r="A34" s="48">
        <v>4.8</v>
      </c>
      <c r="B34" s="1"/>
      <c r="C34" s="377" t="str">
        <f>'Z PZ'!R7</f>
        <v>OP 1</v>
      </c>
      <c r="D34" s="79"/>
      <c r="E34" s="79"/>
      <c r="F34" s="79"/>
      <c r="G34" s="79"/>
      <c r="H34" s="79" t="str">
        <f>'Z PZ'!G1</f>
        <v>Partikelkonzentration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>
        <f>COUNTA($X$3:X33)+1</f>
        <v>29</v>
      </c>
      <c r="Y34" s="10"/>
      <c r="Z34" s="10"/>
      <c r="AA34" s="10"/>
      <c r="AB34" s="10"/>
      <c r="AC34" s="10"/>
      <c r="AD34" s="10"/>
      <c r="AE34" s="10"/>
      <c r="AF34" s="10"/>
      <c r="AG34" s="10"/>
      <c r="AI34" s="10"/>
      <c r="AJ34" s="10"/>
      <c r="AK34" s="10"/>
      <c r="AL34" s="10"/>
      <c r="AM34" s="10"/>
    </row>
    <row r="35" spans="1:39" ht="12" customHeight="1">
      <c r="A35" s="76">
        <v>5</v>
      </c>
      <c r="B35" s="1"/>
      <c r="C35" s="408" t="s">
        <v>40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2" customHeight="1">
      <c r="A36" s="246" t="s">
        <v>623</v>
      </c>
      <c r="B36" s="1"/>
      <c r="C36" s="78" t="str">
        <f>'RD Dichtsitz'!G1</f>
        <v>Dichtsitzprüfung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>
        <f>COUNTA($X$3:X35)+1</f>
        <v>30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2" customHeight="1">
      <c r="A37" s="48">
        <v>5.2</v>
      </c>
      <c r="B37" s="246"/>
      <c r="C37" s="79" t="str">
        <f>'RD Volumenströme'!G1</f>
        <v xml:space="preserve">Volumenströme 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>
        <f>COUNTA($X$3:X36)+1</f>
        <v>31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2" customHeight="1">
      <c r="A38" s="246" t="s">
        <v>624</v>
      </c>
      <c r="B38" s="246"/>
      <c r="C38" s="79" t="str">
        <f>'RD vZuluft'!G1</f>
        <v xml:space="preserve">Zuluft-Austrittsgeschwindigkeiten 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>
        <f>COUNTA($X$3:X37)+1</f>
        <v>32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2" customHeight="1">
      <c r="A39" s="48">
        <v>5.4</v>
      </c>
      <c r="B39" s="1"/>
      <c r="C39" s="79" t="str">
        <f>'RD Strömungsnachw.'!G1</f>
        <v>Strömungsnachweis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>
        <f>COUNTA($X$3:X38)+1</f>
        <v>33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2" customHeight="1">
      <c r="A40" s="246" t="s">
        <v>625</v>
      </c>
      <c r="B40" s="246"/>
      <c r="C40" s="79" t="str">
        <f>'RD T&amp;F'!G1</f>
        <v>Raumtemperatur und Raumfeuchte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>
        <f>COUNTA($X$3:X39)+1</f>
        <v>34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ht="12" customHeight="1">
      <c r="A41" s="48">
        <v>5.6</v>
      </c>
      <c r="B41" s="1"/>
      <c r="C41" s="79" t="str">
        <f>'RD Schall'!G1</f>
        <v>Beurteilungsschallpegel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>
        <f>COUNTA($X$3:X40)+1</f>
        <v>35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2" customHeight="1">
      <c r="A42" s="48">
        <v>5.7</v>
      </c>
      <c r="B42" s="1"/>
      <c r="C42" s="79" t="str">
        <f>'RD Fotodokumentation'!G1</f>
        <v>Fotodokumentation Strömungsnachweis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>
        <f>COUNTA($X$3:X41)+1</f>
        <v>36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ht="14.15">
      <c r="A43" s="76">
        <v>6</v>
      </c>
      <c r="B43" s="47"/>
      <c r="C43" s="47" t="s">
        <v>690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1"/>
      <c r="X43" s="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</row>
    <row r="44" spans="1:39" ht="14.15">
      <c r="A44" s="76">
        <v>7</v>
      </c>
      <c r="B44" s="47"/>
      <c r="C44" s="81" t="s">
        <v>702</v>
      </c>
      <c r="D44" s="47"/>
      <c r="E44" s="47"/>
      <c r="F44" s="47"/>
      <c r="G44" s="69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1"/>
      <c r="X44" s="1"/>
      <c r="Y44" s="381"/>
      <c r="Z44" s="381"/>
      <c r="AA44" s="381"/>
      <c r="AB44" s="381"/>
      <c r="AC44" s="381"/>
      <c r="AD44" s="381"/>
      <c r="AE44" s="381"/>
      <c r="AF44" s="381"/>
      <c r="AG44" s="381"/>
      <c r="AH44" s="381"/>
      <c r="AI44" s="381"/>
      <c r="AJ44" s="381"/>
      <c r="AK44" s="381"/>
      <c r="AL44" s="381"/>
      <c r="AM44" s="381"/>
    </row>
    <row r="45" spans="1:39" s="405" customFormat="1" ht="14.6">
      <c r="A45" s="48"/>
      <c r="B45" s="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404"/>
    </row>
    <row r="46" spans="1:39" ht="14.15">
      <c r="A46" s="48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81"/>
      <c r="Z46" s="381"/>
      <c r="AA46" s="381"/>
      <c r="AB46" s="381"/>
      <c r="AC46" s="381"/>
      <c r="AD46" s="381"/>
      <c r="AE46" s="381"/>
      <c r="AF46" s="381"/>
      <c r="AG46" s="381"/>
      <c r="AH46" s="381"/>
      <c r="AI46" s="381"/>
      <c r="AJ46" s="381"/>
      <c r="AK46" s="381"/>
      <c r="AL46" s="381"/>
      <c r="AM46" s="381"/>
    </row>
    <row r="47" spans="1:39" ht="14.15">
      <c r="A47" s="48"/>
      <c r="B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81"/>
      <c r="Z47" s="381"/>
      <c r="AA47" s="381"/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381"/>
    </row>
    <row r="48" spans="1:39" ht="14.6">
      <c r="A48" s="76"/>
      <c r="B48" s="1"/>
      <c r="C48" s="8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"/>
      <c r="Y48"/>
      <c r="Z48"/>
      <c r="AA48"/>
    </row>
    <row r="49" spans="1:24" ht="12" customHeight="1">
      <c r="A49" s="76"/>
      <c r="B49" s="1"/>
      <c r="C49" s="8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>
      <c r="X50" s="1"/>
    </row>
    <row r="51" spans="1:24" ht="12" customHeight="1">
      <c r="X51" s="1"/>
    </row>
    <row r="52" spans="1:24" ht="12" customHeight="1">
      <c r="X52" s="1"/>
    </row>
    <row r="53" spans="1:24" ht="12" customHeight="1">
      <c r="X53" s="1"/>
    </row>
    <row r="54" spans="1:24" ht="12" customHeight="1">
      <c r="X54" s="1"/>
    </row>
    <row r="55" spans="1:24">
      <c r="X55" s="1"/>
    </row>
    <row r="56" spans="1:24">
      <c r="X56" s="1"/>
    </row>
  </sheetData>
  <mergeCells count="1">
    <mergeCell ref="C4:F4"/>
  </mergeCells>
  <phoneticPr fontId="9" type="noConversion"/>
  <hyperlinks>
    <hyperlink ref="C4" location="Tabelle1!A1" display="Tabelle1!A1" xr:uid="{A70B99FE-2858-4742-B0E0-6637DACE2772}"/>
  </hyperlinks>
  <printOptions horizontalCentered="1"/>
  <pageMargins left="0.78740157480314965" right="0.39370078740157483" top="0.98425196850393704" bottom="0.59055118110236227" header="0.11811023622047245" footer="0.19685039370078741"/>
  <pageSetup paperSize="9" scale="9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345-9300-4C03-84A2-78983CBBB201}">
  <sheetPr codeName="Tabelle48">
    <tabColor rgb="FF0070C0"/>
    <pageSetUpPr fitToPage="1"/>
  </sheetPr>
  <dimension ref="A1:BC213"/>
  <sheetViews>
    <sheetView view="pageLayout" zoomScale="70" zoomScaleNormal="100" zoomScaleSheetLayoutView="99" zoomScalePageLayoutView="70" workbookViewId="0">
      <selection activeCell="K50" sqref="K50"/>
    </sheetView>
  </sheetViews>
  <sheetFormatPr baseColWidth="10" defaultColWidth="10.84375" defaultRowHeight="11.6"/>
  <cols>
    <col min="1" max="27" width="3.84375" style="2" customWidth="1"/>
    <col min="28" max="28" width="3" style="2" customWidth="1"/>
    <col min="29" max="53" width="3.84375" style="2" hidden="1" customWidth="1"/>
    <col min="54" max="54" width="10.84375" style="2" hidden="1" customWidth="1"/>
    <col min="55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Seitenregister!$X$33</f>
        <v>28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8" t="str">
        <f>Eingabe_!G18</f>
        <v>OP 1</v>
      </c>
      <c r="S7" s="898"/>
      <c r="T7" s="898"/>
      <c r="U7" s="898"/>
      <c r="V7" s="898"/>
      <c r="W7" s="898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 xml:space="preserve">Schallpegel 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 t="s">
        <v>182</v>
      </c>
      <c r="B52" s="606"/>
      <c r="C52" s="606"/>
      <c r="D52" s="606"/>
      <c r="E52" s="606"/>
      <c r="F52" s="606"/>
      <c r="G52" s="606"/>
      <c r="H52" s="606"/>
      <c r="I52" s="880" t="s">
        <v>295</v>
      </c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06"/>
      <c r="B53" s="606"/>
      <c r="C53" s="606"/>
      <c r="D53" s="606"/>
      <c r="E53" s="606"/>
      <c r="F53" s="606"/>
      <c r="G53" s="606"/>
      <c r="H53" s="606"/>
      <c r="I53" s="880"/>
      <c r="J53" s="880"/>
      <c r="K53" s="880"/>
      <c r="L53" s="880"/>
      <c r="M53" s="880"/>
      <c r="N53" s="880"/>
      <c r="O53" s="880"/>
      <c r="P53" s="880"/>
      <c r="Q53" s="880"/>
      <c r="R53" s="880"/>
      <c r="S53" s="880"/>
      <c r="T53" s="880"/>
      <c r="U53" s="880"/>
      <c r="V53" s="880"/>
      <c r="W53" s="880"/>
      <c r="X53" s="88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06" t="str">
        <f>Eingabe_!$D$7</f>
        <v>OP 1   rooms/roomname</v>
      </c>
      <c r="B54" s="606"/>
      <c r="C54" s="606"/>
      <c r="D54" s="606"/>
      <c r="E54" s="606"/>
      <c r="F54" s="606"/>
      <c r="G54" s="606"/>
      <c r="H54" s="606"/>
      <c r="I54" s="880" t="s">
        <v>157</v>
      </c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0"/>
      <c r="U54" s="880"/>
      <c r="V54" s="880"/>
      <c r="W54" s="880"/>
      <c r="X54" s="88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06"/>
      <c r="B55" s="606"/>
      <c r="C55" s="606"/>
      <c r="D55" s="606"/>
      <c r="E55" s="606"/>
      <c r="F55" s="606"/>
      <c r="G55" s="606"/>
      <c r="H55" s="606"/>
      <c r="I55" s="880"/>
      <c r="J55" s="880"/>
      <c r="K55" s="880"/>
      <c r="L55" s="880"/>
      <c r="M55" s="880"/>
      <c r="N55" s="880"/>
      <c r="O55" s="880"/>
      <c r="P55" s="880"/>
      <c r="Q55" s="880"/>
      <c r="R55" s="880"/>
      <c r="S55" s="880"/>
      <c r="T55" s="880"/>
      <c r="U55" s="880"/>
      <c r="V55" s="880"/>
      <c r="W55" s="880"/>
      <c r="X55" s="880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B56"/>
      <c r="C56"/>
      <c r="D56"/>
      <c r="E56"/>
      <c r="F56"/>
      <c r="G56"/>
      <c r="H56" s="10"/>
      <c r="I56" s="10"/>
      <c r="J56" s="10"/>
      <c r="K56" s="10"/>
      <c r="L56" s="10"/>
      <c r="M56" s="10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359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 s="106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4:H55"/>
    <mergeCell ref="I54:X55"/>
    <mergeCell ref="R5:W5"/>
    <mergeCell ref="R7:W7"/>
    <mergeCell ref="A9:X10"/>
    <mergeCell ref="A52:H53"/>
    <mergeCell ref="I52:X53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7E1B-17DF-4EB5-B307-43446C7CA91F}">
  <sheetPr codeName="Tabelle42">
    <tabColor rgb="FF0070C0"/>
    <pageSetUpPr fitToPage="1"/>
  </sheetPr>
  <dimension ref="A1:BC215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Seitenregister!X34</f>
        <v>29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03"/>
      <c r="S5" s="603"/>
      <c r="T5" s="603"/>
      <c r="U5" s="603"/>
      <c r="V5" s="603"/>
      <c r="W5" s="603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2" t="str">
        <f>Eingabe_!G20</f>
        <v>OP 1</v>
      </c>
      <c r="S7" s="902"/>
      <c r="T7" s="902"/>
      <c r="U7" s="902"/>
      <c r="V7" s="902"/>
      <c r="W7" s="902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881" t="str">
        <f>G1</f>
        <v>Partikelkonzentration</v>
      </c>
      <c r="B9" s="882"/>
      <c r="C9" s="882"/>
      <c r="D9" s="882"/>
      <c r="E9" s="882"/>
      <c r="F9" s="882"/>
      <c r="G9" s="882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884"/>
      <c r="B10" s="885"/>
      <c r="C10" s="885"/>
      <c r="D10" s="885"/>
      <c r="E10" s="885"/>
      <c r="F10" s="885"/>
      <c r="G10" s="885"/>
      <c r="H10" s="885"/>
      <c r="I10" s="885"/>
      <c r="J10" s="885"/>
      <c r="K10" s="885"/>
      <c r="L10" s="885"/>
      <c r="M10" s="885"/>
      <c r="N10" s="885"/>
      <c r="O10" s="885"/>
      <c r="P10" s="885"/>
      <c r="Q10" s="885"/>
      <c r="R10" s="885"/>
      <c r="S10" s="885"/>
      <c r="T10" s="885"/>
      <c r="U10" s="885"/>
      <c r="V10" s="885"/>
      <c r="W10" s="885"/>
      <c r="X10" s="88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A50"/>
      <c r="AB50"/>
      <c r="AC50"/>
      <c r="BB50"/>
      <c r="BC50"/>
    </row>
    <row r="51" spans="1:55" ht="12" customHeight="1">
      <c r="A51" s="606" t="s">
        <v>182</v>
      </c>
      <c r="B51" s="606"/>
      <c r="C51" s="606"/>
      <c r="D51" s="606"/>
      <c r="E51" s="606"/>
      <c r="F51" s="606"/>
      <c r="G51" s="606"/>
      <c r="H51" s="606"/>
      <c r="I51" s="880" t="s">
        <v>295</v>
      </c>
      <c r="J51" s="880"/>
      <c r="K51" s="880"/>
      <c r="L51" s="880"/>
      <c r="M51" s="880"/>
      <c r="N51" s="880"/>
      <c r="O51" s="880"/>
      <c r="P51" s="880"/>
      <c r="Q51" s="880"/>
      <c r="R51" s="880"/>
      <c r="S51" s="880"/>
      <c r="T51" s="880"/>
      <c r="U51" s="880"/>
      <c r="V51" s="880"/>
      <c r="W51" s="880"/>
      <c r="X51" s="88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06"/>
      <c r="B52" s="606"/>
      <c r="C52" s="606"/>
      <c r="D52" s="606"/>
      <c r="E52" s="606"/>
      <c r="F52" s="606"/>
      <c r="G52" s="606"/>
      <c r="H52" s="606"/>
      <c r="I52" s="880"/>
      <c r="J52" s="880"/>
      <c r="K52" s="880"/>
      <c r="L52" s="880"/>
      <c r="M52" s="880"/>
      <c r="N52" s="880"/>
      <c r="O52" s="880"/>
      <c r="P52" s="880"/>
      <c r="Q52" s="880"/>
      <c r="R52" s="880"/>
      <c r="S52" s="880"/>
      <c r="T52" s="880"/>
      <c r="U52" s="880"/>
      <c r="V52" s="880"/>
      <c r="W52" s="880"/>
      <c r="X52" s="880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12" t="str">
        <f>Eingabe_!$D$7</f>
        <v>OP 1   rooms/roomname</v>
      </c>
      <c r="B53" s="613"/>
      <c r="C53" s="613"/>
      <c r="D53" s="613"/>
      <c r="E53" s="613"/>
      <c r="F53" s="613"/>
      <c r="G53" s="613"/>
      <c r="H53" s="614"/>
      <c r="I53" s="889" t="str">
        <f>_xlfn.TEXTJOIN(" - ",,(_xlfn.TEXTJOIN(" ",,"MP",(MIN(Eingabe_!J44:J64)))),(_xlfn.TEXTJOIN(" ",,"MP",ROUND((MAX(Eingabe_!J44:J64)),2))))</f>
        <v>MP 158.01 - MP 158.03</v>
      </c>
      <c r="J53" s="890"/>
      <c r="K53" s="890"/>
      <c r="L53" s="890"/>
      <c r="M53" s="890"/>
      <c r="N53" s="890"/>
      <c r="O53" s="890"/>
      <c r="P53" s="890"/>
      <c r="Q53" s="890"/>
      <c r="R53" s="890"/>
      <c r="S53" s="890"/>
      <c r="T53" s="890"/>
      <c r="U53" s="890"/>
      <c r="V53" s="890"/>
      <c r="W53" s="890"/>
      <c r="X53" s="891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15"/>
      <c r="B54" s="616"/>
      <c r="C54" s="616"/>
      <c r="D54" s="616"/>
      <c r="E54" s="616"/>
      <c r="F54" s="616"/>
      <c r="G54" s="616"/>
      <c r="H54" s="617"/>
      <c r="I54" s="899"/>
      <c r="J54" s="900"/>
      <c r="K54" s="900"/>
      <c r="L54" s="900"/>
      <c r="M54" s="900"/>
      <c r="N54" s="900"/>
      <c r="O54" s="900"/>
      <c r="P54" s="900"/>
      <c r="Q54" s="900"/>
      <c r="R54" s="900"/>
      <c r="S54" s="900"/>
      <c r="T54" s="900"/>
      <c r="U54" s="900"/>
      <c r="V54" s="900"/>
      <c r="W54" s="900"/>
      <c r="X54" s="901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18" t="str">
        <f>'A PK'!A18</f>
        <v>innerhalb Laminarbereich</v>
      </c>
      <c r="B55" s="619"/>
      <c r="C55" s="619"/>
      <c r="D55" s="619"/>
      <c r="E55" s="619"/>
      <c r="F55" s="619"/>
      <c r="G55" s="619"/>
      <c r="H55" s="620"/>
      <c r="I55" s="892"/>
      <c r="J55" s="893"/>
      <c r="K55" s="893"/>
      <c r="L55" s="893"/>
      <c r="M55" s="893"/>
      <c r="N55" s="893"/>
      <c r="O55" s="893"/>
      <c r="P55" s="893"/>
      <c r="Q55" s="893"/>
      <c r="R55" s="893"/>
      <c r="S55" s="893"/>
      <c r="T55" s="893"/>
      <c r="U55" s="893"/>
      <c r="V55" s="893"/>
      <c r="W55" s="893"/>
      <c r="X55" s="894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612" t="str">
        <f>Eingabe_!$D$7</f>
        <v>OP 1   rooms/roomname</v>
      </c>
      <c r="B56" s="613"/>
      <c r="C56" s="613"/>
      <c r="D56" s="613"/>
      <c r="E56" s="613"/>
      <c r="F56" s="613"/>
      <c r="G56" s="613"/>
      <c r="H56" s="614"/>
      <c r="I56" s="889" t="str">
        <f>_xlfn.TEXTJOIN(" - ",,(_xlfn.TEXTJOIN(" ",,"MP",(MIN(Eingabe_!J79:J102)))),(_xlfn.TEXTJOIN(" ",,"MP",ROUND((MAX(Eingabe_!J79:J102)),2))))</f>
        <v>MP 158.11 - MP 158.17</v>
      </c>
      <c r="J56" s="890"/>
      <c r="K56" s="890"/>
      <c r="L56" s="890"/>
      <c r="M56" s="890"/>
      <c r="N56" s="890"/>
      <c r="O56" s="890"/>
      <c r="P56" s="890"/>
      <c r="Q56" s="890"/>
      <c r="R56" s="890"/>
      <c r="S56" s="890"/>
      <c r="T56" s="890"/>
      <c r="U56" s="890"/>
      <c r="V56" s="890"/>
      <c r="W56" s="890"/>
      <c r="X56" s="891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615"/>
      <c r="B57" s="616"/>
      <c r="C57" s="616"/>
      <c r="D57" s="616"/>
      <c r="E57" s="616"/>
      <c r="F57" s="616"/>
      <c r="G57" s="616"/>
      <c r="H57" s="617"/>
      <c r="I57" s="899"/>
      <c r="J57" s="900"/>
      <c r="K57" s="900"/>
      <c r="L57" s="900"/>
      <c r="M57" s="900"/>
      <c r="N57" s="900"/>
      <c r="O57" s="900"/>
      <c r="P57" s="900"/>
      <c r="Q57" s="900"/>
      <c r="R57" s="900"/>
      <c r="S57" s="900"/>
      <c r="T57" s="900"/>
      <c r="U57" s="900"/>
      <c r="V57" s="900"/>
      <c r="W57" s="900"/>
      <c r="X57" s="901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618" t="str">
        <f>'A PK'!A23</f>
        <v>ausserhalb Laminarbereich</v>
      </c>
      <c r="B58" s="619"/>
      <c r="C58" s="619"/>
      <c r="D58" s="619"/>
      <c r="E58" s="619"/>
      <c r="F58" s="619"/>
      <c r="G58" s="619"/>
      <c r="H58" s="620"/>
      <c r="I58" s="892"/>
      <c r="J58" s="893"/>
      <c r="K58" s="893"/>
      <c r="L58" s="893"/>
      <c r="M58" s="893"/>
      <c r="N58" s="893"/>
      <c r="O58" s="893"/>
      <c r="P58" s="893"/>
      <c r="Q58" s="893"/>
      <c r="R58" s="893"/>
      <c r="S58" s="893"/>
      <c r="T58" s="893"/>
      <c r="U58" s="893"/>
      <c r="V58" s="893"/>
      <c r="W58" s="893"/>
      <c r="X58" s="894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31" t="s">
        <v>304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4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27:55" ht="6" customHeight="1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</sheetData>
  <mergeCells count="11">
    <mergeCell ref="I56:X58"/>
    <mergeCell ref="R5:W5"/>
    <mergeCell ref="R7:W7"/>
    <mergeCell ref="A9:X10"/>
    <mergeCell ref="A51:H52"/>
    <mergeCell ref="I51:X52"/>
    <mergeCell ref="A53:H54"/>
    <mergeCell ref="I53:X55"/>
    <mergeCell ref="A55:H55"/>
    <mergeCell ref="A56:H57"/>
    <mergeCell ref="A58:H58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2EB1-38DE-4CF3-83D3-8604709DCA06}">
  <sheetPr codeName="Tabelle51">
    <tabColor theme="9" tint="0.79998168889431442"/>
    <pageSetUpPr fitToPage="1"/>
  </sheetPr>
  <dimension ref="A1:BZ186"/>
  <sheetViews>
    <sheetView view="pageLayout" zoomScale="103" zoomScaleNormal="89" zoomScaleSheetLayoutView="127" zoomScalePageLayoutView="103" workbookViewId="0">
      <selection activeCell="AG55" sqref="AG55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Seitenregister!X36</f>
        <v>30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169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44688</v>
      </c>
      <c r="S5" s="906"/>
      <c r="T5" s="906"/>
      <c r="U5" s="906"/>
      <c r="V5" s="906"/>
      <c r="W5" s="906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03" t="str">
        <f>G1</f>
        <v>Dichtsitzprüfung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504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05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7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606" t="s">
        <v>66</v>
      </c>
      <c r="B11" s="606"/>
      <c r="C11" s="606"/>
      <c r="D11" s="606"/>
      <c r="E11" s="606"/>
      <c r="F11" s="522" t="s">
        <v>610</v>
      </c>
      <c r="G11" s="522"/>
      <c r="H11" s="522"/>
      <c r="I11" s="522"/>
      <c r="J11" s="522"/>
      <c r="K11" s="522"/>
      <c r="L11" s="522"/>
      <c r="M11" s="522"/>
      <c r="N11" s="522"/>
      <c r="O11" s="522"/>
      <c r="P11" s="522"/>
      <c r="Q11" s="522"/>
      <c r="R11" s="522"/>
      <c r="S11" s="522"/>
      <c r="T11" s="522" t="s">
        <v>611</v>
      </c>
      <c r="U11" s="522"/>
      <c r="V11" s="522"/>
      <c r="W11" s="522"/>
      <c r="X11" s="522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606"/>
      <c r="B12" s="606"/>
      <c r="C12" s="606"/>
      <c r="D12" s="606"/>
      <c r="E12" s="606"/>
      <c r="F12" s="729"/>
      <c r="G12" s="729"/>
      <c r="H12" s="729"/>
      <c r="I12" s="729"/>
      <c r="J12" s="729"/>
      <c r="K12" s="729"/>
      <c r="L12" s="729"/>
      <c r="M12" s="729"/>
      <c r="N12" s="729"/>
      <c r="O12" s="729"/>
      <c r="P12" s="729"/>
      <c r="Q12" s="729"/>
      <c r="R12" s="729"/>
      <c r="S12" s="729"/>
      <c r="T12" s="729"/>
      <c r="U12" s="729"/>
      <c r="V12" s="729"/>
      <c r="W12" s="729"/>
      <c r="X12" s="729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606"/>
      <c r="B13" s="606"/>
      <c r="C13" s="606"/>
      <c r="D13" s="606"/>
      <c r="E13" s="606"/>
      <c r="F13" s="729"/>
      <c r="G13" s="729"/>
      <c r="H13" s="729"/>
      <c r="I13" s="729"/>
      <c r="J13" s="729"/>
      <c r="K13" s="729"/>
      <c r="L13" s="729"/>
      <c r="M13" s="729"/>
      <c r="N13" s="729"/>
      <c r="O13" s="729"/>
      <c r="P13" s="729"/>
      <c r="Q13" s="729"/>
      <c r="R13" s="729"/>
      <c r="S13" s="729"/>
      <c r="T13" s="729"/>
      <c r="U13" s="729"/>
      <c r="V13" s="729"/>
      <c r="W13" s="729"/>
      <c r="X13" s="729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606"/>
      <c r="B14" s="606"/>
      <c r="C14" s="606"/>
      <c r="D14" s="606"/>
      <c r="E14" s="606"/>
      <c r="F14" s="461" t="s">
        <v>310</v>
      </c>
      <c r="G14" s="462"/>
      <c r="H14" s="462"/>
      <c r="I14" s="462"/>
      <c r="J14" s="462"/>
      <c r="K14" s="462"/>
      <c r="L14" s="462"/>
      <c r="M14" s="462"/>
      <c r="N14" s="462"/>
      <c r="O14" s="462"/>
      <c r="P14" s="462"/>
      <c r="Q14" s="462"/>
      <c r="R14" s="462"/>
      <c r="S14" s="463"/>
      <c r="T14" s="593" t="s">
        <v>310</v>
      </c>
      <c r="U14" s="593"/>
      <c r="V14" s="593"/>
      <c r="W14" s="593"/>
      <c r="X14" s="593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05">
        <f>IF(Eingabe_!A138=0,"-",Eingabe_!A138)</f>
        <v>158.01</v>
      </c>
      <c r="B15" s="905"/>
      <c r="C15" s="905"/>
      <c r="D15" s="905"/>
      <c r="E15" s="905"/>
      <c r="F15" s="903">
        <v>0</v>
      </c>
      <c r="G15" s="903"/>
      <c r="H15" s="903"/>
      <c r="I15" s="903"/>
      <c r="J15" s="903"/>
      <c r="K15" s="903"/>
      <c r="L15" s="903"/>
      <c r="M15" s="903"/>
      <c r="N15" s="903"/>
      <c r="O15" s="903"/>
      <c r="P15" s="903"/>
      <c r="Q15" s="903"/>
      <c r="R15" s="903"/>
      <c r="S15" s="903"/>
      <c r="T15" s="904">
        <f>Eingabe_!B136</f>
        <v>4.8112047012324304</v>
      </c>
      <c r="U15" s="904"/>
      <c r="V15" s="904"/>
      <c r="W15" s="904"/>
      <c r="X15" s="904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05">
        <f>IF(Eingabe_!A139=0,"-",Eingabe_!A139)</f>
        <v>158.01999999999998</v>
      </c>
      <c r="B16" s="905"/>
      <c r="C16" s="905"/>
      <c r="D16" s="905"/>
      <c r="E16" s="905"/>
      <c r="F16" s="903">
        <v>0</v>
      </c>
      <c r="G16" s="903"/>
      <c r="H16" s="903"/>
      <c r="I16" s="903"/>
      <c r="J16" s="903"/>
      <c r="K16" s="903"/>
      <c r="L16" s="903"/>
      <c r="M16" s="903"/>
      <c r="N16" s="903"/>
      <c r="O16" s="903"/>
      <c r="P16" s="903"/>
      <c r="Q16" s="903"/>
      <c r="R16" s="903"/>
      <c r="S16" s="903"/>
      <c r="T16" s="904"/>
      <c r="U16" s="904"/>
      <c r="V16" s="904"/>
      <c r="W16" s="904"/>
      <c r="X16" s="904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05">
        <f>IF(Eingabe_!A140=0,"-",Eingabe_!A140)</f>
        <v>158.02999999999997</v>
      </c>
      <c r="B17" s="905"/>
      <c r="C17" s="905"/>
      <c r="D17" s="905"/>
      <c r="E17" s="905"/>
      <c r="F17" s="903">
        <v>0</v>
      </c>
      <c r="G17" s="903"/>
      <c r="H17" s="903"/>
      <c r="I17" s="903"/>
      <c r="J17" s="903"/>
      <c r="K17" s="903"/>
      <c r="L17" s="903"/>
      <c r="M17" s="903"/>
      <c r="N17" s="903"/>
      <c r="O17" s="903"/>
      <c r="P17" s="903"/>
      <c r="Q17" s="903"/>
      <c r="R17" s="903"/>
      <c r="S17" s="903"/>
      <c r="T17" s="904"/>
      <c r="U17" s="904"/>
      <c r="V17" s="904"/>
      <c r="W17" s="904"/>
      <c r="X17" s="904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05">
        <f>IF(Eingabe_!A141=0,"-",Eingabe_!A141)</f>
        <v>158.03999999999996</v>
      </c>
      <c r="B18" s="905"/>
      <c r="C18" s="905"/>
      <c r="D18" s="905"/>
      <c r="E18" s="905"/>
      <c r="F18" s="903">
        <v>0</v>
      </c>
      <c r="G18" s="903"/>
      <c r="H18" s="903"/>
      <c r="I18" s="903"/>
      <c r="J18" s="903"/>
      <c r="K18" s="903"/>
      <c r="L18" s="903"/>
      <c r="M18" s="903"/>
      <c r="N18" s="903"/>
      <c r="O18" s="903"/>
      <c r="P18" s="903"/>
      <c r="Q18" s="903"/>
      <c r="R18" s="903"/>
      <c r="S18" s="903"/>
      <c r="T18" s="904"/>
      <c r="U18" s="904"/>
      <c r="V18" s="904"/>
      <c r="W18" s="904"/>
      <c r="X18" s="904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05">
        <f>IF(Eingabe_!A142=0,"-",Eingabe_!A142)</f>
        <v>158.04999999999995</v>
      </c>
      <c r="B19" s="905"/>
      <c r="C19" s="905"/>
      <c r="D19" s="905"/>
      <c r="E19" s="905"/>
      <c r="F19" s="903">
        <v>0</v>
      </c>
      <c r="G19" s="903"/>
      <c r="H19" s="903"/>
      <c r="I19" s="903"/>
      <c r="J19" s="903"/>
      <c r="K19" s="903"/>
      <c r="L19" s="903"/>
      <c r="M19" s="903"/>
      <c r="N19" s="903"/>
      <c r="O19" s="903"/>
      <c r="P19" s="903"/>
      <c r="Q19" s="903"/>
      <c r="R19" s="903"/>
      <c r="S19" s="903"/>
      <c r="T19" s="904"/>
      <c r="U19" s="904"/>
      <c r="V19" s="904"/>
      <c r="W19" s="904"/>
      <c r="X19" s="904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05">
        <f>IF(Eingabe_!A143=0,"-",Eingabe_!A143)</f>
        <v>158.05999999999995</v>
      </c>
      <c r="B20" s="905"/>
      <c r="C20" s="905"/>
      <c r="D20" s="905"/>
      <c r="E20" s="905"/>
      <c r="F20" s="903">
        <v>0</v>
      </c>
      <c r="G20" s="903"/>
      <c r="H20" s="903"/>
      <c r="I20" s="903"/>
      <c r="J20" s="903"/>
      <c r="K20" s="903"/>
      <c r="L20" s="903"/>
      <c r="M20" s="903"/>
      <c r="N20" s="903"/>
      <c r="O20" s="903"/>
      <c r="P20" s="903"/>
      <c r="Q20" s="903"/>
      <c r="R20" s="903"/>
      <c r="S20" s="903"/>
      <c r="T20" s="904"/>
      <c r="U20" s="904"/>
      <c r="V20" s="904"/>
      <c r="W20" s="904"/>
      <c r="X20" s="904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05">
        <f>IF(Eingabe_!A144=0,"-",Eingabe_!A144)</f>
        <v>158.06999999999994</v>
      </c>
      <c r="B21" s="905"/>
      <c r="C21" s="905"/>
      <c r="D21" s="905"/>
      <c r="E21" s="905"/>
      <c r="F21" s="903">
        <v>0</v>
      </c>
      <c r="G21" s="903"/>
      <c r="H21" s="903"/>
      <c r="I21" s="903"/>
      <c r="J21" s="903"/>
      <c r="K21" s="903"/>
      <c r="L21" s="903"/>
      <c r="M21" s="903"/>
      <c r="N21" s="903"/>
      <c r="O21" s="903"/>
      <c r="P21" s="903"/>
      <c r="Q21" s="903"/>
      <c r="R21" s="903"/>
      <c r="S21" s="903"/>
      <c r="T21" s="904"/>
      <c r="U21" s="904"/>
      <c r="V21" s="904"/>
      <c r="W21" s="904"/>
      <c r="X21" s="904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905">
        <f>IF(Eingabe_!A145=0,"-",Eingabe_!A145)</f>
        <v>158.07999999999993</v>
      </c>
      <c r="B22" s="905"/>
      <c r="C22" s="905"/>
      <c r="D22" s="905"/>
      <c r="E22" s="905"/>
      <c r="F22" s="903">
        <v>0</v>
      </c>
      <c r="G22" s="903"/>
      <c r="H22" s="903"/>
      <c r="I22" s="903"/>
      <c r="J22" s="903"/>
      <c r="K22" s="903"/>
      <c r="L22" s="903"/>
      <c r="M22" s="903"/>
      <c r="N22" s="903"/>
      <c r="O22" s="903"/>
      <c r="P22" s="903"/>
      <c r="Q22" s="903"/>
      <c r="R22" s="903"/>
      <c r="S22" s="903"/>
      <c r="T22" s="904"/>
      <c r="U22" s="904"/>
      <c r="V22" s="904"/>
      <c r="W22" s="904"/>
      <c r="X22" s="904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905">
        <f>IF(Eingabe_!A146=0,"-",Eingabe_!A146)</f>
        <v>158.08999999999992</v>
      </c>
      <c r="B23" s="905"/>
      <c r="C23" s="905"/>
      <c r="D23" s="905"/>
      <c r="E23" s="905"/>
      <c r="F23" s="903">
        <v>0</v>
      </c>
      <c r="G23" s="903"/>
      <c r="H23" s="903"/>
      <c r="I23" s="903"/>
      <c r="J23" s="903"/>
      <c r="K23" s="903"/>
      <c r="L23" s="903"/>
      <c r="M23" s="903"/>
      <c r="N23" s="903"/>
      <c r="O23" s="903"/>
      <c r="P23" s="903"/>
      <c r="Q23" s="903"/>
      <c r="R23" s="903"/>
      <c r="S23" s="903"/>
      <c r="T23" s="904"/>
      <c r="U23" s="904"/>
      <c r="V23" s="904"/>
      <c r="W23" s="904"/>
      <c r="X23" s="904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905" t="str">
        <f>IF(Eingabe_!A147=0,"-",Eingabe_!A147)</f>
        <v>-</v>
      </c>
      <c r="B24" s="905"/>
      <c r="C24" s="905"/>
      <c r="D24" s="905"/>
      <c r="E24" s="905"/>
      <c r="F24" s="903" t="str">
        <f>IF(A24="-","-",)</f>
        <v>-</v>
      </c>
      <c r="G24" s="903"/>
      <c r="H24" s="903"/>
      <c r="I24" s="903"/>
      <c r="J24" s="903"/>
      <c r="K24" s="903"/>
      <c r="L24" s="903"/>
      <c r="M24" s="903"/>
      <c r="N24" s="903"/>
      <c r="O24" s="903"/>
      <c r="P24" s="903"/>
      <c r="Q24" s="903"/>
      <c r="R24" s="903"/>
      <c r="S24" s="903"/>
      <c r="T24" s="904"/>
      <c r="U24" s="904"/>
      <c r="V24" s="904"/>
      <c r="W24" s="904"/>
      <c r="X24" s="90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905" t="str">
        <f>IF(Eingabe_!A148=0,"-",Eingabe_!A148)</f>
        <v>-</v>
      </c>
      <c r="B25" s="905"/>
      <c r="C25" s="905"/>
      <c r="D25" s="905"/>
      <c r="E25" s="905"/>
      <c r="F25" s="903" t="str">
        <f t="shared" ref="F25:F38" si="0">IF(A25="-","-",)</f>
        <v>-</v>
      </c>
      <c r="G25" s="903"/>
      <c r="H25" s="903"/>
      <c r="I25" s="903"/>
      <c r="J25" s="903"/>
      <c r="K25" s="903"/>
      <c r="L25" s="903"/>
      <c r="M25" s="903"/>
      <c r="N25" s="903"/>
      <c r="O25" s="903"/>
      <c r="P25" s="903"/>
      <c r="Q25" s="903"/>
      <c r="R25" s="903"/>
      <c r="S25" s="903"/>
      <c r="T25" s="904"/>
      <c r="U25" s="904"/>
      <c r="V25" s="904"/>
      <c r="W25" s="904"/>
      <c r="X25" s="904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905" t="str">
        <f>IF(Eingabe_!A149=0,"-",Eingabe_!A149)</f>
        <v>-</v>
      </c>
      <c r="B26" s="905"/>
      <c r="C26" s="905"/>
      <c r="D26" s="905"/>
      <c r="E26" s="905"/>
      <c r="F26" s="903" t="str">
        <f t="shared" si="0"/>
        <v>-</v>
      </c>
      <c r="G26" s="903"/>
      <c r="H26" s="903"/>
      <c r="I26" s="903"/>
      <c r="J26" s="903"/>
      <c r="K26" s="903"/>
      <c r="L26" s="903"/>
      <c r="M26" s="903"/>
      <c r="N26" s="903"/>
      <c r="O26" s="903"/>
      <c r="P26" s="903"/>
      <c r="Q26" s="903"/>
      <c r="R26" s="903"/>
      <c r="S26" s="903"/>
      <c r="T26" s="904"/>
      <c r="U26" s="904"/>
      <c r="V26" s="904"/>
      <c r="W26" s="904"/>
      <c r="X26" s="904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905" t="str">
        <f>IF(Eingabe_!A150=0,"-",Eingabe_!A150)</f>
        <v>-</v>
      </c>
      <c r="B27" s="905"/>
      <c r="C27" s="905"/>
      <c r="D27" s="905"/>
      <c r="E27" s="905"/>
      <c r="F27" s="903" t="str">
        <f t="shared" si="0"/>
        <v>-</v>
      </c>
      <c r="G27" s="903"/>
      <c r="H27" s="903"/>
      <c r="I27" s="903"/>
      <c r="J27" s="903"/>
      <c r="K27" s="903"/>
      <c r="L27" s="903"/>
      <c r="M27" s="903"/>
      <c r="N27" s="903"/>
      <c r="O27" s="903"/>
      <c r="P27" s="903"/>
      <c r="Q27" s="903"/>
      <c r="R27" s="903"/>
      <c r="S27" s="903"/>
      <c r="T27" s="904"/>
      <c r="U27" s="904"/>
      <c r="V27" s="904"/>
      <c r="W27" s="904"/>
      <c r="X27" s="904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905" t="str">
        <f>IF(Eingabe_!A151=0,"-",Eingabe_!A151)</f>
        <v>-</v>
      </c>
      <c r="B28" s="905"/>
      <c r="C28" s="905"/>
      <c r="D28" s="905"/>
      <c r="E28" s="905"/>
      <c r="F28" s="903" t="str">
        <f t="shared" si="0"/>
        <v>-</v>
      </c>
      <c r="G28" s="903"/>
      <c r="H28" s="903"/>
      <c r="I28" s="903"/>
      <c r="J28" s="903"/>
      <c r="K28" s="903"/>
      <c r="L28" s="903"/>
      <c r="M28" s="903"/>
      <c r="N28" s="903"/>
      <c r="O28" s="903"/>
      <c r="P28" s="903"/>
      <c r="Q28" s="903"/>
      <c r="R28" s="903"/>
      <c r="S28" s="903"/>
      <c r="T28" s="904"/>
      <c r="U28" s="904"/>
      <c r="V28" s="904"/>
      <c r="W28" s="904"/>
      <c r="X28" s="904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905" t="str">
        <f>IF(Eingabe_!A152=0,"-",Eingabe_!A152)</f>
        <v>-</v>
      </c>
      <c r="B29" s="905"/>
      <c r="C29" s="905"/>
      <c r="D29" s="905"/>
      <c r="E29" s="905"/>
      <c r="F29" s="903" t="str">
        <f t="shared" si="0"/>
        <v>-</v>
      </c>
      <c r="G29" s="903"/>
      <c r="H29" s="903"/>
      <c r="I29" s="903"/>
      <c r="J29" s="903"/>
      <c r="K29" s="903"/>
      <c r="L29" s="903"/>
      <c r="M29" s="903"/>
      <c r="N29" s="903"/>
      <c r="O29" s="903"/>
      <c r="P29" s="903"/>
      <c r="Q29" s="903"/>
      <c r="R29" s="903"/>
      <c r="S29" s="903"/>
      <c r="T29" s="904"/>
      <c r="U29" s="904"/>
      <c r="V29" s="904"/>
      <c r="W29" s="904"/>
      <c r="X29" s="904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905" t="str">
        <f>IF(Eingabe_!A153=0,"-",Eingabe_!A153)</f>
        <v>-</v>
      </c>
      <c r="B30" s="905"/>
      <c r="C30" s="905"/>
      <c r="D30" s="905"/>
      <c r="E30" s="905"/>
      <c r="F30" s="903" t="str">
        <f t="shared" si="0"/>
        <v>-</v>
      </c>
      <c r="G30" s="903"/>
      <c r="H30" s="903"/>
      <c r="I30" s="903"/>
      <c r="J30" s="903"/>
      <c r="K30" s="903"/>
      <c r="L30" s="903"/>
      <c r="M30" s="903"/>
      <c r="N30" s="903"/>
      <c r="O30" s="903"/>
      <c r="P30" s="903"/>
      <c r="Q30" s="903"/>
      <c r="R30" s="903"/>
      <c r="S30" s="903"/>
      <c r="T30" s="904"/>
      <c r="U30" s="904"/>
      <c r="V30" s="904"/>
      <c r="W30" s="904"/>
      <c r="X30" s="904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905" t="str">
        <f>IF(Eingabe_!A154=0,"-",Eingabe_!A154)</f>
        <v>-</v>
      </c>
      <c r="B31" s="905"/>
      <c r="C31" s="905"/>
      <c r="D31" s="905"/>
      <c r="E31" s="905"/>
      <c r="F31" s="903" t="str">
        <f t="shared" si="0"/>
        <v>-</v>
      </c>
      <c r="G31" s="903"/>
      <c r="H31" s="903"/>
      <c r="I31" s="903"/>
      <c r="J31" s="903"/>
      <c r="K31" s="903"/>
      <c r="L31" s="903"/>
      <c r="M31" s="903"/>
      <c r="N31" s="903"/>
      <c r="O31" s="903"/>
      <c r="P31" s="903"/>
      <c r="Q31" s="903"/>
      <c r="R31" s="903"/>
      <c r="S31" s="903"/>
      <c r="T31" s="904"/>
      <c r="U31" s="904"/>
      <c r="V31" s="904"/>
      <c r="W31" s="904"/>
      <c r="X31" s="904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905" t="str">
        <f>IF(Eingabe_!A155=0,"-",Eingabe_!A155)</f>
        <v>-</v>
      </c>
      <c r="B32" s="905"/>
      <c r="C32" s="905"/>
      <c r="D32" s="905"/>
      <c r="E32" s="905"/>
      <c r="F32" s="903" t="str">
        <f t="shared" si="0"/>
        <v>-</v>
      </c>
      <c r="G32" s="903"/>
      <c r="H32" s="903"/>
      <c r="I32" s="903"/>
      <c r="J32" s="903"/>
      <c r="K32" s="903"/>
      <c r="L32" s="903"/>
      <c r="M32" s="903"/>
      <c r="N32" s="903"/>
      <c r="O32" s="903"/>
      <c r="P32" s="903"/>
      <c r="Q32" s="903"/>
      <c r="R32" s="903"/>
      <c r="S32" s="903"/>
      <c r="T32" s="904"/>
      <c r="U32" s="904"/>
      <c r="V32" s="904"/>
      <c r="W32" s="904"/>
      <c r="X32" s="904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905" t="str">
        <f>IF(Eingabe_!A156=0,"-",Eingabe_!A156)</f>
        <v>-</v>
      </c>
      <c r="B33" s="905"/>
      <c r="C33" s="905"/>
      <c r="D33" s="905"/>
      <c r="E33" s="905"/>
      <c r="F33" s="903" t="str">
        <f t="shared" si="0"/>
        <v>-</v>
      </c>
      <c r="G33" s="903"/>
      <c r="H33" s="903"/>
      <c r="I33" s="903"/>
      <c r="J33" s="903"/>
      <c r="K33" s="903"/>
      <c r="L33" s="903"/>
      <c r="M33" s="903"/>
      <c r="N33" s="903"/>
      <c r="O33" s="903"/>
      <c r="P33" s="903"/>
      <c r="Q33" s="903"/>
      <c r="R33" s="903"/>
      <c r="S33" s="903"/>
      <c r="T33" s="904"/>
      <c r="U33" s="904"/>
      <c r="V33" s="904"/>
      <c r="W33" s="904"/>
      <c r="X33" s="904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905" t="str">
        <f>IF(Eingabe_!A157=0,"-",Eingabe_!A157)</f>
        <v>-</v>
      </c>
      <c r="B34" s="905"/>
      <c r="C34" s="905"/>
      <c r="D34" s="905"/>
      <c r="E34" s="905"/>
      <c r="F34" s="903" t="str">
        <f t="shared" si="0"/>
        <v>-</v>
      </c>
      <c r="G34" s="903"/>
      <c r="H34" s="903"/>
      <c r="I34" s="903"/>
      <c r="J34" s="903"/>
      <c r="K34" s="903"/>
      <c r="L34" s="903"/>
      <c r="M34" s="903"/>
      <c r="N34" s="903"/>
      <c r="O34" s="903"/>
      <c r="P34" s="903"/>
      <c r="Q34" s="903"/>
      <c r="R34" s="903"/>
      <c r="S34" s="903"/>
      <c r="T34" s="904"/>
      <c r="U34" s="904"/>
      <c r="V34" s="904"/>
      <c r="W34" s="904"/>
      <c r="X34" s="90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905" t="str">
        <f>IF(Eingabe_!A158=0,"-",Eingabe_!A158)</f>
        <v>-</v>
      </c>
      <c r="B35" s="905"/>
      <c r="C35" s="905"/>
      <c r="D35" s="905"/>
      <c r="E35" s="905"/>
      <c r="F35" s="903" t="str">
        <f t="shared" si="0"/>
        <v>-</v>
      </c>
      <c r="G35" s="903"/>
      <c r="H35" s="903"/>
      <c r="I35" s="903"/>
      <c r="J35" s="903"/>
      <c r="K35" s="903"/>
      <c r="L35" s="903"/>
      <c r="M35" s="903"/>
      <c r="N35" s="903"/>
      <c r="O35" s="903"/>
      <c r="P35" s="903"/>
      <c r="Q35" s="903"/>
      <c r="R35" s="903"/>
      <c r="S35" s="903"/>
      <c r="T35" s="904"/>
      <c r="U35" s="904"/>
      <c r="V35" s="904"/>
      <c r="W35" s="904"/>
      <c r="X35" s="904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905" t="str">
        <f>IF(Eingabe_!A159=0,"-",Eingabe_!A159)</f>
        <v>-</v>
      </c>
      <c r="B36" s="905"/>
      <c r="C36" s="905"/>
      <c r="D36" s="905"/>
      <c r="E36" s="905"/>
      <c r="F36" s="903" t="str">
        <f t="shared" si="0"/>
        <v>-</v>
      </c>
      <c r="G36" s="903"/>
      <c r="H36" s="903"/>
      <c r="I36" s="903"/>
      <c r="J36" s="903"/>
      <c r="K36" s="903"/>
      <c r="L36" s="903"/>
      <c r="M36" s="903"/>
      <c r="N36" s="903"/>
      <c r="O36" s="903"/>
      <c r="P36" s="903"/>
      <c r="Q36" s="903"/>
      <c r="R36" s="903"/>
      <c r="S36" s="903"/>
      <c r="T36" s="904"/>
      <c r="U36" s="904"/>
      <c r="V36" s="904"/>
      <c r="W36" s="904"/>
      <c r="X36" s="904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905" t="str">
        <f>IF(Eingabe_!A160=0,"-",Eingabe_!A160)</f>
        <v>-</v>
      </c>
      <c r="B37" s="905"/>
      <c r="C37" s="905"/>
      <c r="D37" s="905"/>
      <c r="E37" s="905"/>
      <c r="F37" s="903" t="str">
        <f t="shared" si="0"/>
        <v>-</v>
      </c>
      <c r="G37" s="903"/>
      <c r="H37" s="903"/>
      <c r="I37" s="903"/>
      <c r="J37" s="903"/>
      <c r="K37" s="903"/>
      <c r="L37" s="903"/>
      <c r="M37" s="903"/>
      <c r="N37" s="903"/>
      <c r="O37" s="903"/>
      <c r="P37" s="903"/>
      <c r="Q37" s="903"/>
      <c r="R37" s="903"/>
      <c r="S37" s="903"/>
      <c r="T37" s="904"/>
      <c r="U37" s="904"/>
      <c r="V37" s="904"/>
      <c r="W37" s="904"/>
      <c r="X37" s="904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905" t="str">
        <f>IF(Eingabe_!A161=0,"-",Eingabe_!A161)</f>
        <v>-</v>
      </c>
      <c r="B38" s="905"/>
      <c r="C38" s="905"/>
      <c r="D38" s="905"/>
      <c r="E38" s="905"/>
      <c r="F38" s="903" t="str">
        <f t="shared" si="0"/>
        <v>-</v>
      </c>
      <c r="G38" s="903"/>
      <c r="H38" s="903"/>
      <c r="I38" s="903"/>
      <c r="J38" s="903"/>
      <c r="K38" s="903"/>
      <c r="L38" s="903"/>
      <c r="M38" s="903"/>
      <c r="N38" s="903"/>
      <c r="O38" s="903"/>
      <c r="P38" s="903"/>
      <c r="Q38" s="903"/>
      <c r="R38" s="903"/>
      <c r="S38" s="903"/>
      <c r="T38" s="904"/>
      <c r="U38" s="904"/>
      <c r="V38" s="904"/>
      <c r="W38" s="904"/>
      <c r="X38" s="904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31" t="s">
        <v>612</v>
      </c>
      <c r="B40" s="3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40"/>
      <c r="B41" s="31" t="s">
        <v>323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31" t="s">
        <v>613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279"/>
      <c r="V49" s="279"/>
      <c r="W49" s="279"/>
      <c r="X49" s="27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279"/>
      <c r="V50" s="279"/>
      <c r="W50" s="279"/>
      <c r="X50" s="279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A51" s="6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69" t="s">
        <v>164</v>
      </c>
      <c r="S51" s="230"/>
      <c r="U51" s="230"/>
      <c r="V51" s="230"/>
      <c r="W51" s="356" t="s">
        <v>699</v>
      </c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6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69" t="s">
        <v>165</v>
      </c>
      <c r="S52" s="230"/>
      <c r="U52" s="230"/>
      <c r="V52" s="230"/>
      <c r="W52" s="231"/>
      <c r="X52" s="248" t="s">
        <v>179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53" s="6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279"/>
      <c r="V53" s="279"/>
      <c r="W53" s="279"/>
      <c r="X53" s="27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266" t="s">
        <v>226</v>
      </c>
      <c r="B55" s="293"/>
      <c r="C55" s="10"/>
      <c r="D55" s="10"/>
      <c r="E55" s="10"/>
      <c r="F55" s="10"/>
      <c r="G55" s="10"/>
      <c r="H55" s="10"/>
      <c r="I55" s="10"/>
      <c r="J55" s="10"/>
      <c r="K55" s="10"/>
      <c r="L55" s="69">
        <f>Eingabe_!B25</f>
        <v>0</v>
      </c>
      <c r="M55" s="91"/>
      <c r="N55" s="91"/>
      <c r="O55" s="91"/>
      <c r="P55" s="91"/>
      <c r="Q55" s="91"/>
      <c r="R55" s="91"/>
      <c r="S55" s="91"/>
      <c r="T55" s="2" t="s">
        <v>161</v>
      </c>
      <c r="U55" s="2" t="str">
        <f>Eingabe_!$D$25</f>
        <v>061 685 85 29</v>
      </c>
      <c r="V55" s="91"/>
      <c r="W55" s="91"/>
      <c r="X55" s="91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K56" s="10"/>
      <c r="S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56">
    <mergeCell ref="F17:S17"/>
    <mergeCell ref="A31:E31"/>
    <mergeCell ref="A32:E32"/>
    <mergeCell ref="A33:E33"/>
    <mergeCell ref="R5:W5"/>
    <mergeCell ref="T11:X13"/>
    <mergeCell ref="T14:X14"/>
    <mergeCell ref="A9:X10"/>
    <mergeCell ref="A21:E21"/>
    <mergeCell ref="F18:S18"/>
    <mergeCell ref="A20:E20"/>
    <mergeCell ref="F19:S19"/>
    <mergeCell ref="F20:S20"/>
    <mergeCell ref="F21:S21"/>
    <mergeCell ref="A11:E14"/>
    <mergeCell ref="F11:S13"/>
    <mergeCell ref="F14:S14"/>
    <mergeCell ref="F15:S15"/>
    <mergeCell ref="F16:S16"/>
    <mergeCell ref="A37:E37"/>
    <mergeCell ref="A38:E38"/>
    <mergeCell ref="A15:E15"/>
    <mergeCell ref="A16:E16"/>
    <mergeCell ref="A17:E17"/>
    <mergeCell ref="A18:E18"/>
    <mergeCell ref="A19:E19"/>
    <mergeCell ref="A28:E28"/>
    <mergeCell ref="A22:E22"/>
    <mergeCell ref="A23:E23"/>
    <mergeCell ref="A24:E24"/>
    <mergeCell ref="A25:E25"/>
    <mergeCell ref="A26:E26"/>
    <mergeCell ref="A27:E27"/>
    <mergeCell ref="A29:E29"/>
    <mergeCell ref="A30:E30"/>
    <mergeCell ref="F35:S35"/>
    <mergeCell ref="F36:S36"/>
    <mergeCell ref="A34:E34"/>
    <mergeCell ref="A35:E35"/>
    <mergeCell ref="A36:E36"/>
    <mergeCell ref="F37:S37"/>
    <mergeCell ref="F38:S38"/>
    <mergeCell ref="T15:X38"/>
    <mergeCell ref="F28:S28"/>
    <mergeCell ref="F29:S29"/>
    <mergeCell ref="F30:S30"/>
    <mergeCell ref="F31:S31"/>
    <mergeCell ref="F32:S32"/>
    <mergeCell ref="F33:S33"/>
    <mergeCell ref="F22:S22"/>
    <mergeCell ref="F23:S23"/>
    <mergeCell ref="F24:S24"/>
    <mergeCell ref="F25:S25"/>
    <mergeCell ref="F26:S26"/>
    <mergeCell ref="F27:S27"/>
    <mergeCell ref="F34:S3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8619B8-425A-46DB-94E8-1D3591A01024}">
          <x14:formula1>
            <xm:f>Eingabe_!$BD$3:$BD$47</xm:f>
          </x14:formula1>
          <xm:sqref>R4:W4</xm:sqref>
        </x14:dataValidation>
        <x14:dataValidation type="list" allowBlank="1" showInputMessage="1" showErrorMessage="1" xr:uid="{C5534966-94A8-42B0-9D8B-276FAD384763}">
          <x14:formula1>
            <xm:f>Eingabe_!$U$19:$U$24</xm:f>
          </x14:formula1>
          <xm:sqref>R7 U7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FFE-017A-4842-8269-8281C4CA9137}">
  <sheetPr codeName="Tabelle30">
    <tabColor theme="9" tint="0.79998168889431442"/>
    <pageSetUpPr fitToPage="1"/>
  </sheetPr>
  <dimension ref="A1:BZ166"/>
  <sheetViews>
    <sheetView zoomScale="96" zoomScaleNormal="96" zoomScaleSheetLayoutView="127" zoomScalePageLayoutView="103" workbookViewId="0">
      <selection activeCell="T22" sqref="T22:X23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168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Seitenregister!X37</f>
        <v>31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79">
        <v>148</v>
      </c>
      <c r="S4" s="355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44688</v>
      </c>
      <c r="S5" s="906"/>
      <c r="T5" s="906"/>
      <c r="U5" s="906"/>
      <c r="V5" s="906"/>
      <c r="W5" s="906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37" t="s">
        <v>104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3"/>
      <c r="B11" s="3"/>
      <c r="C11" s="3"/>
      <c r="D11" s="3"/>
      <c r="E11" s="3"/>
      <c r="F11" s="146"/>
      <c r="G11" s="146"/>
      <c r="H11" s="146"/>
      <c r="I11" s="146"/>
      <c r="J11" s="146"/>
      <c r="K11" s="148"/>
      <c r="L11" s="148"/>
      <c r="M11" s="148"/>
      <c r="N11" s="148"/>
      <c r="O11" s="148"/>
      <c r="P11" s="10"/>
      <c r="Q11" s="10"/>
      <c r="R11" s="10"/>
      <c r="S11" s="10"/>
      <c r="T11" s="10"/>
      <c r="U11" s="146"/>
      <c r="V11" s="146"/>
      <c r="W11" s="146"/>
      <c r="X11" s="146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606" t="s">
        <v>88</v>
      </c>
      <c r="B12" s="606"/>
      <c r="C12" s="606"/>
      <c r="D12" s="606"/>
      <c r="E12" s="606"/>
      <c r="F12" s="521" t="s">
        <v>0</v>
      </c>
      <c r="G12" s="521"/>
      <c r="H12" s="521"/>
      <c r="I12" s="521"/>
      <c r="J12" s="521"/>
      <c r="K12" s="521"/>
      <c r="L12" s="521"/>
      <c r="M12" s="521"/>
      <c r="N12" s="521"/>
      <c r="O12" s="521"/>
      <c r="P12" s="521"/>
      <c r="Q12" s="521"/>
      <c r="R12" s="521"/>
      <c r="S12" s="521"/>
      <c r="T12" s="521" t="s">
        <v>87</v>
      </c>
      <c r="U12" s="521"/>
      <c r="V12" s="521"/>
      <c r="W12" s="521"/>
      <c r="X12" s="52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606"/>
      <c r="B13" s="606"/>
      <c r="C13" s="606"/>
      <c r="D13" s="606"/>
      <c r="E13" s="606"/>
      <c r="F13" s="522"/>
      <c r="G13" s="522"/>
      <c r="H13" s="522"/>
      <c r="I13" s="522"/>
      <c r="J13" s="522"/>
      <c r="K13" s="522"/>
      <c r="L13" s="522"/>
      <c r="M13" s="522"/>
      <c r="N13" s="522"/>
      <c r="O13" s="522"/>
      <c r="P13" s="522"/>
      <c r="Q13" s="522"/>
      <c r="R13" s="522"/>
      <c r="S13" s="522"/>
      <c r="T13" s="522"/>
      <c r="U13" s="522"/>
      <c r="V13" s="522"/>
      <c r="W13" s="522"/>
      <c r="X13" s="52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606"/>
      <c r="B14" s="606"/>
      <c r="C14" s="606"/>
      <c r="D14" s="606"/>
      <c r="E14" s="606"/>
      <c r="F14" s="910" t="s">
        <v>121</v>
      </c>
      <c r="G14" s="910"/>
      <c r="H14" s="910"/>
      <c r="I14" s="910"/>
      <c r="J14" s="593" t="s">
        <v>213</v>
      </c>
      <c r="K14" s="593"/>
      <c r="L14" s="593"/>
      <c r="M14" s="593"/>
      <c r="N14" s="593"/>
      <c r="O14" s="593"/>
      <c r="P14" s="593"/>
      <c r="Q14" s="593"/>
      <c r="R14" s="593"/>
      <c r="S14" s="593"/>
      <c r="T14" s="593" t="s">
        <v>213</v>
      </c>
      <c r="U14" s="593"/>
      <c r="V14" s="593"/>
      <c r="W14" s="593"/>
      <c r="X14" s="593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07" t="s">
        <v>85</v>
      </c>
      <c r="B15" s="907"/>
      <c r="C15" s="907"/>
      <c r="D15" s="907"/>
      <c r="E15" s="907"/>
      <c r="F15" s="908">
        <f>IF(J15="-","-",Eingabe_!F172)</f>
        <v>158.01</v>
      </c>
      <c r="G15" s="908"/>
      <c r="H15" s="908"/>
      <c r="I15" s="908"/>
      <c r="J15" s="909">
        <v>1180</v>
      </c>
      <c r="K15" s="909"/>
      <c r="L15" s="909"/>
      <c r="M15" s="909"/>
      <c r="N15" s="909"/>
      <c r="O15" s="909"/>
      <c r="P15" s="909"/>
      <c r="Q15" s="909"/>
      <c r="R15" s="909"/>
      <c r="S15" s="909"/>
      <c r="T15" s="559"/>
      <c r="U15" s="559"/>
      <c r="V15" s="559"/>
      <c r="W15" s="559"/>
      <c r="X15" s="559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07"/>
      <c r="B16" s="907"/>
      <c r="C16" s="907"/>
      <c r="D16" s="907"/>
      <c r="E16" s="907"/>
      <c r="F16" s="908">
        <f>IF(J16="-","-",Eingabe_!F173)</f>
        <v>158.01999999999998</v>
      </c>
      <c r="G16" s="908"/>
      <c r="H16" s="908"/>
      <c r="I16" s="908"/>
      <c r="J16" s="909">
        <v>1024</v>
      </c>
      <c r="K16" s="909"/>
      <c r="L16" s="909"/>
      <c r="M16" s="909"/>
      <c r="N16" s="909"/>
      <c r="O16" s="909"/>
      <c r="P16" s="909"/>
      <c r="Q16" s="909"/>
      <c r="R16" s="909"/>
      <c r="S16" s="909"/>
      <c r="T16" s="559"/>
      <c r="U16" s="559"/>
      <c r="V16" s="559"/>
      <c r="W16" s="559"/>
      <c r="X16" s="559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07"/>
      <c r="B17" s="907"/>
      <c r="C17" s="907"/>
      <c r="D17" s="907"/>
      <c r="E17" s="907"/>
      <c r="F17" s="908">
        <f>IF(J17="-","-",Eingabe_!F174)</f>
        <v>158.02999999999997</v>
      </c>
      <c r="G17" s="908"/>
      <c r="H17" s="908"/>
      <c r="I17" s="908"/>
      <c r="J17" s="909">
        <v>1128</v>
      </c>
      <c r="K17" s="909"/>
      <c r="L17" s="909"/>
      <c r="M17" s="909"/>
      <c r="N17" s="909"/>
      <c r="O17" s="909"/>
      <c r="P17" s="909"/>
      <c r="Q17" s="909"/>
      <c r="R17" s="909"/>
      <c r="S17" s="909"/>
      <c r="T17" s="559"/>
      <c r="U17" s="559"/>
      <c r="V17" s="559"/>
      <c r="W17" s="559"/>
      <c r="X17" s="559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07"/>
      <c r="B18" s="907"/>
      <c r="C18" s="907"/>
      <c r="D18" s="907"/>
      <c r="E18" s="907"/>
      <c r="F18" s="908">
        <f>IF(J18="-","-",Eingabe_!F175)</f>
        <v>158.03999999999996</v>
      </c>
      <c r="G18" s="908"/>
      <c r="H18" s="908"/>
      <c r="I18" s="908"/>
      <c r="J18" s="909">
        <v>1146</v>
      </c>
      <c r="K18" s="909"/>
      <c r="L18" s="909"/>
      <c r="M18" s="909"/>
      <c r="N18" s="909"/>
      <c r="O18" s="909"/>
      <c r="P18" s="909"/>
      <c r="Q18" s="909"/>
      <c r="R18" s="909"/>
      <c r="S18" s="909"/>
      <c r="T18" s="559"/>
      <c r="U18" s="559"/>
      <c r="V18" s="559"/>
      <c r="W18" s="559"/>
      <c r="X18" s="559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07"/>
      <c r="B19" s="907"/>
      <c r="C19" s="907"/>
      <c r="D19" s="907"/>
      <c r="E19" s="907"/>
      <c r="F19" s="908">
        <f>IF(J19="-","-",Eingabe_!F176)</f>
        <v>158.04999999999995</v>
      </c>
      <c r="G19" s="908"/>
      <c r="H19" s="908"/>
      <c r="I19" s="908"/>
      <c r="J19" s="909">
        <v>340</v>
      </c>
      <c r="K19" s="909"/>
      <c r="L19" s="909"/>
      <c r="M19" s="909"/>
      <c r="N19" s="909"/>
      <c r="O19" s="909"/>
      <c r="P19" s="909"/>
      <c r="Q19" s="909"/>
      <c r="R19" s="909"/>
      <c r="S19" s="909"/>
      <c r="T19" s="559"/>
      <c r="U19" s="559"/>
      <c r="V19" s="559"/>
      <c r="W19" s="559"/>
      <c r="X19" s="55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07"/>
      <c r="B20" s="907"/>
      <c r="C20" s="907"/>
      <c r="D20" s="907"/>
      <c r="E20" s="907"/>
      <c r="F20" s="908" t="str">
        <f>IF(J20="-","-",Eingabe_!F177)</f>
        <v>-</v>
      </c>
      <c r="G20" s="908"/>
      <c r="H20" s="908"/>
      <c r="I20" s="908"/>
      <c r="J20" s="909" t="s">
        <v>4</v>
      </c>
      <c r="K20" s="909"/>
      <c r="L20" s="909"/>
      <c r="M20" s="909"/>
      <c r="N20" s="909"/>
      <c r="O20" s="909"/>
      <c r="P20" s="909"/>
      <c r="Q20" s="909"/>
      <c r="R20" s="909"/>
      <c r="S20" s="909"/>
      <c r="T20" s="559"/>
      <c r="U20" s="559"/>
      <c r="V20" s="559"/>
      <c r="W20" s="559"/>
      <c r="X20" s="559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07"/>
      <c r="B21" s="907"/>
      <c r="C21" s="907"/>
      <c r="D21" s="907"/>
      <c r="E21" s="907"/>
      <c r="F21" s="908" t="str">
        <f>IF(J21="-","-",Eingabe_!F178)</f>
        <v>-</v>
      </c>
      <c r="G21" s="908"/>
      <c r="H21" s="908"/>
      <c r="I21" s="908"/>
      <c r="J21" s="909" t="s">
        <v>4</v>
      </c>
      <c r="K21" s="909"/>
      <c r="L21" s="909"/>
      <c r="M21" s="909"/>
      <c r="N21" s="909"/>
      <c r="O21" s="909"/>
      <c r="P21" s="909"/>
      <c r="Q21" s="909"/>
      <c r="R21" s="909"/>
      <c r="S21" s="909"/>
      <c r="T21" s="559"/>
      <c r="U21" s="559"/>
      <c r="V21" s="559"/>
      <c r="W21" s="559"/>
      <c r="X21" s="559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503" t="s">
        <v>82</v>
      </c>
      <c r="B22" s="473"/>
      <c r="C22" s="473"/>
      <c r="D22" s="473"/>
      <c r="E22" s="473" t="str">
        <f>Eingabe_!$B$7</f>
        <v>OP 1</v>
      </c>
      <c r="F22" s="473"/>
      <c r="G22" s="673" t="s">
        <v>337</v>
      </c>
      <c r="H22" s="673"/>
      <c r="I22" s="673"/>
      <c r="J22" s="673"/>
      <c r="K22" s="673"/>
      <c r="L22" s="673"/>
      <c r="M22" s="673"/>
      <c r="N22" s="673"/>
      <c r="O22" s="182"/>
      <c r="P22" s="140"/>
      <c r="Q22" s="140"/>
      <c r="R22" s="140"/>
      <c r="S22" s="140"/>
      <c r="T22" s="680">
        <f>SUM(J15:S19)</f>
        <v>4818</v>
      </c>
      <c r="U22" s="680"/>
      <c r="V22" s="680"/>
      <c r="W22" s="680"/>
      <c r="X22" s="68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505"/>
      <c r="B23" s="506"/>
      <c r="C23" s="506"/>
      <c r="D23" s="506"/>
      <c r="E23" s="506"/>
      <c r="F23" s="506"/>
      <c r="G23" s="675"/>
      <c r="H23" s="675"/>
      <c r="I23" s="675"/>
      <c r="J23" s="675"/>
      <c r="K23" s="675"/>
      <c r="L23" s="675"/>
      <c r="M23" s="675"/>
      <c r="N23" s="675"/>
      <c r="O23" s="141"/>
      <c r="P23" s="141"/>
      <c r="Q23" s="141"/>
      <c r="R23" s="141"/>
      <c r="S23" s="141"/>
      <c r="T23" s="682"/>
      <c r="U23" s="682"/>
      <c r="V23" s="682"/>
      <c r="W23" s="682"/>
      <c r="X23" s="68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69" t="s">
        <v>192</v>
      </c>
      <c r="G24" s="65"/>
      <c r="H24" s="67"/>
      <c r="I24" s="67"/>
      <c r="K24" s="67"/>
      <c r="L24" s="68"/>
      <c r="M24" s="67"/>
      <c r="N24" s="67"/>
      <c r="O24" s="91"/>
      <c r="P24" s="91"/>
      <c r="Q24" s="91"/>
      <c r="R24" s="91"/>
      <c r="S24" s="91"/>
      <c r="T24" s="684" t="str">
        <f>Eingabe_!$H$37</f>
        <v>keine Vorgabe</v>
      </c>
      <c r="U24" s="684"/>
      <c r="V24" s="684"/>
      <c r="W24" s="684"/>
      <c r="X24" s="68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69"/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91"/>
      <c r="T25" s="359"/>
      <c r="U25" s="359"/>
      <c r="V25" s="359"/>
      <c r="W25" s="359"/>
      <c r="X25" s="359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69"/>
      <c r="G26" s="65"/>
      <c r="H26" s="67"/>
      <c r="I26" s="67"/>
      <c r="K26" s="67"/>
      <c r="L26" s="68"/>
      <c r="M26" s="67"/>
      <c r="N26" s="67"/>
      <c r="O26" s="91"/>
      <c r="P26" s="91"/>
      <c r="Q26" s="91"/>
      <c r="R26" s="91"/>
      <c r="S26" s="91"/>
      <c r="T26" s="359"/>
      <c r="U26" s="359"/>
      <c r="V26" s="359"/>
      <c r="W26" s="359"/>
      <c r="X26" s="359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69"/>
      <c r="G27" s="65"/>
      <c r="H27" s="67"/>
      <c r="I27" s="67"/>
      <c r="K27" s="67"/>
      <c r="L27" s="68"/>
      <c r="M27" s="67"/>
      <c r="N27" s="67"/>
      <c r="O27" s="91"/>
      <c r="P27" s="91"/>
      <c r="Q27" s="91"/>
      <c r="R27" s="91"/>
      <c r="S27" s="91"/>
      <c r="T27" s="359"/>
      <c r="U27" s="359"/>
      <c r="V27" s="359"/>
      <c r="W27" s="359"/>
      <c r="X27" s="359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40" t="s">
        <v>603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4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4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69" t="s">
        <v>164</v>
      </c>
      <c r="S46" s="230"/>
      <c r="U46" s="230"/>
      <c r="V46" s="230"/>
      <c r="W46" s="356" t="s">
        <v>699</v>
      </c>
      <c r="X46" s="1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 s="6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69" t="s">
        <v>165</v>
      </c>
      <c r="S47" s="230"/>
      <c r="U47" s="230"/>
      <c r="V47" s="230"/>
      <c r="W47" s="231"/>
      <c r="X47" s="248" t="s">
        <v>179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6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69"/>
      <c r="S48" s="230"/>
      <c r="U48" s="230"/>
      <c r="V48" s="230"/>
      <c r="W48" s="360"/>
      <c r="X48" s="2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266" t="s">
        <v>226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47">
        <f>Eingabe_!$B$25</f>
        <v>0</v>
      </c>
      <c r="M50" s="10"/>
      <c r="N50" s="10"/>
      <c r="O50" s="10"/>
      <c r="P50" s="10"/>
      <c r="Q50" s="10"/>
      <c r="R50" s="10"/>
      <c r="S50" s="10"/>
      <c r="T50" s="2" t="s">
        <v>161</v>
      </c>
      <c r="U50" s="1" t="str">
        <f>Eingabe_!$D$25</f>
        <v>061 685 85 29</v>
      </c>
      <c r="V50" s="10"/>
      <c r="W50" s="10"/>
      <c r="X50" s="1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K51" s="10"/>
      <c r="S51" s="10"/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226" t="s">
        <v>162</v>
      </c>
      <c r="B52" s="227"/>
      <c r="C52" s="227"/>
      <c r="D52" s="228"/>
      <c r="E52" s="227"/>
      <c r="F52" s="227"/>
      <c r="G52" s="227"/>
      <c r="H52" s="227"/>
      <c r="I52" s="227"/>
      <c r="J52" s="226"/>
      <c r="K52" s="228"/>
      <c r="L52" s="10"/>
      <c r="N52" s="229" t="s">
        <v>158</v>
      </c>
      <c r="P52" s="2" t="s">
        <v>163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6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6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6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6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/>
  </sheetData>
  <mergeCells count="29">
    <mergeCell ref="T22:X23"/>
    <mergeCell ref="T24:X24"/>
    <mergeCell ref="J15:S15"/>
    <mergeCell ref="F16:I16"/>
    <mergeCell ref="A22:D23"/>
    <mergeCell ref="E22:F23"/>
    <mergeCell ref="G22:N23"/>
    <mergeCell ref="A12:E14"/>
    <mergeCell ref="F12:S13"/>
    <mergeCell ref="T12:X13"/>
    <mergeCell ref="F14:I14"/>
    <mergeCell ref="J14:S14"/>
    <mergeCell ref="T14:X14"/>
    <mergeCell ref="R5:W5"/>
    <mergeCell ref="A9:X10"/>
    <mergeCell ref="A15:E21"/>
    <mergeCell ref="F15:I15"/>
    <mergeCell ref="T15:X21"/>
    <mergeCell ref="J16:S16"/>
    <mergeCell ref="J17:S17"/>
    <mergeCell ref="J18:S18"/>
    <mergeCell ref="F21:I21"/>
    <mergeCell ref="J21:S21"/>
    <mergeCell ref="J19:S19"/>
    <mergeCell ref="J20:S20"/>
    <mergeCell ref="F19:I19"/>
    <mergeCell ref="F20:I20"/>
    <mergeCell ref="F17:I17"/>
    <mergeCell ref="F18:I18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C0152F-E72B-4784-9649-D97E927150ED}">
          <x14:formula1>
            <xm:f>Eingabe_!$U$19:$U$24</xm:f>
          </x14:formula1>
          <xm:sqref>R7 U7</xm:sqref>
        </x14:dataValidation>
        <x14:dataValidation type="list" allowBlank="1" showInputMessage="1" showErrorMessage="1" xr:uid="{925FCC75-F810-498E-AC08-9E19890E5ADC}">
          <x14:formula1>
            <xm:f>Eingabe_!$BD$3:$BD$47</xm:f>
          </x14:formula1>
          <xm:sqref>R4:W4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FDF9-5A7D-448D-A4D4-0393078DA7FB}">
  <sheetPr codeName="Tabelle32">
    <tabColor theme="9" tint="0.79998168889431442"/>
    <pageSetUpPr fitToPage="1"/>
  </sheetPr>
  <dimension ref="A1:BZ186"/>
  <sheetViews>
    <sheetView topLeftCell="A12" zoomScale="154" zoomScaleNormal="154" zoomScaleSheetLayoutView="99" zoomScalePageLayoutView="120" workbookViewId="0">
      <selection activeCell="AD38" sqref="AD3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491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Seitenregister!X38</f>
        <v>32</v>
      </c>
      <c r="W1" s="8" t="s">
        <v>10</v>
      </c>
      <c r="X1" s="9">
        <f>[6]Seitenregister!X1</f>
        <v>53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[6]Eingabe_!$B$3</f>
        <v>HRS Real Estate AG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'RD Volumenströme'!E4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143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44688</v>
      </c>
      <c r="S5" s="906"/>
      <c r="T5" s="906"/>
      <c r="U5" s="906"/>
      <c r="V5" s="906"/>
      <c r="W5" s="906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700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37" t="s">
        <v>492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691" t="s">
        <v>203</v>
      </c>
      <c r="B11" s="691"/>
      <c r="C11" s="692" t="s">
        <v>67</v>
      </c>
      <c r="D11" s="599" t="s">
        <v>493</v>
      </c>
      <c r="E11" s="692" t="s">
        <v>67</v>
      </c>
      <c r="F11" s="599" t="s">
        <v>493</v>
      </c>
      <c r="G11" s="692" t="s">
        <v>67</v>
      </c>
      <c r="H11" s="599" t="s">
        <v>493</v>
      </c>
      <c r="I11" s="692" t="s">
        <v>67</v>
      </c>
      <c r="J11" s="599" t="s">
        <v>493</v>
      </c>
      <c r="K11" s="692" t="s">
        <v>67</v>
      </c>
      <c r="L11" s="599" t="s">
        <v>493</v>
      </c>
      <c r="M11" s="692" t="s">
        <v>67</v>
      </c>
      <c r="N11" s="599" t="s">
        <v>493</v>
      </c>
      <c r="O11" s="692" t="s">
        <v>67</v>
      </c>
      <c r="P11" s="599" t="s">
        <v>493</v>
      </c>
      <c r="Q11" s="692" t="s">
        <v>67</v>
      </c>
      <c r="R11" s="599" t="s">
        <v>493</v>
      </c>
      <c r="S11" s="692" t="s">
        <v>67</v>
      </c>
      <c r="T11" s="599" t="s">
        <v>493</v>
      </c>
      <c r="U11" s="692" t="s">
        <v>67</v>
      </c>
      <c r="V11" s="599" t="s">
        <v>493</v>
      </c>
      <c r="W11" s="692" t="s">
        <v>67</v>
      </c>
      <c r="X11" s="599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691"/>
      <c r="B12" s="691"/>
      <c r="C12" s="693"/>
      <c r="D12" s="600"/>
      <c r="E12" s="693"/>
      <c r="F12" s="600"/>
      <c r="G12" s="693"/>
      <c r="H12" s="600"/>
      <c r="I12" s="693"/>
      <c r="J12" s="600"/>
      <c r="K12" s="693"/>
      <c r="L12" s="600"/>
      <c r="M12" s="693"/>
      <c r="N12" s="600"/>
      <c r="O12" s="693"/>
      <c r="P12" s="600"/>
      <c r="Q12" s="693"/>
      <c r="R12" s="600"/>
      <c r="S12" s="693"/>
      <c r="T12" s="600"/>
      <c r="U12" s="693"/>
      <c r="V12" s="600"/>
      <c r="W12" s="693"/>
      <c r="X12" s="600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691"/>
      <c r="B13" s="691"/>
      <c r="C13" s="693"/>
      <c r="D13" s="600"/>
      <c r="E13" s="693"/>
      <c r="F13" s="600"/>
      <c r="G13" s="693"/>
      <c r="H13" s="600"/>
      <c r="I13" s="693"/>
      <c r="J13" s="600"/>
      <c r="K13" s="693"/>
      <c r="L13" s="600"/>
      <c r="M13" s="693"/>
      <c r="N13" s="600"/>
      <c r="O13" s="693"/>
      <c r="P13" s="600"/>
      <c r="Q13" s="693"/>
      <c r="R13" s="600"/>
      <c r="S13" s="693"/>
      <c r="T13" s="600"/>
      <c r="U13" s="693"/>
      <c r="V13" s="600"/>
      <c r="W13" s="693"/>
      <c r="X13" s="600"/>
      <c r="Y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691"/>
      <c r="B14" s="691"/>
      <c r="C14" s="911"/>
      <c r="D14" s="325" t="s">
        <v>494</v>
      </c>
      <c r="E14" s="911"/>
      <c r="F14" s="325" t="s">
        <v>494</v>
      </c>
      <c r="G14" s="911"/>
      <c r="H14" s="325" t="s">
        <v>494</v>
      </c>
      <c r="I14" s="911"/>
      <c r="J14" s="325" t="s">
        <v>494</v>
      </c>
      <c r="K14" s="911"/>
      <c r="L14" s="325" t="s">
        <v>494</v>
      </c>
      <c r="M14" s="911"/>
      <c r="N14" s="325" t="s">
        <v>494</v>
      </c>
      <c r="O14" s="911"/>
      <c r="P14" s="325" t="s">
        <v>494</v>
      </c>
      <c r="Q14" s="911"/>
      <c r="R14" s="325" t="s">
        <v>494</v>
      </c>
      <c r="S14" s="911"/>
      <c r="T14" s="325" t="s">
        <v>494</v>
      </c>
      <c r="U14" s="911"/>
      <c r="V14" s="325" t="s">
        <v>494</v>
      </c>
      <c r="W14" s="911"/>
      <c r="X14" s="325" t="s">
        <v>494</v>
      </c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718" t="str">
        <f>Eingabe_!D7</f>
        <v>OP 1   rooms/roomname</v>
      </c>
      <c r="B15" s="718"/>
      <c r="C15" s="471" t="s">
        <v>495</v>
      </c>
      <c r="D15" s="912">
        <v>0.19</v>
      </c>
      <c r="E15" s="471" t="s">
        <v>629</v>
      </c>
      <c r="F15" s="912">
        <v>0.18</v>
      </c>
      <c r="G15" s="471" t="s">
        <v>630</v>
      </c>
      <c r="H15" s="915">
        <v>0.19</v>
      </c>
      <c r="I15" s="699" t="s">
        <v>631</v>
      </c>
      <c r="J15" s="915">
        <v>0.2</v>
      </c>
      <c r="K15" s="699" t="s">
        <v>632</v>
      </c>
      <c r="L15" s="915">
        <v>0.17</v>
      </c>
      <c r="M15" s="699" t="s">
        <v>633</v>
      </c>
      <c r="N15" s="915">
        <v>0.18</v>
      </c>
      <c r="O15" s="699" t="s">
        <v>634</v>
      </c>
      <c r="P15" s="915">
        <v>0.2</v>
      </c>
      <c r="Q15" s="699" t="s">
        <v>635</v>
      </c>
      <c r="R15" s="915">
        <v>0.2</v>
      </c>
      <c r="S15" s="699" t="s">
        <v>4</v>
      </c>
      <c r="T15" s="915" t="s">
        <v>4</v>
      </c>
      <c r="U15" s="699" t="s">
        <v>4</v>
      </c>
      <c r="V15" s="915" t="s">
        <v>4</v>
      </c>
      <c r="W15" s="699" t="s">
        <v>4</v>
      </c>
      <c r="X15" s="915" t="s">
        <v>572</v>
      </c>
      <c r="Y15" s="268"/>
      <c r="AA15"/>
      <c r="AB15"/>
      <c r="AC15"/>
      <c r="AD15"/>
      <c r="AE15" s="397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718"/>
      <c r="B16" s="718"/>
      <c r="C16" s="471"/>
      <c r="D16" s="912"/>
      <c r="E16" s="471"/>
      <c r="F16" s="912"/>
      <c r="G16" s="699"/>
      <c r="H16" s="916"/>
      <c r="I16" s="919"/>
      <c r="J16" s="916"/>
      <c r="K16" s="919"/>
      <c r="L16" s="916"/>
      <c r="M16" s="919"/>
      <c r="N16" s="916"/>
      <c r="O16" s="602"/>
      <c r="P16" s="917"/>
      <c r="Q16" s="602"/>
      <c r="R16" s="917"/>
      <c r="S16" s="602"/>
      <c r="T16" s="917"/>
      <c r="U16" s="602"/>
      <c r="V16" s="917"/>
      <c r="W16" s="602"/>
      <c r="X16" s="917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718"/>
      <c r="B17" s="718"/>
      <c r="C17" s="471" t="s">
        <v>496</v>
      </c>
      <c r="D17" s="912">
        <v>0.18</v>
      </c>
      <c r="E17" s="471" t="s">
        <v>636</v>
      </c>
      <c r="F17" s="913">
        <v>0.2</v>
      </c>
      <c r="G17" s="700" t="s">
        <v>637</v>
      </c>
      <c r="H17" s="918">
        <v>0.31</v>
      </c>
      <c r="I17" s="705" t="s">
        <v>638</v>
      </c>
      <c r="J17" s="920">
        <v>0.32</v>
      </c>
      <c r="K17" s="705" t="s">
        <v>639</v>
      </c>
      <c r="L17" s="918">
        <v>0.31</v>
      </c>
      <c r="M17" s="705" t="s">
        <v>640</v>
      </c>
      <c r="N17" s="921">
        <v>0.31</v>
      </c>
      <c r="O17" s="493" t="s">
        <v>641</v>
      </c>
      <c r="P17" s="914">
        <v>0.18</v>
      </c>
      <c r="Q17" s="471" t="s">
        <v>642</v>
      </c>
      <c r="R17" s="912">
        <v>0.2</v>
      </c>
      <c r="S17" s="471" t="s">
        <v>4</v>
      </c>
      <c r="T17" s="912" t="s">
        <v>4</v>
      </c>
      <c r="U17" s="471" t="s">
        <v>4</v>
      </c>
      <c r="V17" s="912" t="s">
        <v>4</v>
      </c>
      <c r="W17" s="471" t="s">
        <v>4</v>
      </c>
      <c r="X17" s="912" t="s">
        <v>572</v>
      </c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718"/>
      <c r="B18" s="718"/>
      <c r="C18" s="471"/>
      <c r="D18" s="912"/>
      <c r="E18" s="471"/>
      <c r="F18" s="913"/>
      <c r="G18" s="697"/>
      <c r="H18" s="912"/>
      <c r="I18" s="471"/>
      <c r="J18" s="917"/>
      <c r="K18" s="471"/>
      <c r="L18" s="912"/>
      <c r="M18" s="471"/>
      <c r="N18" s="922"/>
      <c r="O18" s="493"/>
      <c r="P18" s="914"/>
      <c r="Q18" s="471"/>
      <c r="R18" s="912"/>
      <c r="S18" s="471"/>
      <c r="T18" s="912"/>
      <c r="U18" s="471"/>
      <c r="V18" s="912"/>
      <c r="W18" s="471"/>
      <c r="X18" s="912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68"/>
      <c r="BV18" s="268"/>
      <c r="BW18" s="268"/>
      <c r="BX18" s="268"/>
      <c r="BY18" s="268"/>
      <c r="BZ18" s="268"/>
    </row>
    <row r="19" spans="1:78" ht="12" customHeight="1">
      <c r="A19" s="718"/>
      <c r="B19" s="718"/>
      <c r="C19" s="471" t="s">
        <v>497</v>
      </c>
      <c r="D19" s="912">
        <v>0.18</v>
      </c>
      <c r="E19" s="471" t="s">
        <v>643</v>
      </c>
      <c r="F19" s="913">
        <v>0.19</v>
      </c>
      <c r="G19" s="697" t="s">
        <v>644</v>
      </c>
      <c r="H19" s="912">
        <v>0.32</v>
      </c>
      <c r="I19" s="471" t="s">
        <v>645</v>
      </c>
      <c r="J19" s="915">
        <v>0.3</v>
      </c>
      <c r="K19" s="471" t="s">
        <v>646</v>
      </c>
      <c r="L19" s="912">
        <v>0.36</v>
      </c>
      <c r="M19" s="471" t="s">
        <v>647</v>
      </c>
      <c r="N19" s="922">
        <v>0.32</v>
      </c>
      <c r="O19" s="493" t="s">
        <v>648</v>
      </c>
      <c r="P19" s="914">
        <v>0.37</v>
      </c>
      <c r="Q19" s="471" t="s">
        <v>649</v>
      </c>
      <c r="R19" s="912">
        <v>0.19</v>
      </c>
      <c r="S19" s="471" t="s">
        <v>4</v>
      </c>
      <c r="T19" s="912" t="s">
        <v>4</v>
      </c>
      <c r="U19" s="471" t="s">
        <v>4</v>
      </c>
      <c r="V19" s="912" t="s">
        <v>4</v>
      </c>
      <c r="W19" s="471" t="s">
        <v>4</v>
      </c>
      <c r="X19" s="912" t="s">
        <v>572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 s="718"/>
      <c r="B20" s="718"/>
      <c r="C20" s="471"/>
      <c r="D20" s="912"/>
      <c r="E20" s="471"/>
      <c r="F20" s="913"/>
      <c r="G20" s="697"/>
      <c r="H20" s="912"/>
      <c r="I20" s="471"/>
      <c r="J20" s="917"/>
      <c r="K20" s="471"/>
      <c r="L20" s="912"/>
      <c r="M20" s="471"/>
      <c r="N20" s="922"/>
      <c r="O20" s="493"/>
      <c r="P20" s="914"/>
      <c r="Q20" s="471"/>
      <c r="R20" s="912"/>
      <c r="S20" s="471"/>
      <c r="T20" s="912"/>
      <c r="U20" s="471"/>
      <c r="V20" s="912"/>
      <c r="W20" s="471"/>
      <c r="X20" s="912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 s="718"/>
      <c r="B21" s="718"/>
      <c r="C21" s="471" t="s">
        <v>498</v>
      </c>
      <c r="D21" s="912">
        <v>0.17</v>
      </c>
      <c r="E21" s="471" t="s">
        <v>650</v>
      </c>
      <c r="F21" s="913">
        <v>0.19</v>
      </c>
      <c r="G21" s="697" t="s">
        <v>651</v>
      </c>
      <c r="H21" s="912">
        <v>0.32</v>
      </c>
      <c r="I21" s="471" t="s">
        <v>652</v>
      </c>
      <c r="J21" s="915">
        <v>0.31</v>
      </c>
      <c r="K21" s="471" t="s">
        <v>653</v>
      </c>
      <c r="L21" s="912">
        <v>0.33</v>
      </c>
      <c r="M21" s="471" t="s">
        <v>654</v>
      </c>
      <c r="N21" s="922">
        <v>0.3</v>
      </c>
      <c r="O21" s="493" t="s">
        <v>655</v>
      </c>
      <c r="P21" s="914">
        <v>0.34</v>
      </c>
      <c r="Q21" s="471" t="s">
        <v>656</v>
      </c>
      <c r="R21" s="912">
        <v>0.2</v>
      </c>
      <c r="S21" s="471" t="s">
        <v>4</v>
      </c>
      <c r="T21" s="912" t="s">
        <v>4</v>
      </c>
      <c r="U21" s="471" t="s">
        <v>4</v>
      </c>
      <c r="V21" s="912" t="s">
        <v>4</v>
      </c>
      <c r="W21" s="471" t="s">
        <v>4</v>
      </c>
      <c r="X21" s="912" t="s">
        <v>572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 s="718"/>
      <c r="B22" s="718"/>
      <c r="C22" s="471"/>
      <c r="D22" s="912"/>
      <c r="E22" s="471"/>
      <c r="F22" s="913"/>
      <c r="G22" s="697"/>
      <c r="H22" s="912"/>
      <c r="I22" s="471"/>
      <c r="J22" s="917"/>
      <c r="K22" s="471"/>
      <c r="L22" s="912"/>
      <c r="M22" s="471"/>
      <c r="N22" s="922"/>
      <c r="O22" s="493"/>
      <c r="P22" s="914"/>
      <c r="Q22" s="471"/>
      <c r="R22" s="912"/>
      <c r="S22" s="471"/>
      <c r="T22" s="912"/>
      <c r="U22" s="471"/>
      <c r="V22" s="912"/>
      <c r="W22" s="471"/>
      <c r="X22" s="91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 s="718"/>
      <c r="B23" s="718"/>
      <c r="C23" s="471" t="s">
        <v>499</v>
      </c>
      <c r="D23" s="912">
        <v>0.18</v>
      </c>
      <c r="E23" s="471" t="s">
        <v>657</v>
      </c>
      <c r="F23" s="913">
        <v>0.2</v>
      </c>
      <c r="G23" s="697" t="s">
        <v>658</v>
      </c>
      <c r="H23" s="912">
        <v>0.34</v>
      </c>
      <c r="I23" s="471" t="s">
        <v>659</v>
      </c>
      <c r="J23" s="915">
        <v>0.31</v>
      </c>
      <c r="K23" s="471" t="s">
        <v>660</v>
      </c>
      <c r="L23" s="912">
        <v>0.33</v>
      </c>
      <c r="M23" s="471" t="s">
        <v>661</v>
      </c>
      <c r="N23" s="922">
        <v>0.32</v>
      </c>
      <c r="O23" s="493" t="s">
        <v>662</v>
      </c>
      <c r="P23" s="914">
        <v>0.36</v>
      </c>
      <c r="Q23" s="471" t="s">
        <v>663</v>
      </c>
      <c r="R23" s="912">
        <v>0.22</v>
      </c>
      <c r="S23" s="471" t="s">
        <v>4</v>
      </c>
      <c r="T23" s="912" t="s">
        <v>4</v>
      </c>
      <c r="U23" s="471" t="s">
        <v>4</v>
      </c>
      <c r="V23" s="912" t="s">
        <v>4</v>
      </c>
      <c r="W23" s="471" t="s">
        <v>4</v>
      </c>
      <c r="X23" s="912" t="s">
        <v>572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 s="718"/>
      <c r="B24" s="718"/>
      <c r="C24" s="471"/>
      <c r="D24" s="912"/>
      <c r="E24" s="471"/>
      <c r="F24" s="913"/>
      <c r="G24" s="697"/>
      <c r="H24" s="912"/>
      <c r="I24" s="471"/>
      <c r="J24" s="917"/>
      <c r="K24" s="471"/>
      <c r="L24" s="912"/>
      <c r="M24" s="471"/>
      <c r="N24" s="922"/>
      <c r="O24" s="493"/>
      <c r="P24" s="914"/>
      <c r="Q24" s="471"/>
      <c r="R24" s="912"/>
      <c r="S24" s="471"/>
      <c r="T24" s="912"/>
      <c r="U24" s="471"/>
      <c r="V24" s="912"/>
      <c r="W24" s="471"/>
      <c r="X24" s="912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 s="718"/>
      <c r="B25" s="718"/>
      <c r="C25" s="471" t="s">
        <v>500</v>
      </c>
      <c r="D25" s="912">
        <v>0.18</v>
      </c>
      <c r="E25" s="471" t="s">
        <v>664</v>
      </c>
      <c r="F25" s="913">
        <v>0.19</v>
      </c>
      <c r="G25" s="697" t="s">
        <v>665</v>
      </c>
      <c r="H25" s="912">
        <v>0.31</v>
      </c>
      <c r="I25" s="471" t="s">
        <v>666</v>
      </c>
      <c r="J25" s="915">
        <v>0.31</v>
      </c>
      <c r="K25" s="471" t="s">
        <v>667</v>
      </c>
      <c r="L25" s="912">
        <v>0.31</v>
      </c>
      <c r="M25" s="471" t="s">
        <v>668</v>
      </c>
      <c r="N25" s="922">
        <v>0.3</v>
      </c>
      <c r="O25" s="493" t="s">
        <v>669</v>
      </c>
      <c r="P25" s="914">
        <v>0.3</v>
      </c>
      <c r="Q25" s="471" t="s">
        <v>670</v>
      </c>
      <c r="R25" s="912">
        <v>0.2</v>
      </c>
      <c r="S25" s="471" t="s">
        <v>4</v>
      </c>
      <c r="T25" s="912" t="s">
        <v>4</v>
      </c>
      <c r="U25" s="471" t="s">
        <v>4</v>
      </c>
      <c r="V25" s="912" t="s">
        <v>4</v>
      </c>
      <c r="W25" s="471" t="s">
        <v>4</v>
      </c>
      <c r="X25" s="912" t="s">
        <v>572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 s="718"/>
      <c r="B26" s="718"/>
      <c r="C26" s="471"/>
      <c r="D26" s="912"/>
      <c r="E26" s="471"/>
      <c r="F26" s="913"/>
      <c r="G26" s="697"/>
      <c r="H26" s="912"/>
      <c r="I26" s="471"/>
      <c r="J26" s="917"/>
      <c r="K26" s="471"/>
      <c r="L26" s="912"/>
      <c r="M26" s="471"/>
      <c r="N26" s="922"/>
      <c r="O26" s="493"/>
      <c r="P26" s="914"/>
      <c r="Q26" s="471"/>
      <c r="R26" s="912"/>
      <c r="S26" s="471"/>
      <c r="T26" s="912"/>
      <c r="U26" s="471"/>
      <c r="V26" s="912"/>
      <c r="W26" s="471"/>
      <c r="X26" s="912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 s="718"/>
      <c r="B27" s="718"/>
      <c r="C27" s="471" t="s">
        <v>501</v>
      </c>
      <c r="D27" s="912">
        <v>0.19</v>
      </c>
      <c r="E27" s="471" t="s">
        <v>671</v>
      </c>
      <c r="F27" s="913">
        <v>0.21</v>
      </c>
      <c r="G27" s="697" t="s">
        <v>672</v>
      </c>
      <c r="H27" s="912">
        <v>0.32</v>
      </c>
      <c r="I27" s="471" t="s">
        <v>673</v>
      </c>
      <c r="J27" s="915">
        <v>0.32</v>
      </c>
      <c r="K27" s="471" t="s">
        <v>674</v>
      </c>
      <c r="L27" s="912">
        <v>0.31</v>
      </c>
      <c r="M27" s="471" t="s">
        <v>675</v>
      </c>
      <c r="N27" s="922">
        <v>0.31</v>
      </c>
      <c r="O27" s="493" t="s">
        <v>676</v>
      </c>
      <c r="P27" s="914">
        <v>0.17</v>
      </c>
      <c r="Q27" s="471" t="s">
        <v>677</v>
      </c>
      <c r="R27" s="912">
        <v>0.18</v>
      </c>
      <c r="S27" s="471" t="s">
        <v>4</v>
      </c>
      <c r="T27" s="912" t="s">
        <v>4</v>
      </c>
      <c r="U27" s="471" t="s">
        <v>4</v>
      </c>
      <c r="V27" s="912" t="s">
        <v>4</v>
      </c>
      <c r="W27" s="471" t="s">
        <v>4</v>
      </c>
      <c r="X27" s="912" t="s">
        <v>572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 s="718"/>
      <c r="B28" s="718"/>
      <c r="C28" s="471"/>
      <c r="D28" s="912"/>
      <c r="E28" s="471"/>
      <c r="F28" s="913"/>
      <c r="G28" s="706"/>
      <c r="H28" s="923"/>
      <c r="I28" s="708"/>
      <c r="J28" s="916"/>
      <c r="K28" s="708"/>
      <c r="L28" s="923"/>
      <c r="M28" s="708"/>
      <c r="N28" s="924"/>
      <c r="O28" s="493"/>
      <c r="P28" s="914"/>
      <c r="Q28" s="471"/>
      <c r="R28" s="912"/>
      <c r="S28" s="471"/>
      <c r="T28" s="912"/>
      <c r="U28" s="471"/>
      <c r="V28" s="912"/>
      <c r="W28" s="471"/>
      <c r="X28" s="912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 s="718"/>
      <c r="B29" s="718"/>
      <c r="C29" s="471" t="s">
        <v>502</v>
      </c>
      <c r="D29" s="912">
        <v>0.19</v>
      </c>
      <c r="E29" s="471" t="s">
        <v>678</v>
      </c>
      <c r="F29" s="912">
        <v>0.2</v>
      </c>
      <c r="G29" s="602" t="s">
        <v>679</v>
      </c>
      <c r="H29" s="917">
        <v>0.18</v>
      </c>
      <c r="I29" s="602" t="s">
        <v>680</v>
      </c>
      <c r="J29" s="920">
        <v>0.2</v>
      </c>
      <c r="K29" s="602" t="s">
        <v>681</v>
      </c>
      <c r="L29" s="917">
        <v>0.2</v>
      </c>
      <c r="M29" s="602" t="s">
        <v>682</v>
      </c>
      <c r="N29" s="917">
        <v>0.18</v>
      </c>
      <c r="O29" s="471" t="s">
        <v>683</v>
      </c>
      <c r="P29" s="912">
        <v>0.2</v>
      </c>
      <c r="Q29" s="471" t="s">
        <v>684</v>
      </c>
      <c r="R29" s="912">
        <v>0.22</v>
      </c>
      <c r="S29" s="471" t="s">
        <v>4</v>
      </c>
      <c r="T29" s="912" t="s">
        <v>4</v>
      </c>
      <c r="U29" s="471" t="s">
        <v>4</v>
      </c>
      <c r="V29" s="912" t="s">
        <v>4</v>
      </c>
      <c r="W29" s="471" t="s">
        <v>4</v>
      </c>
      <c r="X29" s="912" t="s">
        <v>572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 s="718"/>
      <c r="B30" s="718"/>
      <c r="C30" s="471"/>
      <c r="D30" s="912"/>
      <c r="E30" s="471"/>
      <c r="F30" s="912"/>
      <c r="G30" s="471"/>
      <c r="H30" s="912"/>
      <c r="I30" s="471"/>
      <c r="J30" s="917"/>
      <c r="K30" s="471"/>
      <c r="L30" s="912"/>
      <c r="M30" s="471"/>
      <c r="N30" s="912"/>
      <c r="O30" s="471"/>
      <c r="P30" s="912"/>
      <c r="Q30" s="471"/>
      <c r="R30" s="912"/>
      <c r="S30" s="471"/>
      <c r="T30" s="912"/>
      <c r="U30" s="471"/>
      <c r="V30" s="912"/>
      <c r="W30" s="471"/>
      <c r="X30" s="912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 s="718"/>
      <c r="B31" s="718"/>
      <c r="C31" s="471" t="s">
        <v>4</v>
      </c>
      <c r="D31" s="912" t="s">
        <v>4</v>
      </c>
      <c r="E31" s="471" t="s">
        <v>4</v>
      </c>
      <c r="F31" s="912" t="s">
        <v>4</v>
      </c>
      <c r="G31" s="471" t="s">
        <v>4</v>
      </c>
      <c r="H31" s="912" t="s">
        <v>4</v>
      </c>
      <c r="I31" s="471" t="s">
        <v>4</v>
      </c>
      <c r="J31" s="912" t="s">
        <v>4</v>
      </c>
      <c r="K31" s="471" t="s">
        <v>4</v>
      </c>
      <c r="L31" s="912" t="s">
        <v>4</v>
      </c>
      <c r="M31" s="471" t="s">
        <v>4</v>
      </c>
      <c r="N31" s="912" t="s">
        <v>4</v>
      </c>
      <c r="O31" s="471" t="s">
        <v>4</v>
      </c>
      <c r="P31" s="912" t="s">
        <v>4</v>
      </c>
      <c r="Q31" s="471" t="s">
        <v>4</v>
      </c>
      <c r="R31" s="912" t="s">
        <v>4</v>
      </c>
      <c r="S31" s="471" t="s">
        <v>4</v>
      </c>
      <c r="T31" s="912" t="s">
        <v>4</v>
      </c>
      <c r="U31" s="471" t="s">
        <v>4</v>
      </c>
      <c r="V31" s="912" t="s">
        <v>4</v>
      </c>
      <c r="W31" s="471" t="s">
        <v>4</v>
      </c>
      <c r="X31" s="912" t="s">
        <v>572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 s="718"/>
      <c r="B32" s="718"/>
      <c r="C32" s="471"/>
      <c r="D32" s="912"/>
      <c r="E32" s="471"/>
      <c r="F32" s="912"/>
      <c r="G32" s="471"/>
      <c r="H32" s="912"/>
      <c r="I32" s="471"/>
      <c r="J32" s="912"/>
      <c r="K32" s="471"/>
      <c r="L32" s="912"/>
      <c r="M32" s="471"/>
      <c r="N32" s="912"/>
      <c r="O32" s="471"/>
      <c r="P32" s="912"/>
      <c r="Q32" s="471"/>
      <c r="R32" s="912"/>
      <c r="S32" s="471"/>
      <c r="T32" s="912"/>
      <c r="U32" s="471"/>
      <c r="V32" s="912"/>
      <c r="W32" s="471"/>
      <c r="X32" s="91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 s="718"/>
      <c r="B33" s="718"/>
      <c r="C33" s="471" t="s">
        <v>4</v>
      </c>
      <c r="D33" s="912" t="s">
        <v>4</v>
      </c>
      <c r="E33" s="925" t="s">
        <v>4</v>
      </c>
      <c r="F33" s="912" t="s">
        <v>4</v>
      </c>
      <c r="G33" s="471" t="s">
        <v>4</v>
      </c>
      <c r="H33" s="912" t="s">
        <v>4</v>
      </c>
      <c r="I33" s="925" t="s">
        <v>4</v>
      </c>
      <c r="J33" s="912" t="s">
        <v>4</v>
      </c>
      <c r="K33" s="471" t="s">
        <v>4</v>
      </c>
      <c r="L33" s="912" t="s">
        <v>4</v>
      </c>
      <c r="M33" s="925" t="s">
        <v>4</v>
      </c>
      <c r="N33" s="912" t="s">
        <v>4</v>
      </c>
      <c r="O33" s="471" t="s">
        <v>4</v>
      </c>
      <c r="P33" s="912" t="s">
        <v>4</v>
      </c>
      <c r="Q33" s="925" t="s">
        <v>4</v>
      </c>
      <c r="R33" s="912" t="s">
        <v>4</v>
      </c>
      <c r="S33" s="471" t="s">
        <v>4</v>
      </c>
      <c r="T33" s="912" t="s">
        <v>4</v>
      </c>
      <c r="U33" s="925" t="s">
        <v>4</v>
      </c>
      <c r="V33" s="912" t="s">
        <v>4</v>
      </c>
      <c r="W33" s="471" t="s">
        <v>4</v>
      </c>
      <c r="X33" s="912" t="s">
        <v>572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 s="718"/>
      <c r="B34" s="718"/>
      <c r="C34" s="471"/>
      <c r="D34" s="912"/>
      <c r="E34" s="471"/>
      <c r="F34" s="912"/>
      <c r="G34" s="471"/>
      <c r="H34" s="912"/>
      <c r="I34" s="471"/>
      <c r="J34" s="912"/>
      <c r="K34" s="471"/>
      <c r="L34" s="912"/>
      <c r="M34" s="471"/>
      <c r="N34" s="912"/>
      <c r="O34" s="471"/>
      <c r="P34" s="912"/>
      <c r="Q34" s="471"/>
      <c r="R34" s="912"/>
      <c r="S34" s="471"/>
      <c r="T34" s="912"/>
      <c r="U34" s="471"/>
      <c r="V34" s="912"/>
      <c r="W34" s="471"/>
      <c r="X34" s="912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 s="718"/>
      <c r="B35" s="718"/>
      <c r="C35" s="471" t="s">
        <v>4</v>
      </c>
      <c r="D35" s="912" t="s">
        <v>4</v>
      </c>
      <c r="E35" s="471" t="s">
        <v>4</v>
      </c>
      <c r="F35" s="912" t="s">
        <v>4</v>
      </c>
      <c r="G35" s="471" t="s">
        <v>4</v>
      </c>
      <c r="H35" s="912" t="s">
        <v>4</v>
      </c>
      <c r="I35" s="471" t="s">
        <v>4</v>
      </c>
      <c r="J35" s="912" t="s">
        <v>4</v>
      </c>
      <c r="K35" s="471" t="s">
        <v>4</v>
      </c>
      <c r="L35" s="912" t="s">
        <v>4</v>
      </c>
      <c r="M35" s="471" t="s">
        <v>4</v>
      </c>
      <c r="N35" s="912" t="s">
        <v>4</v>
      </c>
      <c r="O35" s="471" t="s">
        <v>4</v>
      </c>
      <c r="P35" s="912" t="s">
        <v>4</v>
      </c>
      <c r="Q35" s="471" t="s">
        <v>4</v>
      </c>
      <c r="R35" s="912" t="s">
        <v>4</v>
      </c>
      <c r="S35" s="471" t="s">
        <v>4</v>
      </c>
      <c r="T35" s="912" t="s">
        <v>4</v>
      </c>
      <c r="U35" s="471" t="s">
        <v>4</v>
      </c>
      <c r="V35" s="912" t="s">
        <v>4</v>
      </c>
      <c r="W35" s="471" t="s">
        <v>4</v>
      </c>
      <c r="X35" s="912" t="s">
        <v>572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 s="718"/>
      <c r="B36" s="718"/>
      <c r="C36" s="471"/>
      <c r="D36" s="912"/>
      <c r="E36" s="471"/>
      <c r="F36" s="912"/>
      <c r="G36" s="471"/>
      <c r="H36" s="912"/>
      <c r="I36" s="471"/>
      <c r="J36" s="912"/>
      <c r="K36" s="471"/>
      <c r="L36" s="912"/>
      <c r="M36" s="471"/>
      <c r="N36" s="912"/>
      <c r="O36" s="471"/>
      <c r="P36" s="912"/>
      <c r="Q36" s="471"/>
      <c r="R36" s="912"/>
      <c r="S36" s="471"/>
      <c r="T36" s="912"/>
      <c r="U36" s="471"/>
      <c r="V36" s="912"/>
      <c r="W36" s="471"/>
      <c r="X36" s="912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 s="672" t="s">
        <v>82</v>
      </c>
      <c r="B38" s="673"/>
      <c r="C38" s="673"/>
      <c r="D38" s="673"/>
      <c r="E38" s="473" t="str">
        <f>Eingabe_!B7</f>
        <v>OP 1</v>
      </c>
      <c r="F38" s="473"/>
      <c r="G38" s="673" t="s">
        <v>605</v>
      </c>
      <c r="H38" s="712"/>
      <c r="I38" s="712"/>
      <c r="J38" s="712"/>
      <c r="K38" s="712"/>
      <c r="L38" s="712"/>
      <c r="M38" s="712"/>
      <c r="N38" s="712"/>
      <c r="O38" s="712"/>
      <c r="P38" s="712"/>
      <c r="Q38" s="712"/>
      <c r="R38" s="712"/>
      <c r="S38" s="140"/>
      <c r="T38" s="140"/>
      <c r="U38" s="140"/>
      <c r="V38" s="926">
        <f>(AVERAGE(D15:F30,G29:N30,O15:R30,G15:N16)*4.436369+AVERAGE(G17:N28)*2)/(6.436369)</f>
        <v>0.24056023506162144</v>
      </c>
      <c r="W38" s="926"/>
      <c r="X38" s="927"/>
      <c r="AA38"/>
      <c r="AB38"/>
      <c r="AC38">
        <f>9/2</f>
        <v>4.5</v>
      </c>
      <c r="AD38">
        <f>AC38+2</f>
        <v>6.5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 s="674"/>
      <c r="B39" s="675"/>
      <c r="C39" s="675"/>
      <c r="D39" s="675"/>
      <c r="E39" s="506"/>
      <c r="F39" s="506"/>
      <c r="G39" s="713"/>
      <c r="H39" s="713"/>
      <c r="I39" s="713"/>
      <c r="J39" s="713"/>
      <c r="K39" s="713"/>
      <c r="L39" s="713"/>
      <c r="M39" s="713"/>
      <c r="N39" s="713"/>
      <c r="O39" s="713"/>
      <c r="P39" s="713"/>
      <c r="Q39" s="713"/>
      <c r="R39" s="713"/>
      <c r="S39" s="141"/>
      <c r="T39" s="141"/>
      <c r="U39" s="141"/>
      <c r="V39" s="928"/>
      <c r="W39" s="928"/>
      <c r="X39" s="9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 s="40" t="s">
        <v>604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>
        <f>(AVERAGE(D15:F30,G29:N30,O15:R30,G15:N16)*AC38+AVERAGE(G17:N28)*2)/(AD38)</f>
        <v>0.24022435897435898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 s="40"/>
      <c r="B41" s="40" t="s">
        <v>571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10"/>
      <c r="W42" s="710"/>
      <c r="X42" s="7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 s="268"/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 s="69" t="s">
        <v>513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10">
        <v>0.24</v>
      </c>
      <c r="W44" s="710"/>
      <c r="X44" s="7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4.6"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R49" s="69" t="s">
        <v>164</v>
      </c>
      <c r="S49" s="230"/>
      <c r="U49" s="230"/>
      <c r="V49" s="230"/>
      <c r="W49" s="356" t="s">
        <v>699</v>
      </c>
      <c r="X49" s="268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R50" s="69" t="s">
        <v>165</v>
      </c>
      <c r="S50" s="230"/>
      <c r="U50" s="230"/>
      <c r="V50" s="230"/>
      <c r="W50" s="231"/>
      <c r="X50" s="248" t="s">
        <v>179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266" t="s">
        <v>226</v>
      </c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47">
        <f>Eingabe_!B25</f>
        <v>0</v>
      </c>
      <c r="M55" s="268"/>
      <c r="N55" s="268"/>
      <c r="O55" s="268"/>
      <c r="P55" s="268"/>
      <c r="Q55" s="268"/>
      <c r="R55" s="268"/>
      <c r="S55" s="268"/>
      <c r="T55" s="2" t="s">
        <v>161</v>
      </c>
      <c r="U55" s="2" t="str">
        <f>Eingabe_!D25</f>
        <v>061 685 85 29</v>
      </c>
      <c r="V55" s="268"/>
      <c r="W55" s="268"/>
      <c r="X55" s="26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K56" s="268"/>
      <c r="S56" s="268"/>
      <c r="X56" s="268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8"/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26" t="s">
        <v>162</v>
      </c>
      <c r="B58" s="309"/>
      <c r="C58" s="309"/>
      <c r="D58" s="228"/>
      <c r="E58" s="309"/>
      <c r="F58" s="309"/>
      <c r="G58" s="309"/>
      <c r="H58" s="309"/>
      <c r="I58" s="309"/>
      <c r="J58" s="226"/>
      <c r="K58" s="228"/>
      <c r="L58" s="268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268"/>
      <c r="BI160" s="268"/>
      <c r="BJ160" s="268"/>
      <c r="BK160" s="268"/>
      <c r="BL160" s="268"/>
      <c r="BM160" s="268"/>
      <c r="BN160" s="268"/>
      <c r="BO160" s="268"/>
      <c r="BP160" s="268"/>
      <c r="BQ160" s="268"/>
      <c r="BR160" s="268"/>
      <c r="BS160" s="268"/>
      <c r="BT160" s="268"/>
      <c r="BU160" s="268"/>
      <c r="BV160" s="268"/>
      <c r="BW160" s="268"/>
      <c r="BX160" s="268"/>
      <c r="BY160" s="268"/>
      <c r="BZ160" s="268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268"/>
      <c r="BI161" s="268"/>
      <c r="BJ161" s="268"/>
      <c r="BK161" s="268"/>
      <c r="BL161" s="268"/>
      <c r="BM161" s="268"/>
      <c r="BN161" s="268"/>
      <c r="BO161" s="268"/>
      <c r="BP161" s="268"/>
      <c r="BQ161" s="268"/>
      <c r="BR161" s="268"/>
      <c r="BS161" s="268"/>
      <c r="BT161" s="268"/>
      <c r="BU161" s="268"/>
      <c r="BV161" s="268"/>
      <c r="BW161" s="268"/>
      <c r="BX161" s="268"/>
      <c r="BY161" s="268"/>
      <c r="BZ161" s="268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268"/>
      <c r="BI162" s="268"/>
      <c r="BJ162" s="268"/>
      <c r="BK162" s="268"/>
      <c r="BL162" s="268"/>
      <c r="BM162" s="268"/>
      <c r="BN162" s="268"/>
      <c r="BO162" s="268"/>
      <c r="BP162" s="268"/>
      <c r="BQ162" s="268"/>
      <c r="BR162" s="268"/>
      <c r="BS162" s="268"/>
      <c r="BT162" s="268"/>
      <c r="BU162" s="268"/>
      <c r="BV162" s="268"/>
      <c r="BW162" s="268"/>
      <c r="BX162" s="268"/>
      <c r="BY162" s="268"/>
      <c r="BZ162" s="268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268"/>
      <c r="BI163" s="268"/>
      <c r="BJ163" s="268"/>
      <c r="BK163" s="268"/>
      <c r="BL163" s="268"/>
      <c r="BM163" s="268"/>
      <c r="BN163" s="268"/>
      <c r="BO163" s="268"/>
      <c r="BP163" s="268"/>
      <c r="BQ163" s="268"/>
      <c r="BR163" s="268"/>
      <c r="BS163" s="268"/>
      <c r="BT163" s="268"/>
      <c r="BU163" s="268"/>
      <c r="BV163" s="268"/>
      <c r="BW163" s="268"/>
      <c r="BX163" s="268"/>
      <c r="BY163" s="268"/>
      <c r="BZ163" s="268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268"/>
      <c r="BI164" s="268"/>
      <c r="BJ164" s="268"/>
      <c r="BK164" s="268"/>
      <c r="BL164" s="268"/>
      <c r="BM164" s="268"/>
      <c r="BN164" s="268"/>
      <c r="BO164" s="268"/>
      <c r="BP164" s="268"/>
      <c r="BQ164" s="268"/>
      <c r="BR164" s="268"/>
      <c r="BS164" s="268"/>
      <c r="BT164" s="268"/>
      <c r="BU164" s="268"/>
      <c r="BV164" s="268"/>
      <c r="BW164" s="268"/>
      <c r="BX164" s="268"/>
      <c r="BY164" s="268"/>
      <c r="BZ164" s="268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268"/>
      <c r="BI165" s="268"/>
      <c r="BJ165" s="268"/>
      <c r="BK165" s="268"/>
      <c r="BL165" s="268"/>
      <c r="BM165" s="268"/>
      <c r="BN165" s="268"/>
      <c r="BO165" s="268"/>
      <c r="BP165" s="268"/>
      <c r="BQ165" s="268"/>
      <c r="BR165" s="268"/>
      <c r="BS165" s="268"/>
      <c r="BT165" s="268"/>
      <c r="BU165" s="268"/>
      <c r="BV165" s="268"/>
      <c r="BW165" s="268"/>
      <c r="BX165" s="268"/>
      <c r="BY165" s="268"/>
      <c r="BZ165" s="268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268"/>
      <c r="BI166" s="268"/>
      <c r="BJ166" s="268"/>
      <c r="BK166" s="268"/>
      <c r="BL166" s="268"/>
      <c r="BM166" s="268"/>
      <c r="BN166" s="268"/>
      <c r="BO166" s="268"/>
      <c r="BP166" s="268"/>
      <c r="BQ166" s="268"/>
      <c r="BR166" s="268"/>
      <c r="BS166" s="268"/>
      <c r="BT166" s="268"/>
      <c r="BU166" s="268"/>
      <c r="BV166" s="268"/>
      <c r="BW166" s="268"/>
      <c r="BX166" s="268"/>
      <c r="BY166" s="268"/>
      <c r="BZ166" s="268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268"/>
      <c r="BI167" s="268"/>
      <c r="BJ167" s="268"/>
      <c r="BK167" s="268"/>
      <c r="BL167" s="268"/>
      <c r="BM167" s="268"/>
      <c r="BN167" s="268"/>
      <c r="BO167" s="268"/>
      <c r="BP167" s="268"/>
      <c r="BQ167" s="268"/>
      <c r="BR167" s="268"/>
      <c r="BS167" s="268"/>
      <c r="BT167" s="268"/>
      <c r="BU167" s="268"/>
      <c r="BV167" s="268"/>
      <c r="BW167" s="268"/>
      <c r="BX167" s="268"/>
      <c r="BY167" s="268"/>
      <c r="BZ167" s="268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268"/>
      <c r="BI168" s="268"/>
      <c r="BJ168" s="268"/>
      <c r="BK168" s="268"/>
      <c r="BL168" s="268"/>
      <c r="BM168" s="268"/>
      <c r="BN168" s="268"/>
      <c r="BO168" s="268"/>
      <c r="BP168" s="268"/>
      <c r="BQ168" s="268"/>
      <c r="BR168" s="268"/>
      <c r="BS168" s="268"/>
      <c r="BT168" s="268"/>
      <c r="BU168" s="268"/>
      <c r="BV168" s="268"/>
      <c r="BW168" s="268"/>
      <c r="BX168" s="268"/>
      <c r="BY168" s="268"/>
      <c r="BZ168" s="268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268"/>
      <c r="BI169" s="268"/>
      <c r="BJ169" s="268"/>
      <c r="BK169" s="268"/>
      <c r="BL169" s="268"/>
      <c r="BM169" s="268"/>
      <c r="BN169" s="268"/>
      <c r="BO169" s="268"/>
      <c r="BP169" s="268"/>
      <c r="BQ169" s="268"/>
      <c r="BR169" s="268"/>
      <c r="BS169" s="268"/>
      <c r="BT169" s="268"/>
      <c r="BU169" s="268"/>
      <c r="BV169" s="268"/>
      <c r="BW169" s="268"/>
      <c r="BX169" s="268"/>
      <c r="BY169" s="268"/>
      <c r="BZ169" s="268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274">
    <mergeCell ref="V42:X42"/>
    <mergeCell ref="V44:X44"/>
    <mergeCell ref="U35:U36"/>
    <mergeCell ref="V35:V36"/>
    <mergeCell ref="W35:W36"/>
    <mergeCell ref="X35:X36"/>
    <mergeCell ref="A38:D39"/>
    <mergeCell ref="E38:F39"/>
    <mergeCell ref="G38:R39"/>
    <mergeCell ref="V38:X39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A15:B36"/>
    <mergeCell ref="C15:C16"/>
    <mergeCell ref="U33:U34"/>
    <mergeCell ref="V33:V34"/>
    <mergeCell ref="W33:W34"/>
    <mergeCell ref="X33:X34"/>
    <mergeCell ref="C35:C36"/>
    <mergeCell ref="D35:D36"/>
    <mergeCell ref="E35:E36"/>
    <mergeCell ref="F35:F36"/>
    <mergeCell ref="G35:G36"/>
    <mergeCell ref="H35:H36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C33:C34"/>
    <mergeCell ref="D33:D34"/>
    <mergeCell ref="E33:E34"/>
    <mergeCell ref="F33:F34"/>
    <mergeCell ref="G33:G34"/>
    <mergeCell ref="H33:H34"/>
    <mergeCell ref="O31:O32"/>
    <mergeCell ref="P31:P32"/>
    <mergeCell ref="Q31:Q32"/>
    <mergeCell ref="W29:W30"/>
    <mergeCell ref="X29:X30"/>
    <mergeCell ref="R29:R30"/>
    <mergeCell ref="S29:S30"/>
    <mergeCell ref="T29:T30"/>
    <mergeCell ref="U31:U32"/>
    <mergeCell ref="V31:V32"/>
    <mergeCell ref="W31:W32"/>
    <mergeCell ref="X31:X32"/>
    <mergeCell ref="R31:R32"/>
    <mergeCell ref="S31:S32"/>
    <mergeCell ref="T31:T32"/>
    <mergeCell ref="I31:I32"/>
    <mergeCell ref="J31:J32"/>
    <mergeCell ref="K31:K32"/>
    <mergeCell ref="L31:L32"/>
    <mergeCell ref="M31:M32"/>
    <mergeCell ref="C31:C32"/>
    <mergeCell ref="D31:D32"/>
    <mergeCell ref="E31:E32"/>
    <mergeCell ref="F31:F32"/>
    <mergeCell ref="G31:G32"/>
    <mergeCell ref="H31:H32"/>
    <mergeCell ref="O29:O30"/>
    <mergeCell ref="P29:P30"/>
    <mergeCell ref="Q29:Q30"/>
    <mergeCell ref="I29:I30"/>
    <mergeCell ref="J29:J30"/>
    <mergeCell ref="K29:K30"/>
    <mergeCell ref="L29:L30"/>
    <mergeCell ref="M29:M30"/>
    <mergeCell ref="N29:N30"/>
    <mergeCell ref="N31:N32"/>
    <mergeCell ref="U27:U28"/>
    <mergeCell ref="V27:V28"/>
    <mergeCell ref="W27:W28"/>
    <mergeCell ref="X27:X28"/>
    <mergeCell ref="C29:C30"/>
    <mergeCell ref="D29:D30"/>
    <mergeCell ref="E29:E30"/>
    <mergeCell ref="F29:F30"/>
    <mergeCell ref="G29:G30"/>
    <mergeCell ref="H29:H30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  <mergeCell ref="U29:U30"/>
    <mergeCell ref="V29:V30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C27:C28"/>
    <mergeCell ref="D27:D28"/>
    <mergeCell ref="E27:E28"/>
    <mergeCell ref="F27:F28"/>
    <mergeCell ref="G27:G28"/>
    <mergeCell ref="H27:H28"/>
    <mergeCell ref="O25:O26"/>
    <mergeCell ref="P25:P26"/>
    <mergeCell ref="Q25:Q26"/>
    <mergeCell ref="W23:W24"/>
    <mergeCell ref="X23:X24"/>
    <mergeCell ref="C25:C26"/>
    <mergeCell ref="D25:D26"/>
    <mergeCell ref="E25:E26"/>
    <mergeCell ref="F25:F26"/>
    <mergeCell ref="G25:G26"/>
    <mergeCell ref="H25:H26"/>
    <mergeCell ref="O23:O24"/>
    <mergeCell ref="P23:P24"/>
    <mergeCell ref="Q23:Q24"/>
    <mergeCell ref="R23:R24"/>
    <mergeCell ref="S23:S24"/>
    <mergeCell ref="T23:T24"/>
    <mergeCell ref="I23:I24"/>
    <mergeCell ref="J23:J24"/>
    <mergeCell ref="K23:K24"/>
    <mergeCell ref="L23:L24"/>
    <mergeCell ref="M23:M24"/>
    <mergeCell ref="N23:N24"/>
    <mergeCell ref="U25:U26"/>
    <mergeCell ref="V25:V26"/>
    <mergeCell ref="W25:W26"/>
    <mergeCell ref="X25:X26"/>
    <mergeCell ref="U21:U22"/>
    <mergeCell ref="V21:V22"/>
    <mergeCell ref="W21:W22"/>
    <mergeCell ref="X21:X22"/>
    <mergeCell ref="C23:C24"/>
    <mergeCell ref="D23:D24"/>
    <mergeCell ref="E23:E24"/>
    <mergeCell ref="F23:F24"/>
    <mergeCell ref="G23:G24"/>
    <mergeCell ref="H23:H24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M21:M22"/>
    <mergeCell ref="N21:N22"/>
    <mergeCell ref="U23:U24"/>
    <mergeCell ref="V23:V24"/>
    <mergeCell ref="R19:R20"/>
    <mergeCell ref="S19:S20"/>
    <mergeCell ref="T19:T20"/>
    <mergeCell ref="I19:I20"/>
    <mergeCell ref="J19:J20"/>
    <mergeCell ref="K19:K20"/>
    <mergeCell ref="L19:L20"/>
    <mergeCell ref="M19:M20"/>
    <mergeCell ref="N19:N20"/>
    <mergeCell ref="W17:W18"/>
    <mergeCell ref="X17:X18"/>
    <mergeCell ref="C19:C20"/>
    <mergeCell ref="D19:D20"/>
    <mergeCell ref="E19:E20"/>
    <mergeCell ref="F19:F20"/>
    <mergeCell ref="G19:G20"/>
    <mergeCell ref="H19:H20"/>
    <mergeCell ref="O17:O18"/>
    <mergeCell ref="P17:P18"/>
    <mergeCell ref="Q17:Q18"/>
    <mergeCell ref="R17:R18"/>
    <mergeCell ref="S17:S18"/>
    <mergeCell ref="T17:T18"/>
    <mergeCell ref="I17:I18"/>
    <mergeCell ref="J17:J18"/>
    <mergeCell ref="K17:K18"/>
    <mergeCell ref="L17:L18"/>
    <mergeCell ref="M17:M18"/>
    <mergeCell ref="N17:N18"/>
    <mergeCell ref="U19:U20"/>
    <mergeCell ref="V19:V20"/>
    <mergeCell ref="W19:W20"/>
    <mergeCell ref="X19:X20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H17:H18"/>
    <mergeCell ref="O15:O16"/>
    <mergeCell ref="P15:P16"/>
    <mergeCell ref="Q15:Q16"/>
    <mergeCell ref="R15:R16"/>
    <mergeCell ref="S15:S16"/>
    <mergeCell ref="T15:T16"/>
    <mergeCell ref="I15:I16"/>
    <mergeCell ref="J15:J16"/>
    <mergeCell ref="K15:K16"/>
    <mergeCell ref="L15:L16"/>
    <mergeCell ref="M15:M16"/>
    <mergeCell ref="N15:N16"/>
    <mergeCell ref="U17:U18"/>
    <mergeCell ref="V17:V18"/>
    <mergeCell ref="D15:D16"/>
    <mergeCell ref="E15:E16"/>
    <mergeCell ref="F15:F16"/>
    <mergeCell ref="G15:G16"/>
    <mergeCell ref="H15:H16"/>
    <mergeCell ref="P11:P13"/>
    <mergeCell ref="Q11:Q14"/>
    <mergeCell ref="J11:J13"/>
    <mergeCell ref="K11:K14"/>
    <mergeCell ref="L11:L13"/>
    <mergeCell ref="M11:M14"/>
    <mergeCell ref="N11:N13"/>
    <mergeCell ref="O11:O14"/>
    <mergeCell ref="C21:C22"/>
    <mergeCell ref="D21:D22"/>
    <mergeCell ref="E21:E22"/>
    <mergeCell ref="F21:F22"/>
    <mergeCell ref="G21:G22"/>
    <mergeCell ref="H21:H22"/>
    <mergeCell ref="O19:O20"/>
    <mergeCell ref="P19:P20"/>
    <mergeCell ref="Q19:Q20"/>
    <mergeCell ref="R5:W5"/>
    <mergeCell ref="A9:X10"/>
    <mergeCell ref="A11:B14"/>
    <mergeCell ref="C11:C14"/>
    <mergeCell ref="D11:D13"/>
    <mergeCell ref="E11:E14"/>
    <mergeCell ref="F11:F13"/>
    <mergeCell ref="G11:G14"/>
    <mergeCell ref="H11:H13"/>
    <mergeCell ref="I11:I14"/>
    <mergeCell ref="V11:V13"/>
    <mergeCell ref="W11:W14"/>
    <mergeCell ref="X11:X13"/>
    <mergeCell ref="R11:R13"/>
    <mergeCell ref="S11:S14"/>
    <mergeCell ref="T11:T13"/>
    <mergeCell ref="U11:U1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251-766B-426F-9DDE-632FD44569EA}">
  <sheetPr codeName="Tabelle31">
    <tabColor theme="9" tint="0.79998168889431442"/>
    <pageSetUpPr fitToPage="1"/>
  </sheetPr>
  <dimension ref="A1:BZ163"/>
  <sheetViews>
    <sheetView view="pageLayout" topLeftCell="A10" zoomScale="103" zoomScaleNormal="93" zoomScaleSheetLayoutView="99" zoomScalePageLayoutView="103" workbookViewId="0">
      <selection activeCell="R7" sqref="R7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Seitenregister!X39</f>
        <v>33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44688</v>
      </c>
      <c r="S5" s="906"/>
      <c r="T5" s="906"/>
      <c r="U5" s="906"/>
      <c r="V5" s="906"/>
      <c r="W5" s="906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37" t="s">
        <v>609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34" t="s">
        <v>108</v>
      </c>
      <c r="B11" s="734"/>
      <c r="C11" s="734"/>
      <c r="D11" s="734"/>
      <c r="E11" s="593" t="s">
        <v>109</v>
      </c>
      <c r="F11" s="593"/>
      <c r="G11" s="593"/>
      <c r="H11" s="593"/>
      <c r="I11" s="593" t="s">
        <v>187</v>
      </c>
      <c r="J11" s="593"/>
      <c r="K11" s="593"/>
      <c r="L11" s="593"/>
      <c r="M11" s="729" t="s">
        <v>112</v>
      </c>
      <c r="N11" s="729"/>
      <c r="O11" s="729"/>
      <c r="P11" s="729"/>
      <c r="Q11" s="455" t="s">
        <v>225</v>
      </c>
      <c r="R11" s="456"/>
      <c r="S11" s="456"/>
      <c r="T11" s="457"/>
      <c r="U11" s="455" t="s">
        <v>214</v>
      </c>
      <c r="V11" s="456"/>
      <c r="W11" s="456"/>
      <c r="X11" s="457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35"/>
      <c r="B12" s="735"/>
      <c r="C12" s="735"/>
      <c r="D12" s="735"/>
      <c r="E12" s="486"/>
      <c r="F12" s="486"/>
      <c r="G12" s="486"/>
      <c r="H12" s="486"/>
      <c r="I12" s="486"/>
      <c r="J12" s="486"/>
      <c r="K12" s="486"/>
      <c r="L12" s="486"/>
      <c r="M12" s="729"/>
      <c r="N12" s="729"/>
      <c r="O12" s="729"/>
      <c r="P12" s="729"/>
      <c r="Q12" s="458"/>
      <c r="R12" s="459"/>
      <c r="S12" s="459"/>
      <c r="T12" s="460"/>
      <c r="U12" s="458"/>
      <c r="V12" s="459"/>
      <c r="W12" s="459"/>
      <c r="X12" s="460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35"/>
      <c r="B13" s="735"/>
      <c r="C13" s="735"/>
      <c r="D13" s="735"/>
      <c r="E13" s="486"/>
      <c r="F13" s="486"/>
      <c r="G13" s="486"/>
      <c r="H13" s="486"/>
      <c r="I13" s="486"/>
      <c r="J13" s="486"/>
      <c r="K13" s="486"/>
      <c r="L13" s="486"/>
      <c r="M13" s="593" t="s">
        <v>111</v>
      </c>
      <c r="N13" s="730"/>
      <c r="O13" s="730"/>
      <c r="P13" s="730"/>
      <c r="Q13" s="731"/>
      <c r="R13" s="732"/>
      <c r="S13" s="732"/>
      <c r="T13" s="733"/>
      <c r="U13" s="731"/>
      <c r="V13" s="732"/>
      <c r="W13" s="732"/>
      <c r="X13" s="733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35" t="str">
        <f>Eingabe_!$O$44</f>
        <v>S 02</v>
      </c>
      <c r="B14" s="735"/>
      <c r="C14" s="735"/>
      <c r="D14" s="735"/>
      <c r="E14" s="455" t="str">
        <f>Eingabe_!$B$7</f>
        <v>OP 1</v>
      </c>
      <c r="F14" s="456"/>
      <c r="G14" s="456"/>
      <c r="H14" s="457"/>
      <c r="I14" s="455" t="str">
        <f>Eingabe_!$R$52</f>
        <v>Flow-Zone 1</v>
      </c>
      <c r="J14" s="456"/>
      <c r="K14" s="456"/>
      <c r="L14" s="457"/>
      <c r="M14" s="789" t="s">
        <v>598</v>
      </c>
      <c r="N14" s="790"/>
      <c r="O14" s="790"/>
      <c r="P14" s="791"/>
      <c r="Q14" s="903" t="s">
        <v>114</v>
      </c>
      <c r="R14" s="903"/>
      <c r="S14" s="903"/>
      <c r="T14" s="903"/>
      <c r="U14" s="582" t="str">
        <f>Eingabe_!T44</f>
        <v>Unterdruck</v>
      </c>
      <c r="V14" s="583"/>
      <c r="W14" s="583"/>
      <c r="X14" s="719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35"/>
      <c r="B15" s="735"/>
      <c r="C15" s="735"/>
      <c r="D15" s="735"/>
      <c r="E15" s="726" t="str">
        <f>IFERROR(INDEX(Eingabe_!$AE$2:$AE$100,MATCH(E14,Eingabe_!$AD$2:$AD$100,0)),"-")</f>
        <v>RNr. 01.04.00.158</v>
      </c>
      <c r="F15" s="727"/>
      <c r="G15" s="727"/>
      <c r="H15" s="728"/>
      <c r="I15" s="726" t="str">
        <f>IFERROR(INDEX(Eingabe_!$AE$2:$AE$100,MATCH(I14,Eingabe_!$AD$2:$AD$100,0)),"-")</f>
        <v>RNr. 01.04.00.169</v>
      </c>
      <c r="J15" s="727"/>
      <c r="K15" s="727"/>
      <c r="L15" s="728"/>
      <c r="M15" s="792"/>
      <c r="N15" s="793"/>
      <c r="O15" s="793"/>
      <c r="P15" s="794"/>
      <c r="Q15" s="903"/>
      <c r="R15" s="903"/>
      <c r="S15" s="903"/>
      <c r="T15" s="903"/>
      <c r="U15" s="461"/>
      <c r="V15" s="462"/>
      <c r="W15" s="462"/>
      <c r="X15" s="463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35" t="str">
        <f>IF(Eingabe_!$O$45=0,"-",Eingabe_!$O$45)</f>
        <v>S 03</v>
      </c>
      <c r="B16" s="735"/>
      <c r="C16" s="735"/>
      <c r="D16" s="735"/>
      <c r="E16" s="455" t="str">
        <f>IF(A16="-","-",Eingabe_!$B$7)</f>
        <v>OP 1</v>
      </c>
      <c r="F16" s="456"/>
      <c r="G16" s="456"/>
      <c r="H16" s="457"/>
      <c r="I16" s="455" t="str">
        <f>Eingabe_!$R$53</f>
        <v>Korridor</v>
      </c>
      <c r="J16" s="456"/>
      <c r="K16" s="456"/>
      <c r="L16" s="457"/>
      <c r="M16" s="789" t="s">
        <v>598</v>
      </c>
      <c r="N16" s="790"/>
      <c r="O16" s="790"/>
      <c r="P16" s="791"/>
      <c r="Q16" s="903" t="s">
        <v>89</v>
      </c>
      <c r="R16" s="903"/>
      <c r="S16" s="903"/>
      <c r="T16" s="903"/>
      <c r="U16" s="582" t="str">
        <f>IF(I16="-","-",Eingabe_!T45)</f>
        <v>Überdruck</v>
      </c>
      <c r="V16" s="583"/>
      <c r="W16" s="583"/>
      <c r="X16" s="719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35"/>
      <c r="B17" s="735"/>
      <c r="C17" s="735"/>
      <c r="D17" s="735"/>
      <c r="E17" s="726" t="str">
        <f>IFERROR(INDEX(Eingabe_!$AE$2:$AE$100,MATCH(E16,Eingabe_!$AD$2:$AD$100,0)),"-")</f>
        <v>RNr. 01.04.00.158</v>
      </c>
      <c r="F17" s="727"/>
      <c r="G17" s="727"/>
      <c r="H17" s="728"/>
      <c r="I17" s="726" t="str">
        <f>IFERROR(INDEX(Eingabe_!$AE$2:$AE$100,MATCH(I16,Eingabe_!$AD$2:$AD$100,0)),"-")</f>
        <v>RNr. 01.04.00.801</v>
      </c>
      <c r="J17" s="727"/>
      <c r="K17" s="727"/>
      <c r="L17" s="728"/>
      <c r="M17" s="792"/>
      <c r="N17" s="793"/>
      <c r="O17" s="793"/>
      <c r="P17" s="794"/>
      <c r="Q17" s="903"/>
      <c r="R17" s="903"/>
      <c r="S17" s="903"/>
      <c r="T17" s="903"/>
      <c r="U17" s="461"/>
      <c r="V17" s="462"/>
      <c r="W17" s="462"/>
      <c r="X17" s="463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35" t="str">
        <f>IF(Eingabe_!$O$46=0,"-",Eingabe_!$O$46)</f>
        <v>S 42</v>
      </c>
      <c r="B18" s="735"/>
      <c r="C18" s="735"/>
      <c r="D18" s="735"/>
      <c r="E18" s="455" t="str">
        <f>IF(A18="-","-",Eingabe_!$B$7)</f>
        <v>OP 1</v>
      </c>
      <c r="F18" s="456"/>
      <c r="G18" s="456"/>
      <c r="H18" s="457"/>
      <c r="I18" s="455" t="str">
        <f>Eingabe_!$R$54</f>
        <v>Ausguss</v>
      </c>
      <c r="J18" s="456"/>
      <c r="K18" s="456"/>
      <c r="L18" s="457"/>
      <c r="M18" s="789" t="s">
        <v>598</v>
      </c>
      <c r="N18" s="790"/>
      <c r="O18" s="790"/>
      <c r="P18" s="791"/>
      <c r="Q18" s="930" t="s">
        <v>89</v>
      </c>
      <c r="R18" s="931"/>
      <c r="S18" s="931"/>
      <c r="T18" s="932"/>
      <c r="U18" s="582" t="str">
        <f>IF(I18="-","-",Eingabe_!T46)</f>
        <v>Überdruck</v>
      </c>
      <c r="V18" s="583"/>
      <c r="W18" s="583"/>
      <c r="X18" s="719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35"/>
      <c r="B19" s="735"/>
      <c r="C19" s="735"/>
      <c r="D19" s="735"/>
      <c r="E19" s="726" t="str">
        <f>IFERROR(INDEX(Eingabe_!$AE$2:$AE$100,MATCH(E18,Eingabe_!$AD$2:$AD$100,0)),"-")</f>
        <v>RNr. 01.04.00.158</v>
      </c>
      <c r="F19" s="727"/>
      <c r="G19" s="727"/>
      <c r="H19" s="728"/>
      <c r="I19" s="726" t="str">
        <f>IFERROR(INDEX(Eingabe_!$AE$2:$AE$100,MATCH(I18,Eingabe_!$AD$2:$AD$100,0)),"-")</f>
        <v>RNr. 01.04.00.135</v>
      </c>
      <c r="J19" s="727"/>
      <c r="K19" s="727"/>
      <c r="L19" s="728"/>
      <c r="M19" s="792"/>
      <c r="N19" s="793"/>
      <c r="O19" s="793"/>
      <c r="P19" s="794"/>
      <c r="Q19" s="933"/>
      <c r="R19" s="934"/>
      <c r="S19" s="934"/>
      <c r="T19" s="935"/>
      <c r="U19" s="461"/>
      <c r="V19" s="462"/>
      <c r="W19" s="462"/>
      <c r="X19" s="463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266" t="s">
        <v>608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24" s="266" t="s">
        <v>333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2" t="s">
        <v>685</v>
      </c>
      <c r="F26" s="267" t="s">
        <v>686</v>
      </c>
      <c r="G26" s="267"/>
      <c r="H26" s="267"/>
      <c r="I26" s="267"/>
      <c r="J26" s="267"/>
      <c r="K26" s="267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R28" s="69" t="s">
        <v>164</v>
      </c>
      <c r="S28" s="230"/>
      <c r="U28" s="230"/>
      <c r="V28" s="230"/>
      <c r="W28" s="356" t="s">
        <v>699</v>
      </c>
      <c r="X28" s="26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R29" s="69" t="s">
        <v>165</v>
      </c>
      <c r="S29" s="230"/>
      <c r="U29" s="230"/>
      <c r="V29" s="230"/>
      <c r="W29" s="231"/>
      <c r="X29" s="248" t="s">
        <v>179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268"/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266" t="s">
        <v>226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47">
        <f>Eingabe_!B25</f>
        <v>0</v>
      </c>
      <c r="M32" s="268"/>
      <c r="N32" s="268"/>
      <c r="O32" s="268"/>
      <c r="P32" s="268"/>
      <c r="Q32" s="268"/>
      <c r="R32" s="268"/>
      <c r="S32" s="268"/>
      <c r="T32" s="2" t="s">
        <v>161</v>
      </c>
      <c r="U32" s="2" t="str">
        <f>Eingabe_!D25</f>
        <v>061 685 85 29</v>
      </c>
      <c r="V32" s="268"/>
      <c r="W32" s="268"/>
      <c r="X32" s="26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K33" s="268"/>
      <c r="S33" s="268"/>
      <c r="X33" s="268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268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X34" s="268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226" t="s">
        <v>162</v>
      </c>
      <c r="B35" s="309"/>
      <c r="C35" s="309"/>
      <c r="D35" s="228"/>
      <c r="E35" s="309"/>
      <c r="F35" s="309"/>
      <c r="G35" s="309"/>
      <c r="H35" s="309"/>
      <c r="I35" s="309"/>
      <c r="J35" s="226"/>
      <c r="K35" s="228"/>
      <c r="L35" s="268"/>
      <c r="N35" s="229" t="s">
        <v>158</v>
      </c>
      <c r="P35" s="2" t="s">
        <v>163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R5:W5"/>
    <mergeCell ref="A9:X10"/>
    <mergeCell ref="A14:D15"/>
    <mergeCell ref="M14:P15"/>
    <mergeCell ref="A11:D13"/>
    <mergeCell ref="E11:H13"/>
    <mergeCell ref="I11:L13"/>
    <mergeCell ref="M11:P12"/>
    <mergeCell ref="Q11:T13"/>
    <mergeCell ref="U11:X13"/>
    <mergeCell ref="M13:P13"/>
    <mergeCell ref="E14:H14"/>
    <mergeCell ref="Q14:T15"/>
    <mergeCell ref="U14:X15"/>
    <mergeCell ref="E15:H15"/>
    <mergeCell ref="I14:L14"/>
    <mergeCell ref="Q16:T17"/>
    <mergeCell ref="U16:X17"/>
    <mergeCell ref="E17:H17"/>
    <mergeCell ref="I15:L15"/>
    <mergeCell ref="M16:P17"/>
    <mergeCell ref="A18:D19"/>
    <mergeCell ref="M18:P19"/>
    <mergeCell ref="A16:D17"/>
    <mergeCell ref="E16:H16"/>
    <mergeCell ref="I16:L16"/>
    <mergeCell ref="I17:L17"/>
    <mergeCell ref="Q18:T19"/>
    <mergeCell ref="U18:X19"/>
    <mergeCell ref="E18:H18"/>
    <mergeCell ref="I18:L18"/>
    <mergeCell ref="E19:H19"/>
    <mergeCell ref="I19:L19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4" r:id="rId5" name="Check Box 4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6" name="Check Box 5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374BE4-BD8D-4CEA-AA52-FAB91C829449}">
          <x14:formula1>
            <xm:f>Eingabe_!$U$29:$U$32</xm:f>
          </x14:formula1>
          <xm:sqref>Q14:T19</xm:sqref>
        </x14:dataValidation>
        <x14:dataValidation type="list" allowBlank="1" showInputMessage="1" showErrorMessage="1" xr:uid="{D7729002-9D41-4036-996C-7FC4A1EE2475}">
          <x14:formula1>
            <xm:f>Eingabe_!$U$19:$U$24</xm:f>
          </x14:formula1>
          <xm:sqref>R7 U7</xm:sqref>
        </x14:dataValidation>
        <x14:dataValidation type="list" allowBlank="1" showInputMessage="1" showErrorMessage="1" xr:uid="{898F5B1C-5CB6-4389-A43A-665166D8E3A9}">
          <x14:formula1>
            <xm:f>Eingabe_!$BD$3:$BD$47</xm:f>
          </x14:formula1>
          <xm:sqref>R4:W4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C3A5-0185-4E3E-BDC4-3115B634AD12}">
  <sheetPr codeName="Tabelle36">
    <tabColor theme="9" tint="0.79998168889431442"/>
    <pageSetUpPr fitToPage="1"/>
  </sheetPr>
  <dimension ref="A1:BZ175"/>
  <sheetViews>
    <sheetView view="pageLayout" zoomScale="103" zoomScaleNormal="154" zoomScaleSheetLayoutView="127" zoomScalePageLayoutView="103" workbookViewId="0">
      <selection activeCell="P25" sqref="P25:X26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349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Seitenregister!X40</f>
        <v>34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152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44686</v>
      </c>
      <c r="S5" s="906"/>
      <c r="T5" s="906"/>
      <c r="U5" s="906"/>
      <c r="V5" s="906"/>
      <c r="W5" s="906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694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37" t="s">
        <v>350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807" t="s">
        <v>204</v>
      </c>
      <c r="B11" s="807"/>
      <c r="C11" s="807"/>
      <c r="D11" s="807"/>
      <c r="E11" s="486" t="s">
        <v>0</v>
      </c>
      <c r="F11" s="486"/>
      <c r="G11" s="509" t="s">
        <v>344</v>
      </c>
      <c r="H11" s="510"/>
      <c r="I11" s="510"/>
      <c r="J11" s="510"/>
      <c r="K11" s="510"/>
      <c r="L11" s="510"/>
      <c r="M11" s="510"/>
      <c r="N11" s="510"/>
      <c r="O11" s="510"/>
      <c r="P11" s="510"/>
      <c r="Q11" s="510"/>
      <c r="R11" s="510"/>
      <c r="S11" s="510"/>
      <c r="T11" s="510"/>
      <c r="U11" s="510"/>
      <c r="V11" s="510"/>
      <c r="W11" s="510"/>
      <c r="X11" s="5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807"/>
      <c r="B12" s="807"/>
      <c r="C12" s="807"/>
      <c r="D12" s="807"/>
      <c r="E12" s="486"/>
      <c r="F12" s="486"/>
      <c r="G12" s="545"/>
      <c r="H12" s="546"/>
      <c r="I12" s="546"/>
      <c r="J12" s="546"/>
      <c r="K12" s="546"/>
      <c r="L12" s="546"/>
      <c r="M12" s="546"/>
      <c r="N12" s="546"/>
      <c r="O12" s="546"/>
      <c r="P12" s="546"/>
      <c r="Q12" s="546"/>
      <c r="R12" s="546"/>
      <c r="S12" s="546"/>
      <c r="T12" s="546"/>
      <c r="U12" s="546"/>
      <c r="V12" s="546"/>
      <c r="W12" s="546"/>
      <c r="X12" s="547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807"/>
      <c r="B13" s="807"/>
      <c r="C13" s="807"/>
      <c r="D13" s="807"/>
      <c r="E13" s="936" t="s">
        <v>7</v>
      </c>
      <c r="F13" s="936"/>
      <c r="G13" s="509" t="s">
        <v>130</v>
      </c>
      <c r="H13" s="510"/>
      <c r="I13" s="510"/>
      <c r="J13" s="510"/>
      <c r="K13" s="510"/>
      <c r="L13" s="510"/>
      <c r="M13" s="510"/>
      <c r="N13" s="510"/>
      <c r="O13" s="511"/>
      <c r="P13" s="509" t="s">
        <v>131</v>
      </c>
      <c r="Q13" s="510"/>
      <c r="R13" s="510"/>
      <c r="S13" s="510"/>
      <c r="T13" s="510"/>
      <c r="U13" s="510"/>
      <c r="V13" s="510"/>
      <c r="W13" s="510"/>
      <c r="X13" s="511"/>
      <c r="Y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807"/>
      <c r="B14" s="807"/>
      <c r="C14" s="807"/>
      <c r="D14" s="807"/>
      <c r="E14" s="936"/>
      <c r="F14" s="936"/>
      <c r="G14" s="545" t="s">
        <v>83</v>
      </c>
      <c r="H14" s="546"/>
      <c r="I14" s="546"/>
      <c r="J14" s="546"/>
      <c r="K14" s="546"/>
      <c r="L14" s="546"/>
      <c r="M14" s="546"/>
      <c r="N14" s="546"/>
      <c r="O14" s="547"/>
      <c r="P14" s="545" t="s">
        <v>132</v>
      </c>
      <c r="Q14" s="546"/>
      <c r="R14" s="546"/>
      <c r="S14" s="546"/>
      <c r="T14" s="546"/>
      <c r="U14" s="546"/>
      <c r="V14" s="546"/>
      <c r="W14" s="546"/>
      <c r="X14" s="547"/>
      <c r="Y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494" t="str">
        <f>Eingabe_!$D$7</f>
        <v>OP 1   rooms/roomname</v>
      </c>
      <c r="B15" s="495"/>
      <c r="C15" s="495"/>
      <c r="D15" s="496"/>
      <c r="E15" s="486">
        <v>1</v>
      </c>
      <c r="F15" s="486"/>
      <c r="G15" s="937">
        <v>19.91</v>
      </c>
      <c r="H15" s="938">
        <v>40.5</v>
      </c>
      <c r="I15" s="938">
        <v>19.91</v>
      </c>
      <c r="J15" s="938">
        <v>40.5</v>
      </c>
      <c r="K15" s="938">
        <v>19.91</v>
      </c>
      <c r="L15" s="938">
        <v>40.5</v>
      </c>
      <c r="M15" s="938">
        <v>19.91</v>
      </c>
      <c r="N15" s="938">
        <v>40.5</v>
      </c>
      <c r="O15" s="939">
        <v>19.91</v>
      </c>
      <c r="P15" s="948">
        <v>40.5</v>
      </c>
      <c r="Q15" s="949">
        <v>19.91</v>
      </c>
      <c r="R15" s="949">
        <v>40.5</v>
      </c>
      <c r="S15" s="949">
        <v>19.91</v>
      </c>
      <c r="T15" s="949">
        <v>40.5</v>
      </c>
      <c r="U15" s="949">
        <v>19.91</v>
      </c>
      <c r="V15" s="949">
        <v>40.5</v>
      </c>
      <c r="W15" s="949">
        <v>19.91</v>
      </c>
      <c r="X15" s="950">
        <v>40.5</v>
      </c>
      <c r="Y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497"/>
      <c r="B16" s="498"/>
      <c r="C16" s="498"/>
      <c r="D16" s="499"/>
      <c r="E16" s="486"/>
      <c r="F16" s="486"/>
      <c r="G16" s="940">
        <v>19.72</v>
      </c>
      <c r="H16" s="941">
        <v>40.9</v>
      </c>
      <c r="I16" s="941">
        <v>19.72</v>
      </c>
      <c r="J16" s="941">
        <v>40.9</v>
      </c>
      <c r="K16" s="941">
        <v>19.72</v>
      </c>
      <c r="L16" s="941">
        <v>40.9</v>
      </c>
      <c r="M16" s="941">
        <v>19.72</v>
      </c>
      <c r="N16" s="941">
        <v>40.9</v>
      </c>
      <c r="O16" s="942">
        <v>19.72</v>
      </c>
      <c r="P16" s="951">
        <v>40.9</v>
      </c>
      <c r="Q16" s="952">
        <v>19.72</v>
      </c>
      <c r="R16" s="952">
        <v>40.9</v>
      </c>
      <c r="S16" s="952">
        <v>19.72</v>
      </c>
      <c r="T16" s="952">
        <v>40.9</v>
      </c>
      <c r="U16" s="952">
        <v>19.72</v>
      </c>
      <c r="V16" s="952">
        <v>40.9</v>
      </c>
      <c r="W16" s="952">
        <v>19.72</v>
      </c>
      <c r="X16" s="953">
        <v>40.9</v>
      </c>
      <c r="Y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497"/>
      <c r="B17" s="498"/>
      <c r="C17" s="498"/>
      <c r="D17" s="499"/>
      <c r="E17" s="486">
        <v>2</v>
      </c>
      <c r="F17" s="486"/>
      <c r="G17" s="937">
        <v>19.64</v>
      </c>
      <c r="H17" s="938">
        <v>41.1</v>
      </c>
      <c r="I17" s="938">
        <v>19.64</v>
      </c>
      <c r="J17" s="938">
        <v>41.1</v>
      </c>
      <c r="K17" s="938">
        <v>19.64</v>
      </c>
      <c r="L17" s="938">
        <v>41.1</v>
      </c>
      <c r="M17" s="938">
        <v>19.64</v>
      </c>
      <c r="N17" s="938">
        <v>41.1</v>
      </c>
      <c r="O17" s="939">
        <v>19.64</v>
      </c>
      <c r="P17" s="948">
        <v>41.1</v>
      </c>
      <c r="Q17" s="949">
        <v>19.64</v>
      </c>
      <c r="R17" s="949">
        <v>41.1</v>
      </c>
      <c r="S17" s="949">
        <v>19.64</v>
      </c>
      <c r="T17" s="949">
        <v>41.1</v>
      </c>
      <c r="U17" s="949">
        <v>19.64</v>
      </c>
      <c r="V17" s="949">
        <v>41.1</v>
      </c>
      <c r="W17" s="949">
        <v>19.64</v>
      </c>
      <c r="X17" s="950">
        <v>41.1</v>
      </c>
      <c r="Y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497"/>
      <c r="B18" s="498"/>
      <c r="C18" s="498"/>
      <c r="D18" s="499"/>
      <c r="E18" s="486"/>
      <c r="F18" s="486"/>
      <c r="G18" s="940">
        <v>19.64</v>
      </c>
      <c r="H18" s="941">
        <v>41.3</v>
      </c>
      <c r="I18" s="941">
        <v>19.64</v>
      </c>
      <c r="J18" s="941">
        <v>41.3</v>
      </c>
      <c r="K18" s="941">
        <v>19.64</v>
      </c>
      <c r="L18" s="941">
        <v>41.3</v>
      </c>
      <c r="M18" s="941">
        <v>19.64</v>
      </c>
      <c r="N18" s="941">
        <v>41.3</v>
      </c>
      <c r="O18" s="942">
        <v>19.64</v>
      </c>
      <c r="P18" s="951">
        <v>41.3</v>
      </c>
      <c r="Q18" s="952">
        <v>19.64</v>
      </c>
      <c r="R18" s="952">
        <v>41.3</v>
      </c>
      <c r="S18" s="952">
        <v>19.64</v>
      </c>
      <c r="T18" s="952">
        <v>41.3</v>
      </c>
      <c r="U18" s="952">
        <v>19.64</v>
      </c>
      <c r="V18" s="952">
        <v>41.3</v>
      </c>
      <c r="W18" s="952">
        <v>19.64</v>
      </c>
      <c r="X18" s="953">
        <v>41.3</v>
      </c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497"/>
      <c r="B19" s="498"/>
      <c r="C19" s="498"/>
      <c r="D19" s="499"/>
      <c r="E19" s="486">
        <v>3</v>
      </c>
      <c r="F19" s="486"/>
      <c r="G19" s="937">
        <v>19.63</v>
      </c>
      <c r="H19" s="938">
        <v>41.5</v>
      </c>
      <c r="I19" s="938">
        <v>19.63</v>
      </c>
      <c r="J19" s="938">
        <v>41.5</v>
      </c>
      <c r="K19" s="938">
        <v>19.63</v>
      </c>
      <c r="L19" s="938">
        <v>41.5</v>
      </c>
      <c r="M19" s="938">
        <v>19.63</v>
      </c>
      <c r="N19" s="938">
        <v>41.5</v>
      </c>
      <c r="O19" s="939">
        <v>19.63</v>
      </c>
      <c r="P19" s="948">
        <v>41.5</v>
      </c>
      <c r="Q19" s="949">
        <v>19.63</v>
      </c>
      <c r="R19" s="949">
        <v>41.5</v>
      </c>
      <c r="S19" s="949">
        <v>19.63</v>
      </c>
      <c r="T19" s="949">
        <v>41.5</v>
      </c>
      <c r="U19" s="949">
        <v>19.63</v>
      </c>
      <c r="V19" s="949">
        <v>41.5</v>
      </c>
      <c r="W19" s="949">
        <v>19.63</v>
      </c>
      <c r="X19" s="950">
        <v>41.5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497"/>
      <c r="B20" s="498"/>
      <c r="C20" s="498"/>
      <c r="D20" s="499"/>
      <c r="E20" s="486"/>
      <c r="F20" s="486"/>
      <c r="G20" s="940">
        <v>19.63</v>
      </c>
      <c r="H20" s="941">
        <v>41.6</v>
      </c>
      <c r="I20" s="941">
        <v>19.63</v>
      </c>
      <c r="J20" s="941">
        <v>41.6</v>
      </c>
      <c r="K20" s="941">
        <v>19.63</v>
      </c>
      <c r="L20" s="941">
        <v>41.6</v>
      </c>
      <c r="M20" s="941">
        <v>19.63</v>
      </c>
      <c r="N20" s="941">
        <v>41.6</v>
      </c>
      <c r="O20" s="942">
        <v>19.63</v>
      </c>
      <c r="P20" s="951">
        <v>41.6</v>
      </c>
      <c r="Q20" s="952">
        <v>19.63</v>
      </c>
      <c r="R20" s="952">
        <v>41.6</v>
      </c>
      <c r="S20" s="952">
        <v>19.63</v>
      </c>
      <c r="T20" s="952">
        <v>41.6</v>
      </c>
      <c r="U20" s="952">
        <v>19.63</v>
      </c>
      <c r="V20" s="952">
        <v>41.6</v>
      </c>
      <c r="W20" s="952">
        <v>19.63</v>
      </c>
      <c r="X20" s="953">
        <v>41.6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497"/>
      <c r="B21" s="498"/>
      <c r="C21" s="498"/>
      <c r="D21" s="499"/>
      <c r="E21" s="486">
        <v>4</v>
      </c>
      <c r="F21" s="486"/>
      <c r="G21" s="937">
        <v>19.63</v>
      </c>
      <c r="H21" s="938">
        <v>41.7</v>
      </c>
      <c r="I21" s="938">
        <v>19.63</v>
      </c>
      <c r="J21" s="938">
        <v>41.7</v>
      </c>
      <c r="K21" s="938">
        <v>19.63</v>
      </c>
      <c r="L21" s="938">
        <v>41.7</v>
      </c>
      <c r="M21" s="938">
        <v>19.63</v>
      </c>
      <c r="N21" s="938">
        <v>41.7</v>
      </c>
      <c r="O21" s="939">
        <v>19.63</v>
      </c>
      <c r="P21" s="948">
        <v>41.7</v>
      </c>
      <c r="Q21" s="949">
        <v>19.63</v>
      </c>
      <c r="R21" s="949">
        <v>41.7</v>
      </c>
      <c r="S21" s="949">
        <v>19.63</v>
      </c>
      <c r="T21" s="949">
        <v>41.7</v>
      </c>
      <c r="U21" s="949">
        <v>19.63</v>
      </c>
      <c r="V21" s="949">
        <v>41.7</v>
      </c>
      <c r="W21" s="949">
        <v>19.63</v>
      </c>
      <c r="X21" s="950">
        <v>41.7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497"/>
      <c r="B22" s="498"/>
      <c r="C22" s="498"/>
      <c r="D22" s="499"/>
      <c r="E22" s="486"/>
      <c r="F22" s="486"/>
      <c r="G22" s="940">
        <v>19.63</v>
      </c>
      <c r="H22" s="941">
        <v>41.9</v>
      </c>
      <c r="I22" s="941">
        <v>19.63</v>
      </c>
      <c r="J22" s="941">
        <v>41.9</v>
      </c>
      <c r="K22" s="941">
        <v>19.63</v>
      </c>
      <c r="L22" s="941">
        <v>41.9</v>
      </c>
      <c r="M22" s="941">
        <v>19.63</v>
      </c>
      <c r="N22" s="941">
        <v>41.9</v>
      </c>
      <c r="O22" s="942">
        <v>19.63</v>
      </c>
      <c r="P22" s="951">
        <v>41.9</v>
      </c>
      <c r="Q22" s="952">
        <v>19.63</v>
      </c>
      <c r="R22" s="952">
        <v>41.9</v>
      </c>
      <c r="S22" s="952">
        <v>19.63</v>
      </c>
      <c r="T22" s="952">
        <v>41.9</v>
      </c>
      <c r="U22" s="952">
        <v>19.63</v>
      </c>
      <c r="V22" s="952">
        <v>41.9</v>
      </c>
      <c r="W22" s="952">
        <v>19.63</v>
      </c>
      <c r="X22" s="953">
        <v>41.9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497"/>
      <c r="B23" s="498"/>
      <c r="C23" s="498"/>
      <c r="D23" s="499"/>
      <c r="E23" s="486">
        <v>5</v>
      </c>
      <c r="F23" s="486"/>
      <c r="G23" s="937">
        <v>19.64</v>
      </c>
      <c r="H23" s="938">
        <v>42</v>
      </c>
      <c r="I23" s="938">
        <v>19.64</v>
      </c>
      <c r="J23" s="938">
        <v>42</v>
      </c>
      <c r="K23" s="938">
        <v>19.64</v>
      </c>
      <c r="L23" s="938">
        <v>42</v>
      </c>
      <c r="M23" s="938">
        <v>19.64</v>
      </c>
      <c r="N23" s="938">
        <v>42</v>
      </c>
      <c r="O23" s="939">
        <v>19.64</v>
      </c>
      <c r="P23" s="948">
        <v>42</v>
      </c>
      <c r="Q23" s="949">
        <v>19.64</v>
      </c>
      <c r="R23" s="949">
        <v>42</v>
      </c>
      <c r="S23" s="949">
        <v>19.64</v>
      </c>
      <c r="T23" s="949">
        <v>42</v>
      </c>
      <c r="U23" s="949">
        <v>19.64</v>
      </c>
      <c r="V23" s="949">
        <v>42</v>
      </c>
      <c r="W23" s="949">
        <v>19.64</v>
      </c>
      <c r="X23" s="950">
        <v>42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497"/>
      <c r="B24" s="498"/>
      <c r="C24" s="498"/>
      <c r="D24" s="499"/>
      <c r="E24" s="486"/>
      <c r="F24" s="486"/>
      <c r="G24" s="940">
        <v>19.63</v>
      </c>
      <c r="H24" s="941">
        <v>42.1</v>
      </c>
      <c r="I24" s="941">
        <v>19.63</v>
      </c>
      <c r="J24" s="941">
        <v>42.1</v>
      </c>
      <c r="K24" s="941">
        <v>19.63</v>
      </c>
      <c r="L24" s="941">
        <v>42.1</v>
      </c>
      <c r="M24" s="941">
        <v>19.63</v>
      </c>
      <c r="N24" s="941">
        <v>42.1</v>
      </c>
      <c r="O24" s="942">
        <v>19.63</v>
      </c>
      <c r="P24" s="951">
        <v>42.1</v>
      </c>
      <c r="Q24" s="952">
        <v>19.63</v>
      </c>
      <c r="R24" s="952">
        <v>42.1</v>
      </c>
      <c r="S24" s="952">
        <v>19.63</v>
      </c>
      <c r="T24" s="952">
        <v>42.1</v>
      </c>
      <c r="U24" s="952">
        <v>19.63</v>
      </c>
      <c r="V24" s="952">
        <v>42.1</v>
      </c>
      <c r="W24" s="952">
        <v>19.63</v>
      </c>
      <c r="X24" s="953">
        <v>42.1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497"/>
      <c r="B25" s="498"/>
      <c r="C25" s="498"/>
      <c r="D25" s="499"/>
      <c r="E25" s="486">
        <v>6</v>
      </c>
      <c r="F25" s="486"/>
      <c r="G25" s="937">
        <v>19.91</v>
      </c>
      <c r="H25" s="938">
        <v>40.5</v>
      </c>
      <c r="I25" s="938">
        <v>19.91</v>
      </c>
      <c r="J25" s="938">
        <v>40.5</v>
      </c>
      <c r="K25" s="938">
        <v>19.91</v>
      </c>
      <c r="L25" s="938">
        <v>40.5</v>
      </c>
      <c r="M25" s="938">
        <v>19.91</v>
      </c>
      <c r="N25" s="938">
        <v>40.5</v>
      </c>
      <c r="O25" s="939">
        <v>19.91</v>
      </c>
      <c r="P25" s="948">
        <v>40.5</v>
      </c>
      <c r="Q25" s="949">
        <v>19.91</v>
      </c>
      <c r="R25" s="949">
        <v>40.5</v>
      </c>
      <c r="S25" s="949">
        <v>19.91</v>
      </c>
      <c r="T25" s="949">
        <v>40.5</v>
      </c>
      <c r="U25" s="949">
        <v>19.91</v>
      </c>
      <c r="V25" s="949">
        <v>40.5</v>
      </c>
      <c r="W25" s="949">
        <v>19.91</v>
      </c>
      <c r="X25" s="950">
        <v>40.5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497"/>
      <c r="B26" s="498"/>
      <c r="C26" s="498"/>
      <c r="D26" s="499"/>
      <c r="E26" s="486"/>
      <c r="F26" s="486"/>
      <c r="G26" s="940">
        <v>19.72</v>
      </c>
      <c r="H26" s="941">
        <v>40.9</v>
      </c>
      <c r="I26" s="941">
        <v>19.72</v>
      </c>
      <c r="J26" s="941">
        <v>40.9</v>
      </c>
      <c r="K26" s="941">
        <v>19.72</v>
      </c>
      <c r="L26" s="941">
        <v>40.9</v>
      </c>
      <c r="M26" s="941">
        <v>19.72</v>
      </c>
      <c r="N26" s="941">
        <v>40.9</v>
      </c>
      <c r="O26" s="942">
        <v>19.72</v>
      </c>
      <c r="P26" s="951">
        <v>40.9</v>
      </c>
      <c r="Q26" s="952">
        <v>19.72</v>
      </c>
      <c r="R26" s="952">
        <v>40.9</v>
      </c>
      <c r="S26" s="952">
        <v>19.72</v>
      </c>
      <c r="T26" s="952">
        <v>40.9</v>
      </c>
      <c r="U26" s="952">
        <v>19.72</v>
      </c>
      <c r="V26" s="952">
        <v>40.9</v>
      </c>
      <c r="W26" s="952">
        <v>19.72</v>
      </c>
      <c r="X26" s="953">
        <v>40.9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497"/>
      <c r="B27" s="498"/>
      <c r="C27" s="498"/>
      <c r="D27" s="499"/>
      <c r="E27" s="486">
        <v>7</v>
      </c>
      <c r="F27" s="486"/>
      <c r="G27" s="937">
        <v>19.64</v>
      </c>
      <c r="H27" s="938">
        <v>41.1</v>
      </c>
      <c r="I27" s="938">
        <v>19.64</v>
      </c>
      <c r="J27" s="938">
        <v>41.1</v>
      </c>
      <c r="K27" s="938">
        <v>19.64</v>
      </c>
      <c r="L27" s="938">
        <v>41.1</v>
      </c>
      <c r="M27" s="938">
        <v>19.64</v>
      </c>
      <c r="N27" s="938">
        <v>41.1</v>
      </c>
      <c r="O27" s="939">
        <v>19.64</v>
      </c>
      <c r="P27" s="948">
        <v>41.1</v>
      </c>
      <c r="Q27" s="949">
        <v>19.64</v>
      </c>
      <c r="R27" s="949">
        <v>41.1</v>
      </c>
      <c r="S27" s="949">
        <v>19.64</v>
      </c>
      <c r="T27" s="949">
        <v>41.1</v>
      </c>
      <c r="U27" s="949">
        <v>19.64</v>
      </c>
      <c r="V27" s="949">
        <v>41.1</v>
      </c>
      <c r="W27" s="949">
        <v>19.64</v>
      </c>
      <c r="X27" s="950">
        <v>41.1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497"/>
      <c r="B28" s="498"/>
      <c r="C28" s="498"/>
      <c r="D28" s="499"/>
      <c r="E28" s="486"/>
      <c r="F28" s="486"/>
      <c r="G28" s="940">
        <v>19.64</v>
      </c>
      <c r="H28" s="941">
        <v>41.3</v>
      </c>
      <c r="I28" s="941">
        <v>19.64</v>
      </c>
      <c r="J28" s="941">
        <v>41.3</v>
      </c>
      <c r="K28" s="941">
        <v>19.64</v>
      </c>
      <c r="L28" s="941">
        <v>41.3</v>
      </c>
      <c r="M28" s="941">
        <v>19.64</v>
      </c>
      <c r="N28" s="941">
        <v>41.3</v>
      </c>
      <c r="O28" s="942">
        <v>19.64</v>
      </c>
      <c r="P28" s="951">
        <v>41.3</v>
      </c>
      <c r="Q28" s="952">
        <v>19.64</v>
      </c>
      <c r="R28" s="952">
        <v>41.3</v>
      </c>
      <c r="S28" s="952">
        <v>19.64</v>
      </c>
      <c r="T28" s="952">
        <v>41.3</v>
      </c>
      <c r="U28" s="952">
        <v>19.64</v>
      </c>
      <c r="V28" s="952">
        <v>41.3</v>
      </c>
      <c r="W28" s="952">
        <v>19.64</v>
      </c>
      <c r="X28" s="953">
        <v>41.3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497"/>
      <c r="B29" s="498"/>
      <c r="C29" s="498"/>
      <c r="D29" s="499"/>
      <c r="E29" s="486">
        <v>8</v>
      </c>
      <c r="F29" s="486"/>
      <c r="G29" s="937">
        <v>19.63</v>
      </c>
      <c r="H29" s="938">
        <v>41.5</v>
      </c>
      <c r="I29" s="938">
        <v>19.63</v>
      </c>
      <c r="J29" s="938">
        <v>41.5</v>
      </c>
      <c r="K29" s="938">
        <v>19.63</v>
      </c>
      <c r="L29" s="938">
        <v>41.5</v>
      </c>
      <c r="M29" s="938">
        <v>19.63</v>
      </c>
      <c r="N29" s="938">
        <v>41.5</v>
      </c>
      <c r="O29" s="939">
        <v>19.63</v>
      </c>
      <c r="P29" s="948">
        <v>41.5</v>
      </c>
      <c r="Q29" s="949">
        <v>19.63</v>
      </c>
      <c r="R29" s="949">
        <v>41.5</v>
      </c>
      <c r="S29" s="949">
        <v>19.63</v>
      </c>
      <c r="T29" s="949">
        <v>41.5</v>
      </c>
      <c r="U29" s="949">
        <v>19.63</v>
      </c>
      <c r="V29" s="949">
        <v>41.5</v>
      </c>
      <c r="W29" s="949">
        <v>19.63</v>
      </c>
      <c r="X29" s="950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497"/>
      <c r="B30" s="498"/>
      <c r="C30" s="498"/>
      <c r="D30" s="499"/>
      <c r="E30" s="486"/>
      <c r="F30" s="486"/>
      <c r="G30" s="940">
        <v>19.63</v>
      </c>
      <c r="H30" s="941">
        <v>41.6</v>
      </c>
      <c r="I30" s="941">
        <v>19.63</v>
      </c>
      <c r="J30" s="941">
        <v>41.6</v>
      </c>
      <c r="K30" s="941">
        <v>19.63</v>
      </c>
      <c r="L30" s="941">
        <v>41.6</v>
      </c>
      <c r="M30" s="941">
        <v>19.63</v>
      </c>
      <c r="N30" s="941">
        <v>41.6</v>
      </c>
      <c r="O30" s="942">
        <v>19.63</v>
      </c>
      <c r="P30" s="951">
        <v>41.6</v>
      </c>
      <c r="Q30" s="952">
        <v>19.63</v>
      </c>
      <c r="R30" s="952">
        <v>41.6</v>
      </c>
      <c r="S30" s="952">
        <v>19.63</v>
      </c>
      <c r="T30" s="952">
        <v>41.6</v>
      </c>
      <c r="U30" s="952">
        <v>19.63</v>
      </c>
      <c r="V30" s="952">
        <v>41.6</v>
      </c>
      <c r="W30" s="952">
        <v>19.63</v>
      </c>
      <c r="X30" s="953">
        <v>41.6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497"/>
      <c r="B31" s="498"/>
      <c r="C31" s="498"/>
      <c r="D31" s="499"/>
      <c r="E31" s="486">
        <v>9</v>
      </c>
      <c r="F31" s="486"/>
      <c r="G31" s="937">
        <v>19.63</v>
      </c>
      <c r="H31" s="938">
        <v>41.7</v>
      </c>
      <c r="I31" s="938">
        <v>19.63</v>
      </c>
      <c r="J31" s="938">
        <v>41.7</v>
      </c>
      <c r="K31" s="938">
        <v>19.63</v>
      </c>
      <c r="L31" s="938">
        <v>41.7</v>
      </c>
      <c r="M31" s="938">
        <v>19.63</v>
      </c>
      <c r="N31" s="938">
        <v>41.7</v>
      </c>
      <c r="O31" s="939">
        <v>19.63</v>
      </c>
      <c r="P31" s="948">
        <v>41.7</v>
      </c>
      <c r="Q31" s="949">
        <v>19.63</v>
      </c>
      <c r="R31" s="949">
        <v>41.7</v>
      </c>
      <c r="S31" s="949">
        <v>19.63</v>
      </c>
      <c r="T31" s="949">
        <v>41.7</v>
      </c>
      <c r="U31" s="949">
        <v>19.63</v>
      </c>
      <c r="V31" s="949">
        <v>41.7</v>
      </c>
      <c r="W31" s="949">
        <v>19.63</v>
      </c>
      <c r="X31" s="950">
        <v>41.7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497"/>
      <c r="B32" s="498"/>
      <c r="C32" s="498"/>
      <c r="D32" s="499"/>
      <c r="E32" s="486"/>
      <c r="F32" s="486"/>
      <c r="G32" s="940">
        <v>19.63</v>
      </c>
      <c r="H32" s="941">
        <v>41.9</v>
      </c>
      <c r="I32" s="941">
        <v>19.63</v>
      </c>
      <c r="J32" s="941">
        <v>41.9</v>
      </c>
      <c r="K32" s="941">
        <v>19.63</v>
      </c>
      <c r="L32" s="941">
        <v>41.9</v>
      </c>
      <c r="M32" s="941">
        <v>19.63</v>
      </c>
      <c r="N32" s="941">
        <v>41.9</v>
      </c>
      <c r="O32" s="942">
        <v>19.63</v>
      </c>
      <c r="P32" s="951">
        <v>41.9</v>
      </c>
      <c r="Q32" s="952">
        <v>19.63</v>
      </c>
      <c r="R32" s="952">
        <v>41.9</v>
      </c>
      <c r="S32" s="952">
        <v>19.63</v>
      </c>
      <c r="T32" s="952">
        <v>41.9</v>
      </c>
      <c r="U32" s="952">
        <v>19.63</v>
      </c>
      <c r="V32" s="952">
        <v>41.9</v>
      </c>
      <c r="W32" s="952">
        <v>19.63</v>
      </c>
      <c r="X32" s="953">
        <v>41.9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497"/>
      <c r="B33" s="498"/>
      <c r="C33" s="498"/>
      <c r="D33" s="499"/>
      <c r="E33" s="486">
        <v>10</v>
      </c>
      <c r="F33" s="486"/>
      <c r="G33" s="937">
        <v>19.64</v>
      </c>
      <c r="H33" s="938">
        <v>42</v>
      </c>
      <c r="I33" s="938">
        <v>19.64</v>
      </c>
      <c r="J33" s="938">
        <v>42</v>
      </c>
      <c r="K33" s="938">
        <v>19.64</v>
      </c>
      <c r="L33" s="938">
        <v>42</v>
      </c>
      <c r="M33" s="938">
        <v>19.64</v>
      </c>
      <c r="N33" s="938">
        <v>42</v>
      </c>
      <c r="O33" s="939">
        <v>19.64</v>
      </c>
      <c r="P33" s="948">
        <v>42</v>
      </c>
      <c r="Q33" s="949">
        <v>19.64</v>
      </c>
      <c r="R33" s="949">
        <v>42</v>
      </c>
      <c r="S33" s="949">
        <v>19.64</v>
      </c>
      <c r="T33" s="949">
        <v>42</v>
      </c>
      <c r="U33" s="949">
        <v>19.64</v>
      </c>
      <c r="V33" s="949">
        <v>42</v>
      </c>
      <c r="W33" s="949">
        <v>19.64</v>
      </c>
      <c r="X33" s="950">
        <v>42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497"/>
      <c r="B34" s="498"/>
      <c r="C34" s="498"/>
      <c r="D34" s="499"/>
      <c r="E34" s="486"/>
      <c r="F34" s="486"/>
      <c r="G34" s="940">
        <v>19.63</v>
      </c>
      <c r="H34" s="941">
        <v>42.1</v>
      </c>
      <c r="I34" s="941">
        <v>19.63</v>
      </c>
      <c r="J34" s="941">
        <v>42.1</v>
      </c>
      <c r="K34" s="941">
        <v>19.63</v>
      </c>
      <c r="L34" s="941">
        <v>42.1</v>
      </c>
      <c r="M34" s="941">
        <v>19.63</v>
      </c>
      <c r="N34" s="941">
        <v>42.1</v>
      </c>
      <c r="O34" s="942">
        <v>19.63</v>
      </c>
      <c r="P34" s="951">
        <v>42.1</v>
      </c>
      <c r="Q34" s="952">
        <v>19.63</v>
      </c>
      <c r="R34" s="952">
        <v>42.1</v>
      </c>
      <c r="S34" s="952">
        <v>19.63</v>
      </c>
      <c r="T34" s="952">
        <v>42.1</v>
      </c>
      <c r="U34" s="952">
        <v>19.63</v>
      </c>
      <c r="V34" s="952">
        <v>42.1</v>
      </c>
      <c r="W34" s="952">
        <v>19.63</v>
      </c>
      <c r="X34" s="953">
        <v>42.1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497"/>
      <c r="B35" s="498"/>
      <c r="C35" s="498"/>
      <c r="D35" s="499"/>
      <c r="E35" s="486" t="s">
        <v>81</v>
      </c>
      <c r="F35" s="486"/>
      <c r="G35" s="795">
        <f>IFERROR((AVERAGE(G15:G34)),"")</f>
        <v>19.669999999999995</v>
      </c>
      <c r="H35" s="796"/>
      <c r="I35" s="796"/>
      <c r="J35" s="796"/>
      <c r="K35" s="796"/>
      <c r="L35" s="796"/>
      <c r="M35" s="796"/>
      <c r="N35" s="796"/>
      <c r="O35" s="797"/>
      <c r="P35" s="789">
        <f>IFERROR((AVERAGE(P15:P34)),"")</f>
        <v>41.46</v>
      </c>
      <c r="Q35" s="790"/>
      <c r="R35" s="790"/>
      <c r="S35" s="790"/>
      <c r="T35" s="790"/>
      <c r="U35" s="790"/>
      <c r="V35" s="790"/>
      <c r="W35" s="790"/>
      <c r="X35" s="791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500"/>
      <c r="B36" s="501"/>
      <c r="C36" s="501"/>
      <c r="D36" s="502"/>
      <c r="E36" s="486"/>
      <c r="F36" s="486"/>
      <c r="G36" s="798"/>
      <c r="H36" s="799"/>
      <c r="I36" s="799"/>
      <c r="J36" s="799"/>
      <c r="K36" s="799"/>
      <c r="L36" s="799"/>
      <c r="M36" s="799"/>
      <c r="N36" s="799"/>
      <c r="O36" s="800"/>
      <c r="P36" s="792"/>
      <c r="Q36" s="793"/>
      <c r="R36" s="793"/>
      <c r="S36" s="793"/>
      <c r="T36" s="793"/>
      <c r="U36" s="793"/>
      <c r="V36" s="793"/>
      <c r="W36" s="793"/>
      <c r="X36" s="794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305"/>
      <c r="B37" s="305"/>
      <c r="C37" s="305"/>
      <c r="D37" s="305"/>
      <c r="E37" s="308"/>
      <c r="F37" s="308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306"/>
      <c r="B38" s="306"/>
      <c r="C38" s="306"/>
      <c r="D38" s="306"/>
      <c r="E38" s="307"/>
      <c r="F38" s="307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39" s="672" t="s">
        <v>82</v>
      </c>
      <c r="B39" s="673"/>
      <c r="C39" s="673"/>
      <c r="D39" s="673"/>
      <c r="E39" s="473" t="str">
        <f>Eingabe_!$B$7</f>
        <v>OP 1</v>
      </c>
      <c r="F39" s="473"/>
      <c r="G39" s="673" t="s">
        <v>347</v>
      </c>
      <c r="H39" s="673"/>
      <c r="I39" s="673"/>
      <c r="J39" s="673"/>
      <c r="K39" s="673"/>
      <c r="L39" s="673"/>
      <c r="M39" s="673"/>
      <c r="N39" s="673"/>
      <c r="O39" s="673"/>
      <c r="P39" s="140"/>
      <c r="Q39" s="140"/>
      <c r="R39" s="140"/>
      <c r="S39" s="140"/>
      <c r="T39" s="140"/>
      <c r="U39" s="945">
        <f>G35</f>
        <v>19.669999999999995</v>
      </c>
      <c r="V39" s="945"/>
      <c r="W39" s="945"/>
      <c r="X39" s="781" t="s">
        <v>83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674"/>
      <c r="B40" s="675"/>
      <c r="C40" s="675"/>
      <c r="D40" s="675"/>
      <c r="E40" s="506"/>
      <c r="F40" s="506"/>
      <c r="G40" s="675"/>
      <c r="H40" s="675"/>
      <c r="I40" s="675"/>
      <c r="J40" s="675"/>
      <c r="K40" s="675"/>
      <c r="L40" s="675"/>
      <c r="M40" s="675"/>
      <c r="N40" s="675"/>
      <c r="O40" s="675"/>
      <c r="P40" s="141"/>
      <c r="Q40" s="141"/>
      <c r="R40" s="141"/>
      <c r="S40" s="141"/>
      <c r="T40" s="141"/>
      <c r="U40" s="946"/>
      <c r="V40" s="946"/>
      <c r="W40" s="946"/>
      <c r="X40" s="782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69" t="s">
        <v>197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42"/>
      <c r="U41" s="947" t="s">
        <v>196</v>
      </c>
      <c r="V41" s="947"/>
      <c r="W41" s="947"/>
      <c r="X41" s="947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65"/>
      <c r="T42" s="265"/>
      <c r="U42" s="265"/>
      <c r="V42" s="265"/>
      <c r="W42" s="265"/>
      <c r="X42" s="26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6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265"/>
      <c r="U43" s="265"/>
      <c r="V43" s="265"/>
      <c r="W43" s="265"/>
      <c r="X43" s="26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 s="672" t="s">
        <v>82</v>
      </c>
      <c r="B44" s="673"/>
      <c r="C44" s="673"/>
      <c r="D44" s="673"/>
      <c r="E44" s="473" t="str">
        <f>Eingabe_!$B$7</f>
        <v>OP 1</v>
      </c>
      <c r="F44" s="473"/>
      <c r="G44" s="673" t="s">
        <v>348</v>
      </c>
      <c r="H44" s="673"/>
      <c r="I44" s="673"/>
      <c r="J44" s="673"/>
      <c r="K44" s="673"/>
      <c r="L44" s="673"/>
      <c r="M44" s="673"/>
      <c r="N44" s="673"/>
      <c r="O44" s="673"/>
      <c r="P44" s="140"/>
      <c r="Q44" s="140"/>
      <c r="R44" s="140"/>
      <c r="S44" s="140"/>
      <c r="T44" s="140"/>
      <c r="U44" s="943">
        <f>P35</f>
        <v>41.46</v>
      </c>
      <c r="V44" s="943"/>
      <c r="W44" s="943"/>
      <c r="X44" s="781" t="s">
        <v>198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 s="674"/>
      <c r="B45" s="675"/>
      <c r="C45" s="675"/>
      <c r="D45" s="675"/>
      <c r="E45" s="506"/>
      <c r="F45" s="506"/>
      <c r="G45" s="675"/>
      <c r="H45" s="675"/>
      <c r="I45" s="675"/>
      <c r="J45" s="675"/>
      <c r="K45" s="675"/>
      <c r="L45" s="675"/>
      <c r="M45" s="675"/>
      <c r="N45" s="675"/>
      <c r="O45" s="675"/>
      <c r="P45" s="141"/>
      <c r="Q45" s="141"/>
      <c r="R45" s="141"/>
      <c r="S45" s="141"/>
      <c r="T45" s="141"/>
      <c r="U45" s="944"/>
      <c r="V45" s="944"/>
      <c r="W45" s="944"/>
      <c r="X45" s="782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 t="s">
        <v>199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772" t="s">
        <v>362</v>
      </c>
      <c r="T46" s="772"/>
      <c r="U46" s="772"/>
      <c r="V46" s="772"/>
      <c r="W46" s="772"/>
      <c r="X46" s="772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137" t="s">
        <v>325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 s="4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265"/>
      <c r="U50" s="265"/>
      <c r="V50" s="265"/>
      <c r="W50" s="265"/>
      <c r="X50" s="265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customFormat="1" ht="12" customHeight="1"/>
    <row r="52" spans="1:78" customFormat="1" ht="12" customHeight="1"/>
    <row r="53" spans="1:78" ht="12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69" t="s">
        <v>164</v>
      </c>
      <c r="S53" s="230"/>
      <c r="U53" s="230"/>
      <c r="V53" s="230"/>
      <c r="W53" s="356"/>
      <c r="X53" s="1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 s="6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165</v>
      </c>
      <c r="S54" s="230"/>
      <c r="U54" s="230"/>
      <c r="V54" s="230"/>
      <c r="W54" s="231"/>
      <c r="X54" s="248" t="s">
        <v>179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56" s="266" t="s">
        <v>226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7">
        <f>Eingabe_!$B$25</f>
        <v>0</v>
      </c>
      <c r="M56" s="10"/>
      <c r="N56" s="10"/>
      <c r="O56" s="10"/>
      <c r="P56" s="10"/>
      <c r="Q56" s="10"/>
      <c r="R56" s="10"/>
      <c r="S56" s="10"/>
      <c r="T56" s="2" t="s">
        <v>161</v>
      </c>
      <c r="U56" s="1" t="str">
        <f>Eingabe_!$D$25</f>
        <v>061 685 85 29</v>
      </c>
      <c r="V56" s="10"/>
      <c r="W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/>
  </sheetData>
  <mergeCells count="56">
    <mergeCell ref="P25:X26"/>
    <mergeCell ref="P27:X28"/>
    <mergeCell ref="P29:X30"/>
    <mergeCell ref="P31:X32"/>
    <mergeCell ref="P33:X34"/>
    <mergeCell ref="P15:X16"/>
    <mergeCell ref="P17:X18"/>
    <mergeCell ref="P19:X20"/>
    <mergeCell ref="P21:X22"/>
    <mergeCell ref="P23:X24"/>
    <mergeCell ref="G35:O36"/>
    <mergeCell ref="P35:X36"/>
    <mergeCell ref="G29:O30"/>
    <mergeCell ref="G31:O32"/>
    <mergeCell ref="G33:O34"/>
    <mergeCell ref="A39:D40"/>
    <mergeCell ref="E39:F40"/>
    <mergeCell ref="G39:O40"/>
    <mergeCell ref="X39:X40"/>
    <mergeCell ref="A44:D45"/>
    <mergeCell ref="E44:F45"/>
    <mergeCell ref="G44:O45"/>
    <mergeCell ref="X44:X45"/>
    <mergeCell ref="U39:W40"/>
    <mergeCell ref="U41:X41"/>
    <mergeCell ref="S46:X46"/>
    <mergeCell ref="U44:W45"/>
    <mergeCell ref="E35:F36"/>
    <mergeCell ref="A15:D36"/>
    <mergeCell ref="E33:F34"/>
    <mergeCell ref="E31:F32"/>
    <mergeCell ref="E29:F30"/>
    <mergeCell ref="E27:F28"/>
    <mergeCell ref="E25:F26"/>
    <mergeCell ref="G25:O26"/>
    <mergeCell ref="G27:O28"/>
    <mergeCell ref="E23:F24"/>
    <mergeCell ref="E21:F22"/>
    <mergeCell ref="G21:O22"/>
    <mergeCell ref="G23:O24"/>
    <mergeCell ref="E17:F18"/>
    <mergeCell ref="E15:F16"/>
    <mergeCell ref="E19:F20"/>
    <mergeCell ref="G15:O16"/>
    <mergeCell ref="G17:O18"/>
    <mergeCell ref="G19:O20"/>
    <mergeCell ref="R5:W5"/>
    <mergeCell ref="A9:X10"/>
    <mergeCell ref="A11:D14"/>
    <mergeCell ref="E11:F12"/>
    <mergeCell ref="E13:F14"/>
    <mergeCell ref="G11:X12"/>
    <mergeCell ref="P13:X13"/>
    <mergeCell ref="P14:X14"/>
    <mergeCell ref="G13:O13"/>
    <mergeCell ref="G14:O1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CDD719-07B3-49C2-91BB-D59CCBA7A545}">
          <x14:formula1>
            <xm:f>Eingabe_!$BD$3:$BD$47</xm:f>
          </x14:formula1>
          <xm:sqref>R4:W4</xm:sqref>
        </x14:dataValidation>
        <x14:dataValidation type="list" allowBlank="1" showInputMessage="1" showErrorMessage="1" xr:uid="{0CD59C9B-51F8-4AC1-8281-B47A93C64321}">
          <x14:formula1>
            <xm:f>Eingabe_!$U$19:$U$24</xm:f>
          </x14:formula1>
          <xm:sqref>R7 U7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464-8715-466B-9F01-AA161EBF5B32}">
  <sheetPr codeName="Tabelle36">
    <tabColor theme="9" tint="0.79998168889431442"/>
    <pageSetUpPr fitToPage="1"/>
  </sheetPr>
  <dimension ref="A1:BZ176"/>
  <sheetViews>
    <sheetView view="pageLayout" topLeftCell="A10" zoomScale="103" zoomScaleNormal="154" zoomScaleSheetLayoutView="127" zoomScalePageLayoutView="103" workbookViewId="0">
      <selection activeCell="Y28" sqref="Y2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595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Seitenregister!X41</f>
        <v>35</v>
      </c>
      <c r="W1" s="8" t="s">
        <v>10</v>
      </c>
      <c r="X1" s="9">
        <f>Seitenregister!X1</f>
        <v>36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171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44688</v>
      </c>
      <c r="S5" s="906"/>
      <c r="T5" s="906"/>
      <c r="U5" s="906"/>
      <c r="V5" s="906"/>
      <c r="W5" s="906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37" t="s">
        <v>596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35" t="s">
        <v>108</v>
      </c>
      <c r="B11" s="735"/>
      <c r="C11" s="735"/>
      <c r="D11" s="735"/>
      <c r="E11" s="966" t="s">
        <v>606</v>
      </c>
      <c r="F11" s="967"/>
      <c r="G11" s="967"/>
      <c r="H11" s="967"/>
      <c r="I11" s="967"/>
      <c r="J11" s="967"/>
      <c r="K11" s="967"/>
      <c r="L11" s="967"/>
      <c r="M11" s="967"/>
      <c r="N11" s="967"/>
      <c r="O11" s="967"/>
      <c r="P11" s="967"/>
      <c r="Q11" s="967"/>
      <c r="R11" s="967"/>
      <c r="S11" s="967"/>
      <c r="T11" s="968"/>
      <c r="U11" s="966" t="s">
        <v>205</v>
      </c>
      <c r="V11" s="967"/>
      <c r="W11" s="967"/>
      <c r="X11" s="968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35"/>
      <c r="B12" s="735"/>
      <c r="C12" s="735"/>
      <c r="D12" s="735"/>
      <c r="E12" s="969"/>
      <c r="F12" s="970"/>
      <c r="G12" s="970"/>
      <c r="H12" s="970"/>
      <c r="I12" s="970"/>
      <c r="J12" s="970"/>
      <c r="K12" s="970"/>
      <c r="L12" s="970"/>
      <c r="M12" s="970"/>
      <c r="N12" s="970"/>
      <c r="O12" s="970"/>
      <c r="P12" s="970"/>
      <c r="Q12" s="970"/>
      <c r="R12" s="970"/>
      <c r="S12" s="970"/>
      <c r="T12" s="971"/>
      <c r="U12" s="969"/>
      <c r="V12" s="970"/>
      <c r="W12" s="970"/>
      <c r="X12" s="971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35"/>
      <c r="B13" s="735"/>
      <c r="C13" s="735"/>
      <c r="D13" s="735"/>
      <c r="E13" s="972"/>
      <c r="F13" s="973"/>
      <c r="G13" s="973"/>
      <c r="H13" s="973"/>
      <c r="I13" s="973"/>
      <c r="J13" s="973"/>
      <c r="K13" s="973"/>
      <c r="L13" s="973"/>
      <c r="M13" s="973"/>
      <c r="N13" s="973"/>
      <c r="O13" s="973"/>
      <c r="P13" s="973"/>
      <c r="Q13" s="973"/>
      <c r="R13" s="973"/>
      <c r="S13" s="973"/>
      <c r="T13" s="974"/>
      <c r="U13" s="972"/>
      <c r="V13" s="973"/>
      <c r="W13" s="973"/>
      <c r="X13" s="974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2" customHeight="1">
      <c r="A14" s="817" t="s">
        <v>133</v>
      </c>
      <c r="B14" s="818"/>
      <c r="C14" s="818"/>
      <c r="D14" s="819"/>
      <c r="E14" s="960">
        <v>46.8</v>
      </c>
      <c r="F14" s="961"/>
      <c r="G14" s="961"/>
      <c r="H14" s="961"/>
      <c r="I14" s="961"/>
      <c r="J14" s="961"/>
      <c r="K14" s="961"/>
      <c r="L14" s="961"/>
      <c r="M14" s="961"/>
      <c r="N14" s="961"/>
      <c r="O14" s="961"/>
      <c r="P14" s="961"/>
      <c r="Q14" s="961"/>
      <c r="R14" s="961"/>
      <c r="S14" s="961"/>
      <c r="T14" s="962"/>
      <c r="U14" s="963">
        <v>48</v>
      </c>
      <c r="V14" s="964"/>
      <c r="W14" s="964"/>
      <c r="X14" s="965"/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954"/>
      <c r="B15" s="955"/>
      <c r="C15" s="955"/>
      <c r="D15" s="956"/>
      <c r="E15" s="954"/>
      <c r="F15" s="955"/>
      <c r="G15" s="955"/>
      <c r="H15" s="955"/>
      <c r="I15" s="955"/>
      <c r="J15" s="955"/>
      <c r="K15" s="955"/>
      <c r="L15" s="955"/>
      <c r="M15" s="955"/>
      <c r="N15" s="955"/>
      <c r="O15" s="955"/>
      <c r="P15" s="955"/>
      <c r="Q15" s="955"/>
      <c r="R15" s="955"/>
      <c r="S15" s="955"/>
      <c r="T15" s="956"/>
      <c r="U15" s="954"/>
      <c r="V15" s="955"/>
      <c r="W15" s="955"/>
      <c r="X15" s="956"/>
      <c r="Y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957"/>
      <c r="B16" s="958"/>
      <c r="C16" s="958"/>
      <c r="D16" s="959"/>
      <c r="E16" s="957"/>
      <c r="F16" s="958"/>
      <c r="G16" s="958"/>
      <c r="H16" s="958"/>
      <c r="I16" s="958"/>
      <c r="J16" s="958"/>
      <c r="K16" s="958"/>
      <c r="L16" s="958"/>
      <c r="M16" s="958"/>
      <c r="N16" s="958"/>
      <c r="O16" s="958"/>
      <c r="P16" s="958"/>
      <c r="Q16" s="958"/>
      <c r="R16" s="958"/>
      <c r="S16" s="958"/>
      <c r="T16" s="959"/>
      <c r="U16" s="957"/>
      <c r="V16" s="958"/>
      <c r="W16" s="958"/>
      <c r="X16" s="959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40" t="s">
        <v>607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78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48" s="69"/>
      <c r="B48" s="4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265"/>
      <c r="U48" s="265"/>
      <c r="V48" s="265"/>
      <c r="W48" s="265"/>
      <c r="X48" s="26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164</v>
      </c>
      <c r="S54" s="230"/>
      <c r="U54" s="230"/>
      <c r="V54" s="230"/>
      <c r="W54" s="356" t="s">
        <v>699</v>
      </c>
      <c r="X54" s="26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69" t="s">
        <v>165</v>
      </c>
      <c r="S55" s="230"/>
      <c r="U55" s="230"/>
      <c r="V55" s="230"/>
      <c r="W55" s="231"/>
      <c r="X55" s="248" t="s">
        <v>179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A56" s="6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6" t="s">
        <v>226</v>
      </c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47">
        <f>Eingabe_!B25</f>
        <v>0</v>
      </c>
      <c r="M57" s="268"/>
      <c r="N57" s="268"/>
      <c r="O57" s="268"/>
      <c r="P57" s="268"/>
      <c r="Q57" s="268"/>
      <c r="R57" s="268"/>
      <c r="S57" s="268"/>
      <c r="T57" s="2" t="s">
        <v>161</v>
      </c>
      <c r="U57" s="1" t="str">
        <f>Eingabe_!D25</f>
        <v>061 685 85 29</v>
      </c>
      <c r="V57" s="268"/>
      <c r="W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X58" s="26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59" s="226" t="s">
        <v>162</v>
      </c>
      <c r="B59" s="309"/>
      <c r="C59" s="309"/>
      <c r="D59" s="228"/>
      <c r="E59" s="309"/>
      <c r="F59" s="309"/>
      <c r="G59" s="309"/>
      <c r="H59" s="309"/>
      <c r="I59" s="309"/>
      <c r="J59" s="226"/>
      <c r="K59" s="228"/>
      <c r="L59" s="268"/>
      <c r="N59" s="229" t="s">
        <v>158</v>
      </c>
      <c r="P59" s="2" t="s">
        <v>163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59" ht="6" customHeight="1"/>
  </sheetData>
  <mergeCells count="8">
    <mergeCell ref="A14:D16"/>
    <mergeCell ref="E14:T16"/>
    <mergeCell ref="U14:X16"/>
    <mergeCell ref="R5:W5"/>
    <mergeCell ref="A9:X10"/>
    <mergeCell ref="A11:D13"/>
    <mergeCell ref="E11:T13"/>
    <mergeCell ref="U11:X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9025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6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7" r:id="rId7" name="Check Box 3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108857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8" r:id="rId8" name="Check Box 4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228600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3579F-5355-4BF9-85D3-7229585E844B}">
          <x14:formula1>
            <xm:f>Eingabe_!$U$19:$U$24</xm:f>
          </x14:formula1>
          <xm:sqref>R7 U7</xm:sqref>
        </x14:dataValidation>
        <x14:dataValidation type="list" allowBlank="1" showInputMessage="1" showErrorMessage="1" xr:uid="{C3D42F53-35FC-4509-B95B-F3F3A3BF8D71}">
          <x14:formula1>
            <xm:f>Eingabe_!$BD$3:$BD$47</xm:f>
          </x14:formula1>
          <xm:sqref>R4:W4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A6FB-33E3-45D8-93BC-16A80DAAB13C}">
  <sheetPr>
    <tabColor theme="9" tint="0.79998168889431442"/>
    <pageSetUpPr fitToPage="1"/>
  </sheetPr>
  <dimension ref="A1:BZ163"/>
  <sheetViews>
    <sheetView view="pageLayout" topLeftCell="A13" zoomScale="103" zoomScaleNormal="93" zoomScaleSheetLayoutView="99" zoomScalePageLayoutView="103" workbookViewId="0">
      <selection activeCell="O48" sqref="O4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687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Seitenregister!X42</f>
        <v>36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06">
        <v>44688</v>
      </c>
      <c r="S5" s="906"/>
      <c r="T5" s="906"/>
      <c r="U5" s="906"/>
      <c r="V5" s="906"/>
      <c r="W5" s="906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627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37" t="s">
        <v>609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34" t="s">
        <v>108</v>
      </c>
      <c r="B11" s="734"/>
      <c r="C11" s="734"/>
      <c r="D11" s="734"/>
      <c r="E11" s="593" t="s">
        <v>109</v>
      </c>
      <c r="F11" s="593"/>
      <c r="G11" s="593"/>
      <c r="H11" s="593"/>
      <c r="I11" s="593" t="s">
        <v>187</v>
      </c>
      <c r="J11" s="593"/>
      <c r="K11" s="593"/>
      <c r="L11" s="593"/>
      <c r="M11" s="729" t="s">
        <v>112</v>
      </c>
      <c r="N11" s="729"/>
      <c r="O11" s="729"/>
      <c r="P11" s="729"/>
      <c r="Q11" s="455" t="s">
        <v>225</v>
      </c>
      <c r="R11" s="456"/>
      <c r="S11" s="456"/>
      <c r="T11" s="457"/>
      <c r="U11" s="455" t="s">
        <v>214</v>
      </c>
      <c r="V11" s="456"/>
      <c r="W11" s="456"/>
      <c r="X11" s="457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35"/>
      <c r="B12" s="735"/>
      <c r="C12" s="735"/>
      <c r="D12" s="735"/>
      <c r="E12" s="486"/>
      <c r="F12" s="486"/>
      <c r="G12" s="486"/>
      <c r="H12" s="486"/>
      <c r="I12" s="486"/>
      <c r="J12" s="486"/>
      <c r="K12" s="486"/>
      <c r="L12" s="486"/>
      <c r="M12" s="729"/>
      <c r="N12" s="729"/>
      <c r="O12" s="729"/>
      <c r="P12" s="729"/>
      <c r="Q12" s="458"/>
      <c r="R12" s="459"/>
      <c r="S12" s="459"/>
      <c r="T12" s="460"/>
      <c r="U12" s="458"/>
      <c r="V12" s="459"/>
      <c r="W12" s="459"/>
      <c r="X12" s="460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35"/>
      <c r="B13" s="735"/>
      <c r="C13" s="735"/>
      <c r="D13" s="735"/>
      <c r="E13" s="486"/>
      <c r="F13" s="486"/>
      <c r="G13" s="486"/>
      <c r="H13" s="486"/>
      <c r="I13" s="486"/>
      <c r="J13" s="486"/>
      <c r="K13" s="486"/>
      <c r="L13" s="486"/>
      <c r="M13" s="593" t="s">
        <v>111</v>
      </c>
      <c r="N13" s="730"/>
      <c r="O13" s="730"/>
      <c r="P13" s="730"/>
      <c r="Q13" s="731"/>
      <c r="R13" s="732"/>
      <c r="S13" s="732"/>
      <c r="T13" s="733"/>
      <c r="U13" s="731"/>
      <c r="V13" s="732"/>
      <c r="W13" s="732"/>
      <c r="X13" s="733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35" t="str">
        <f>Eingabe_!$O$44</f>
        <v>S 02</v>
      </c>
      <c r="B14" s="735"/>
      <c r="C14" s="735"/>
      <c r="D14" s="735"/>
      <c r="E14" s="455" t="str">
        <f>Eingabe_!$B$7</f>
        <v>OP 1</v>
      </c>
      <c r="F14" s="456"/>
      <c r="G14" s="456"/>
      <c r="H14" s="457"/>
      <c r="I14" s="455" t="str">
        <f>Eingabe_!$R$52</f>
        <v>Flow-Zone 1</v>
      </c>
      <c r="J14" s="456"/>
      <c r="K14" s="456"/>
      <c r="L14" s="457"/>
      <c r="M14" s="789" t="s">
        <v>598</v>
      </c>
      <c r="N14" s="790"/>
      <c r="O14" s="790"/>
      <c r="P14" s="791"/>
      <c r="Q14" s="903" t="s">
        <v>114</v>
      </c>
      <c r="R14" s="903"/>
      <c r="S14" s="903"/>
      <c r="T14" s="903"/>
      <c r="U14" s="582" t="str">
        <f>Eingabe_!T44</f>
        <v>Unterdruck</v>
      </c>
      <c r="V14" s="583"/>
      <c r="W14" s="583"/>
      <c r="X14" s="719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35"/>
      <c r="B15" s="735"/>
      <c r="C15" s="735"/>
      <c r="D15" s="735"/>
      <c r="E15" s="726" t="str">
        <f>IFERROR(INDEX(Eingabe_!$AE$2:$AE$100,MATCH(E14,Eingabe_!$AD$2:$AD$100,0)),"-")</f>
        <v>RNr. 01.04.00.158</v>
      </c>
      <c r="F15" s="727"/>
      <c r="G15" s="727"/>
      <c r="H15" s="728"/>
      <c r="I15" s="726" t="str">
        <f>IFERROR(INDEX(Eingabe_!$AE$2:$AE$100,MATCH(I14,Eingabe_!$AD$2:$AD$100,0)),"-")</f>
        <v>RNr. 01.04.00.169</v>
      </c>
      <c r="J15" s="727"/>
      <c r="K15" s="727"/>
      <c r="L15" s="728"/>
      <c r="M15" s="792"/>
      <c r="N15" s="793"/>
      <c r="O15" s="793"/>
      <c r="P15" s="794"/>
      <c r="Q15" s="903"/>
      <c r="R15" s="903"/>
      <c r="S15" s="903"/>
      <c r="T15" s="903"/>
      <c r="U15" s="461"/>
      <c r="V15" s="462"/>
      <c r="W15" s="462"/>
      <c r="X15" s="463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35" t="str">
        <f>IF(Eingabe_!$O$45=0,"-",Eingabe_!$O$45)</f>
        <v>S 03</v>
      </c>
      <c r="B16" s="735"/>
      <c r="C16" s="735"/>
      <c r="D16" s="735"/>
      <c r="E16" s="455" t="str">
        <f>IF(A16="-","-",Eingabe_!$B$7)</f>
        <v>OP 1</v>
      </c>
      <c r="F16" s="456"/>
      <c r="G16" s="456"/>
      <c r="H16" s="457"/>
      <c r="I16" s="455" t="str">
        <f>Eingabe_!$R$53</f>
        <v>Korridor</v>
      </c>
      <c r="J16" s="456"/>
      <c r="K16" s="456"/>
      <c r="L16" s="457"/>
      <c r="M16" s="789" t="s">
        <v>598</v>
      </c>
      <c r="N16" s="790"/>
      <c r="O16" s="790"/>
      <c r="P16" s="791"/>
      <c r="Q16" s="903" t="s">
        <v>89</v>
      </c>
      <c r="R16" s="903"/>
      <c r="S16" s="903"/>
      <c r="T16" s="903"/>
      <c r="U16" s="582" t="str">
        <f>IF(I16="-","-",Eingabe_!T45)</f>
        <v>Überdruck</v>
      </c>
      <c r="V16" s="583"/>
      <c r="W16" s="583"/>
      <c r="X16" s="719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35"/>
      <c r="B17" s="735"/>
      <c r="C17" s="735"/>
      <c r="D17" s="735"/>
      <c r="E17" s="726" t="str">
        <f>IFERROR(INDEX(Eingabe_!$AE$2:$AE$100,MATCH(E16,Eingabe_!$AD$2:$AD$100,0)),"-")</f>
        <v>RNr. 01.04.00.158</v>
      </c>
      <c r="F17" s="727"/>
      <c r="G17" s="727"/>
      <c r="H17" s="728"/>
      <c r="I17" s="726" t="str">
        <f>IFERROR(INDEX(Eingabe_!$AE$2:$AE$100,MATCH(I16,Eingabe_!$AD$2:$AD$100,0)),"-")</f>
        <v>RNr. 01.04.00.801</v>
      </c>
      <c r="J17" s="727"/>
      <c r="K17" s="727"/>
      <c r="L17" s="728"/>
      <c r="M17" s="792"/>
      <c r="N17" s="793"/>
      <c r="O17" s="793"/>
      <c r="P17" s="794"/>
      <c r="Q17" s="903"/>
      <c r="R17" s="903"/>
      <c r="S17" s="903"/>
      <c r="T17" s="903"/>
      <c r="U17" s="461"/>
      <c r="V17" s="462"/>
      <c r="W17" s="462"/>
      <c r="X17" s="463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35" t="str">
        <f>IF(Eingabe_!$O$46=0,"-",Eingabe_!$O$46)</f>
        <v>S 42</v>
      </c>
      <c r="B18" s="735"/>
      <c r="C18" s="735"/>
      <c r="D18" s="735"/>
      <c r="E18" s="455" t="str">
        <f>IF(A18="-","-",Eingabe_!$B$7)</f>
        <v>OP 1</v>
      </c>
      <c r="F18" s="456"/>
      <c r="G18" s="456"/>
      <c r="H18" s="457"/>
      <c r="I18" s="455" t="str">
        <f>Eingabe_!$R$54</f>
        <v>Ausguss</v>
      </c>
      <c r="J18" s="456"/>
      <c r="K18" s="456"/>
      <c r="L18" s="457"/>
      <c r="M18" s="789" t="s">
        <v>598</v>
      </c>
      <c r="N18" s="790"/>
      <c r="O18" s="790"/>
      <c r="P18" s="791"/>
      <c r="Q18" s="930" t="s">
        <v>89</v>
      </c>
      <c r="R18" s="931"/>
      <c r="S18" s="931"/>
      <c r="T18" s="932"/>
      <c r="U18" s="582" t="str">
        <f>IF(I18="-","-",Eingabe_!T46)</f>
        <v>Überdruck</v>
      </c>
      <c r="V18" s="583"/>
      <c r="W18" s="583"/>
      <c r="X18" s="719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35"/>
      <c r="B19" s="735"/>
      <c r="C19" s="735"/>
      <c r="D19" s="735"/>
      <c r="E19" s="726" t="str">
        <f>IFERROR(INDEX(Eingabe_!$AE$2:$AE$100,MATCH(E18,Eingabe_!$AD$2:$AD$100,0)),"-")</f>
        <v>RNr. 01.04.00.158</v>
      </c>
      <c r="F19" s="727"/>
      <c r="G19" s="727"/>
      <c r="H19" s="728"/>
      <c r="I19" s="726" t="str">
        <f>IFERROR(INDEX(Eingabe_!$AE$2:$AE$100,MATCH(I18,Eingabe_!$AD$2:$AD$100,0)),"-")</f>
        <v>RNr. 01.04.00.135</v>
      </c>
      <c r="J19" s="727"/>
      <c r="K19" s="727"/>
      <c r="L19" s="728"/>
      <c r="M19" s="792"/>
      <c r="N19" s="793"/>
      <c r="O19" s="793"/>
      <c r="P19" s="794"/>
      <c r="Q19" s="933"/>
      <c r="R19" s="934"/>
      <c r="S19" s="934"/>
      <c r="T19" s="935"/>
      <c r="U19" s="461"/>
      <c r="V19" s="462"/>
      <c r="W19" s="462"/>
      <c r="X19" s="463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28:78" ht="12" customHeight="1"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28:78" ht="12" customHeight="1"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28:78" ht="12" customHeight="1"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28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28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28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28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28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28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28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28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28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28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28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28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28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E17:H17"/>
    <mergeCell ref="I17:L17"/>
    <mergeCell ref="Q18:T19"/>
    <mergeCell ref="Q14:T15"/>
    <mergeCell ref="U18:X19"/>
    <mergeCell ref="E19:H19"/>
    <mergeCell ref="I19:L19"/>
    <mergeCell ref="U16:X17"/>
    <mergeCell ref="A18:D19"/>
    <mergeCell ref="E18:H18"/>
    <mergeCell ref="I18:L18"/>
    <mergeCell ref="M18:P19"/>
    <mergeCell ref="U14:X15"/>
    <mergeCell ref="E15:H15"/>
    <mergeCell ref="I15:L15"/>
    <mergeCell ref="A14:D15"/>
    <mergeCell ref="E14:H14"/>
    <mergeCell ref="I14:L14"/>
    <mergeCell ref="M14:P15"/>
    <mergeCell ref="A16:D17"/>
    <mergeCell ref="E16:H16"/>
    <mergeCell ref="I16:L16"/>
    <mergeCell ref="M16:P17"/>
    <mergeCell ref="Q16:T17"/>
    <mergeCell ref="R5:W5"/>
    <mergeCell ref="A9:X10"/>
    <mergeCell ref="A11:D13"/>
    <mergeCell ref="E11:H13"/>
    <mergeCell ref="I11:L13"/>
    <mergeCell ref="M11:P12"/>
    <mergeCell ref="Q11:T13"/>
    <mergeCell ref="U11:X13"/>
    <mergeCell ref="M13:P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92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C5ADF2-DA02-45C5-B06B-64D0B74891F2}">
          <x14:formula1>
            <xm:f>Eingabe_!$BD$3:$BD$47</xm:f>
          </x14:formula1>
          <xm:sqref>R4:W4</xm:sqref>
        </x14:dataValidation>
        <x14:dataValidation type="list" allowBlank="1" showInputMessage="1" showErrorMessage="1" xr:uid="{D5F11A87-2539-483D-84BF-32CF96A16B4D}">
          <x14:formula1>
            <xm:f>Eingabe_!$U$19:$U$24</xm:f>
          </x14:formula1>
          <xm:sqref>R7 U7</xm:sqref>
        </x14:dataValidation>
        <x14:dataValidation type="list" allowBlank="1" showInputMessage="1" showErrorMessage="1" xr:uid="{58A466D3-C586-49F6-871F-67D4CA175634}">
          <x14:formula1>
            <xm:f>Eingabe_!$U$29:$U$32</xm:f>
          </x14:formula1>
          <xm:sqref>Q14:T19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6E30-33D2-4C8C-9C3B-D2B543C2E16C}">
  <dimension ref="A1"/>
  <sheetViews>
    <sheetView workbookViewId="0"/>
  </sheetViews>
  <sheetFormatPr baseColWidth="10" defaultRowHeight="14.6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7D67-BF01-47E9-94B2-7F1186034F57}">
  <sheetPr codeName="Tabelle49">
    <tabColor theme="8" tint="0.79998168889431442"/>
    <pageSetUpPr fitToPage="1"/>
  </sheetPr>
  <dimension ref="A1:AX59"/>
  <sheetViews>
    <sheetView showGridLines="0" view="pageBreakPreview" zoomScale="96" zoomScaleNormal="106" zoomScaleSheetLayoutView="96" zoomScalePageLayoutView="103" workbookViewId="0">
      <selection activeCell="D52" sqref="D52"/>
    </sheetView>
  </sheetViews>
  <sheetFormatPr baseColWidth="10" defaultColWidth="10.84375" defaultRowHeight="11.6"/>
  <cols>
    <col min="1" max="47" width="3.84375" style="2" customWidth="1"/>
    <col min="48" max="16384" width="10.84375" style="2"/>
  </cols>
  <sheetData>
    <row r="1" spans="1:50" ht="20.25" customHeight="1">
      <c r="A1" s="4" t="s">
        <v>173</v>
      </c>
      <c r="B1" s="5"/>
      <c r="C1" s="5"/>
      <c r="D1" s="5"/>
      <c r="E1" s="245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Seitenregister!X5</f>
        <v>2</v>
      </c>
      <c r="W1" s="8" t="s">
        <v>10</v>
      </c>
      <c r="X1" s="9">
        <f>Seitenregister!X1</f>
        <v>36</v>
      </c>
      <c r="Y1" s="10"/>
      <c r="Z1" s="111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50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50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11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50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50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ht="12" customHeight="1">
      <c r="A9" s="473" t="s">
        <v>297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ht="12" customHeight="1">
      <c r="A10" s="474"/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ht="12" customHeight="1">
      <c r="A11" s="469" t="s">
        <v>185</v>
      </c>
      <c r="B11" s="469"/>
      <c r="C11" s="469"/>
      <c r="D11" s="469"/>
      <c r="E11" s="475" t="s">
        <v>66</v>
      </c>
      <c r="F11" s="475"/>
      <c r="G11" s="475"/>
      <c r="H11" s="475"/>
      <c r="I11" s="455" t="s">
        <v>309</v>
      </c>
      <c r="J11" s="456"/>
      <c r="K11" s="456"/>
      <c r="L11" s="456"/>
      <c r="M11" s="456"/>
      <c r="N11" s="457"/>
      <c r="O11" s="479" t="s">
        <v>313</v>
      </c>
      <c r="P11" s="480"/>
      <c r="Q11" s="480"/>
      <c r="R11" s="480"/>
      <c r="S11" s="480"/>
      <c r="T11" s="481"/>
      <c r="U11" s="476" t="s">
        <v>16</v>
      </c>
      <c r="V11" s="476"/>
      <c r="W11" s="476"/>
      <c r="X11" s="47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12" customHeight="1">
      <c r="A12" s="469"/>
      <c r="B12" s="469"/>
      <c r="C12" s="469"/>
      <c r="D12" s="469"/>
      <c r="E12" s="475"/>
      <c r="F12" s="475"/>
      <c r="G12" s="475"/>
      <c r="H12" s="475"/>
      <c r="I12" s="458"/>
      <c r="J12" s="459"/>
      <c r="K12" s="459"/>
      <c r="L12" s="459"/>
      <c r="M12" s="459"/>
      <c r="N12" s="460"/>
      <c r="O12" s="482"/>
      <c r="P12" s="483"/>
      <c r="Q12" s="483"/>
      <c r="R12" s="483"/>
      <c r="S12" s="483"/>
      <c r="T12" s="484"/>
      <c r="U12" s="477"/>
      <c r="V12" s="477"/>
      <c r="W12" s="477"/>
      <c r="X12" s="477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ht="12" customHeight="1">
      <c r="A13" s="469"/>
      <c r="B13" s="469"/>
      <c r="C13" s="469"/>
      <c r="D13" s="469"/>
      <c r="E13" s="475"/>
      <c r="F13" s="475"/>
      <c r="G13" s="475"/>
      <c r="H13" s="475"/>
      <c r="I13" s="458"/>
      <c r="J13" s="459"/>
      <c r="K13" s="459"/>
      <c r="L13" s="459"/>
      <c r="M13" s="459"/>
      <c r="N13" s="460"/>
      <c r="O13" s="482"/>
      <c r="P13" s="483"/>
      <c r="Q13" s="483"/>
      <c r="R13" s="483"/>
      <c r="S13" s="483"/>
      <c r="T13" s="484"/>
      <c r="U13" s="470" t="s">
        <v>186</v>
      </c>
      <c r="V13" s="470"/>
      <c r="W13" s="470"/>
      <c r="X13" s="47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ht="12" customHeight="1">
      <c r="A14" s="469"/>
      <c r="B14" s="469"/>
      <c r="C14" s="469"/>
      <c r="D14" s="469"/>
      <c r="E14" s="475"/>
      <c r="F14" s="475"/>
      <c r="G14" s="475"/>
      <c r="H14" s="475"/>
      <c r="I14" s="461" t="s">
        <v>310</v>
      </c>
      <c r="J14" s="462"/>
      <c r="K14" s="462"/>
      <c r="L14" s="462"/>
      <c r="M14" s="462"/>
      <c r="N14" s="463"/>
      <c r="O14" s="461" t="s">
        <v>310</v>
      </c>
      <c r="P14" s="462"/>
      <c r="Q14" s="462"/>
      <c r="R14" s="462"/>
      <c r="S14" s="462"/>
      <c r="T14" s="463"/>
      <c r="U14" s="478" t="s">
        <v>19</v>
      </c>
      <c r="V14" s="478"/>
      <c r="W14" s="478"/>
      <c r="X14" s="47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ht="12" customHeight="1">
      <c r="A15" s="485" t="str">
        <f>Eingabe_!$D$7</f>
        <v>OP 1   rooms/roomname</v>
      </c>
      <c r="B15" s="485"/>
      <c r="C15" s="485"/>
      <c r="D15" s="485"/>
      <c r="E15" s="467">
        <f>'P FIT 1_4'!A22</f>
        <v>158.01</v>
      </c>
      <c r="F15" s="467"/>
      <c r="G15" s="467"/>
      <c r="H15" s="467"/>
      <c r="I15" s="464">
        <f>Eingabe_!B138</f>
        <v>0</v>
      </c>
      <c r="J15" s="464"/>
      <c r="K15" s="464"/>
      <c r="L15" s="464"/>
      <c r="M15" s="464"/>
      <c r="N15" s="464"/>
      <c r="O15" s="465">
        <f>'P Dichtsitz'!V15</f>
        <v>4.8112047012324304</v>
      </c>
      <c r="P15" s="465"/>
      <c r="Q15" s="465"/>
      <c r="R15" s="465"/>
      <c r="S15" s="465"/>
      <c r="T15" s="465"/>
      <c r="U15" s="471" t="str">
        <f>IF(E15="-","-",(IF(I15&gt;$O$15,"Nein","Ja")))</f>
        <v>Ja</v>
      </c>
      <c r="V15" s="471"/>
      <c r="W15" s="471"/>
      <c r="X15" s="471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customFormat="1" ht="12" customHeight="1">
      <c r="A16" s="485"/>
      <c r="B16" s="485"/>
      <c r="C16" s="485"/>
      <c r="D16" s="485"/>
      <c r="E16" s="467">
        <f>'P FIT 1_4'!A26</f>
        <v>158.01999999999998</v>
      </c>
      <c r="F16" s="467"/>
      <c r="G16" s="467"/>
      <c r="H16" s="467"/>
      <c r="I16" s="464">
        <f>Eingabe_!B139</f>
        <v>0</v>
      </c>
      <c r="J16" s="464"/>
      <c r="K16" s="464"/>
      <c r="L16" s="464"/>
      <c r="M16" s="464"/>
      <c r="N16" s="464"/>
      <c r="O16" s="465"/>
      <c r="P16" s="465"/>
      <c r="Q16" s="465"/>
      <c r="R16" s="465"/>
      <c r="S16" s="465"/>
      <c r="T16" s="465"/>
      <c r="U16" s="471" t="str">
        <f t="shared" ref="U16:U38" si="0">IF(E16="-","-",(IF(I16&gt;$O$15,"Nein","Ja")))</f>
        <v>Ja</v>
      </c>
      <c r="V16" s="471"/>
      <c r="W16" s="471"/>
      <c r="X16" s="471"/>
      <c r="Y16" s="2"/>
    </row>
    <row r="17" spans="1:27" customFormat="1" ht="12" customHeight="1">
      <c r="A17" s="485"/>
      <c r="B17" s="485"/>
      <c r="C17" s="485"/>
      <c r="D17" s="485"/>
      <c r="E17" s="467">
        <f>'P FIT 1_4'!A30</f>
        <v>158.02999999999997</v>
      </c>
      <c r="F17" s="467"/>
      <c r="G17" s="467"/>
      <c r="H17" s="467"/>
      <c r="I17" s="464">
        <f>Eingabe_!B140</f>
        <v>0</v>
      </c>
      <c r="J17" s="464"/>
      <c r="K17" s="464"/>
      <c r="L17" s="464"/>
      <c r="M17" s="464"/>
      <c r="N17" s="464"/>
      <c r="O17" s="465"/>
      <c r="P17" s="465"/>
      <c r="Q17" s="465"/>
      <c r="R17" s="465"/>
      <c r="S17" s="465"/>
      <c r="T17" s="465"/>
      <c r="U17" s="471" t="str">
        <f t="shared" si="0"/>
        <v>Ja</v>
      </c>
      <c r="V17" s="471"/>
      <c r="W17" s="471"/>
      <c r="X17" s="471"/>
      <c r="Y17" s="2"/>
    </row>
    <row r="18" spans="1:27" customFormat="1" ht="12" customHeight="1">
      <c r="A18" s="485"/>
      <c r="B18" s="485"/>
      <c r="C18" s="485"/>
      <c r="D18" s="485"/>
      <c r="E18" s="467">
        <f>'P FIT 1_4'!A34</f>
        <v>158.03999999999996</v>
      </c>
      <c r="F18" s="467"/>
      <c r="G18" s="467"/>
      <c r="H18" s="467"/>
      <c r="I18" s="464">
        <f>Eingabe_!B141</f>
        <v>0</v>
      </c>
      <c r="J18" s="464"/>
      <c r="K18" s="464"/>
      <c r="L18" s="464"/>
      <c r="M18" s="464"/>
      <c r="N18" s="464"/>
      <c r="O18" s="465"/>
      <c r="P18" s="465"/>
      <c r="Q18" s="465"/>
      <c r="R18" s="465"/>
      <c r="S18" s="465"/>
      <c r="T18" s="465"/>
      <c r="U18" s="471" t="str">
        <f t="shared" si="0"/>
        <v>Ja</v>
      </c>
      <c r="V18" s="471"/>
      <c r="W18" s="471"/>
      <c r="X18" s="471"/>
      <c r="Y18" s="2"/>
    </row>
    <row r="19" spans="1:27" customFormat="1" ht="12" customHeight="1">
      <c r="A19" s="485"/>
      <c r="B19" s="485"/>
      <c r="C19" s="485"/>
      <c r="D19" s="485"/>
      <c r="E19" s="467">
        <f>'P FIT 5_7 '!A22</f>
        <v>158.04999999999995</v>
      </c>
      <c r="F19" s="467"/>
      <c r="G19" s="467"/>
      <c r="H19" s="467"/>
      <c r="I19" s="464">
        <f>Eingabe_!B142</f>
        <v>0</v>
      </c>
      <c r="J19" s="464"/>
      <c r="K19" s="464"/>
      <c r="L19" s="464"/>
      <c r="M19" s="464"/>
      <c r="N19" s="464"/>
      <c r="O19" s="465"/>
      <c r="P19" s="465"/>
      <c r="Q19" s="465"/>
      <c r="R19" s="465"/>
      <c r="S19" s="465"/>
      <c r="T19" s="465"/>
      <c r="U19" s="471" t="str">
        <f t="shared" si="0"/>
        <v>Ja</v>
      </c>
      <c r="V19" s="471"/>
      <c r="W19" s="471"/>
      <c r="X19" s="471"/>
    </row>
    <row r="20" spans="1:27" customFormat="1" ht="12" customHeight="1">
      <c r="A20" s="485"/>
      <c r="B20" s="485"/>
      <c r="C20" s="485"/>
      <c r="D20" s="485"/>
      <c r="E20" s="467">
        <f>'P FIT 5_7 '!A27</f>
        <v>158.05999999999995</v>
      </c>
      <c r="F20" s="467"/>
      <c r="G20" s="467"/>
      <c r="H20" s="467"/>
      <c r="I20" s="464">
        <f>Eingabe_!B143</f>
        <v>0</v>
      </c>
      <c r="J20" s="464"/>
      <c r="K20" s="464"/>
      <c r="L20" s="464"/>
      <c r="M20" s="464"/>
      <c r="N20" s="464"/>
      <c r="O20" s="465"/>
      <c r="P20" s="465"/>
      <c r="Q20" s="465"/>
      <c r="R20" s="465"/>
      <c r="S20" s="465"/>
      <c r="T20" s="465"/>
      <c r="U20" s="471" t="str">
        <f t="shared" si="0"/>
        <v>Ja</v>
      </c>
      <c r="V20" s="471"/>
      <c r="W20" s="471"/>
      <c r="X20" s="471"/>
    </row>
    <row r="21" spans="1:27" customFormat="1" ht="12" customHeight="1">
      <c r="A21" s="485"/>
      <c r="B21" s="485"/>
      <c r="C21" s="485"/>
      <c r="D21" s="485"/>
      <c r="E21" s="467">
        <f>'P FIT 5_7 '!A32</f>
        <v>158.06999999999994</v>
      </c>
      <c r="F21" s="467"/>
      <c r="G21" s="467"/>
      <c r="H21" s="467"/>
      <c r="I21" s="464">
        <f>Eingabe_!B144</f>
        <v>0</v>
      </c>
      <c r="J21" s="464"/>
      <c r="K21" s="464"/>
      <c r="L21" s="464"/>
      <c r="M21" s="464"/>
      <c r="N21" s="464"/>
      <c r="O21" s="465"/>
      <c r="P21" s="465"/>
      <c r="Q21" s="465"/>
      <c r="R21" s="465"/>
      <c r="S21" s="465"/>
      <c r="T21" s="465"/>
      <c r="U21" s="471" t="str">
        <f t="shared" si="0"/>
        <v>Ja</v>
      </c>
      <c r="V21" s="471"/>
      <c r="W21" s="471"/>
      <c r="X21" s="471"/>
    </row>
    <row r="22" spans="1:27" customFormat="1" ht="12" customHeight="1">
      <c r="A22" s="485"/>
      <c r="B22" s="485"/>
      <c r="C22" s="485"/>
      <c r="D22" s="485"/>
      <c r="E22" s="467">
        <f>'P FIT 8_9'!A22</f>
        <v>158.07999999999993</v>
      </c>
      <c r="F22" s="467"/>
      <c r="G22" s="467"/>
      <c r="H22" s="467"/>
      <c r="I22" s="464">
        <f>Eingabe_!B145</f>
        <v>0</v>
      </c>
      <c r="J22" s="464"/>
      <c r="K22" s="464"/>
      <c r="L22" s="464"/>
      <c r="M22" s="464"/>
      <c r="N22" s="464"/>
      <c r="O22" s="465"/>
      <c r="P22" s="465"/>
      <c r="Q22" s="465"/>
      <c r="R22" s="465"/>
      <c r="S22" s="465"/>
      <c r="T22" s="465"/>
      <c r="U22" s="471" t="str">
        <f t="shared" si="0"/>
        <v>Ja</v>
      </c>
      <c r="V22" s="471"/>
      <c r="W22" s="471"/>
      <c r="X22" s="471"/>
    </row>
    <row r="23" spans="1:27" customFormat="1" ht="12" customHeight="1">
      <c r="A23" s="485"/>
      <c r="B23" s="485"/>
      <c r="C23" s="485"/>
      <c r="D23" s="485"/>
      <c r="E23" s="467">
        <f>'P FIT 8_9'!A24</f>
        <v>158.08999999999992</v>
      </c>
      <c r="F23" s="467"/>
      <c r="G23" s="467"/>
      <c r="H23" s="467"/>
      <c r="I23" s="464">
        <f>Eingabe_!B146</f>
        <v>0</v>
      </c>
      <c r="J23" s="464"/>
      <c r="K23" s="464"/>
      <c r="L23" s="464"/>
      <c r="M23" s="464"/>
      <c r="N23" s="464"/>
      <c r="O23" s="465"/>
      <c r="P23" s="465"/>
      <c r="Q23" s="465"/>
      <c r="R23" s="465"/>
      <c r="S23" s="465"/>
      <c r="T23" s="465"/>
      <c r="U23" s="471" t="str">
        <f t="shared" si="0"/>
        <v>Ja</v>
      </c>
      <c r="V23" s="471"/>
      <c r="W23" s="471"/>
      <c r="X23" s="471"/>
    </row>
    <row r="24" spans="1:27" customFormat="1" ht="12" customHeight="1">
      <c r="A24" s="485"/>
      <c r="B24" s="485"/>
      <c r="C24" s="485"/>
      <c r="D24" s="485"/>
      <c r="E24" s="467" t="s">
        <v>4</v>
      </c>
      <c r="F24" s="467"/>
      <c r="G24" s="467"/>
      <c r="H24" s="467"/>
      <c r="I24" s="464" t="str">
        <f>IF(Eingabe_!B147=0,"-",Eingabe_!B147)</f>
        <v>-</v>
      </c>
      <c r="J24" s="464"/>
      <c r="K24" s="464"/>
      <c r="L24" s="464"/>
      <c r="M24" s="464"/>
      <c r="N24" s="464"/>
      <c r="O24" s="465"/>
      <c r="P24" s="465"/>
      <c r="Q24" s="465"/>
      <c r="R24" s="465"/>
      <c r="S24" s="465"/>
      <c r="T24" s="465"/>
      <c r="U24" s="471" t="str">
        <f t="shared" si="0"/>
        <v>-</v>
      </c>
      <c r="V24" s="471"/>
      <c r="W24" s="471"/>
      <c r="X24" s="471"/>
    </row>
    <row r="25" spans="1:27" customFormat="1" ht="12" customHeight="1">
      <c r="A25" s="485"/>
      <c r="B25" s="485"/>
      <c r="C25" s="485"/>
      <c r="D25" s="485"/>
      <c r="E25" s="467" t="s">
        <v>4</v>
      </c>
      <c r="F25" s="467"/>
      <c r="G25" s="467"/>
      <c r="H25" s="467"/>
      <c r="I25" s="464" t="str">
        <f>IF(Eingabe_!B148=0,"-",Eingabe_!B148)</f>
        <v>-</v>
      </c>
      <c r="J25" s="464"/>
      <c r="K25" s="464"/>
      <c r="L25" s="464"/>
      <c r="M25" s="464"/>
      <c r="N25" s="464"/>
      <c r="O25" s="465"/>
      <c r="P25" s="465"/>
      <c r="Q25" s="465"/>
      <c r="R25" s="465"/>
      <c r="S25" s="465"/>
      <c r="T25" s="465"/>
      <c r="U25" s="471" t="str">
        <f t="shared" si="0"/>
        <v>-</v>
      </c>
      <c r="V25" s="471"/>
      <c r="W25" s="471"/>
      <c r="X25" s="471"/>
    </row>
    <row r="26" spans="1:27" customFormat="1" ht="12" customHeight="1">
      <c r="A26" s="485"/>
      <c r="B26" s="485"/>
      <c r="C26" s="485"/>
      <c r="D26" s="485"/>
      <c r="E26" s="467" t="s">
        <v>4</v>
      </c>
      <c r="F26" s="467"/>
      <c r="G26" s="467"/>
      <c r="H26" s="467"/>
      <c r="I26" s="464" t="str">
        <f>IF(Eingabe_!B149=0,"-",Eingabe_!B149)</f>
        <v>-</v>
      </c>
      <c r="J26" s="464"/>
      <c r="K26" s="464"/>
      <c r="L26" s="464"/>
      <c r="M26" s="464"/>
      <c r="N26" s="464"/>
      <c r="O26" s="465"/>
      <c r="P26" s="465"/>
      <c r="Q26" s="465"/>
      <c r="R26" s="465"/>
      <c r="S26" s="465"/>
      <c r="T26" s="465"/>
      <c r="U26" s="471" t="str">
        <f t="shared" si="0"/>
        <v>-</v>
      </c>
      <c r="V26" s="471"/>
      <c r="W26" s="471"/>
      <c r="X26" s="471"/>
    </row>
    <row r="27" spans="1:27" customFormat="1" ht="12" customHeight="1">
      <c r="A27" s="485"/>
      <c r="B27" s="485"/>
      <c r="C27" s="485"/>
      <c r="D27" s="485"/>
      <c r="E27" s="467" t="s">
        <v>4</v>
      </c>
      <c r="F27" s="467"/>
      <c r="G27" s="467"/>
      <c r="H27" s="467"/>
      <c r="I27" s="464" t="str">
        <f>IF(Eingabe_!B150=0,"-",Eingabe_!B150)</f>
        <v>-</v>
      </c>
      <c r="J27" s="464"/>
      <c r="K27" s="464"/>
      <c r="L27" s="464"/>
      <c r="M27" s="464"/>
      <c r="N27" s="464"/>
      <c r="O27" s="465"/>
      <c r="P27" s="465"/>
      <c r="Q27" s="465"/>
      <c r="R27" s="465"/>
      <c r="S27" s="465"/>
      <c r="T27" s="465"/>
      <c r="U27" s="471" t="str">
        <f t="shared" si="0"/>
        <v>-</v>
      </c>
      <c r="V27" s="471"/>
      <c r="W27" s="471"/>
      <c r="X27" s="471"/>
      <c r="Z27" s="466"/>
      <c r="AA27" s="466"/>
    </row>
    <row r="28" spans="1:27" customFormat="1" ht="12" customHeight="1">
      <c r="A28" s="485"/>
      <c r="B28" s="485"/>
      <c r="C28" s="485"/>
      <c r="D28" s="485"/>
      <c r="E28" s="467" t="s">
        <v>4</v>
      </c>
      <c r="F28" s="467"/>
      <c r="G28" s="467"/>
      <c r="H28" s="467"/>
      <c r="I28" s="464" t="str">
        <f>IF(Eingabe_!B151=0,"-",Eingabe_!B151)</f>
        <v>-</v>
      </c>
      <c r="J28" s="464"/>
      <c r="K28" s="464"/>
      <c r="L28" s="464"/>
      <c r="M28" s="464"/>
      <c r="N28" s="464"/>
      <c r="O28" s="465"/>
      <c r="P28" s="465"/>
      <c r="Q28" s="465"/>
      <c r="R28" s="465"/>
      <c r="S28" s="465"/>
      <c r="T28" s="465"/>
      <c r="U28" s="471" t="str">
        <f t="shared" si="0"/>
        <v>-</v>
      </c>
      <c r="V28" s="471"/>
      <c r="W28" s="471"/>
      <c r="X28" s="471"/>
    </row>
    <row r="29" spans="1:27" customFormat="1" ht="12" customHeight="1">
      <c r="A29" s="485"/>
      <c r="B29" s="485"/>
      <c r="C29" s="485"/>
      <c r="D29" s="485"/>
      <c r="E29" s="467" t="s">
        <v>4</v>
      </c>
      <c r="F29" s="467"/>
      <c r="G29" s="467"/>
      <c r="H29" s="467"/>
      <c r="I29" s="464" t="str">
        <f>IF(Eingabe_!B152=0,"-",Eingabe_!B152)</f>
        <v>-</v>
      </c>
      <c r="J29" s="464"/>
      <c r="K29" s="464"/>
      <c r="L29" s="464"/>
      <c r="M29" s="464"/>
      <c r="N29" s="464"/>
      <c r="O29" s="465"/>
      <c r="P29" s="465"/>
      <c r="Q29" s="465"/>
      <c r="R29" s="465"/>
      <c r="S29" s="465"/>
      <c r="T29" s="465"/>
      <c r="U29" s="471" t="str">
        <f t="shared" si="0"/>
        <v>-</v>
      </c>
      <c r="V29" s="471"/>
      <c r="W29" s="471"/>
      <c r="X29" s="471"/>
    </row>
    <row r="30" spans="1:27" customFormat="1" ht="12" customHeight="1">
      <c r="A30" s="485"/>
      <c r="B30" s="485"/>
      <c r="C30" s="485"/>
      <c r="D30" s="485"/>
      <c r="E30" s="467" t="s">
        <v>4</v>
      </c>
      <c r="F30" s="467"/>
      <c r="G30" s="467"/>
      <c r="H30" s="467"/>
      <c r="I30" s="464" t="str">
        <f>IF(Eingabe_!B153=0,"-",Eingabe_!B153)</f>
        <v>-</v>
      </c>
      <c r="J30" s="464"/>
      <c r="K30" s="464"/>
      <c r="L30" s="464"/>
      <c r="M30" s="464"/>
      <c r="N30" s="464"/>
      <c r="O30" s="465"/>
      <c r="P30" s="465"/>
      <c r="Q30" s="465"/>
      <c r="R30" s="465"/>
      <c r="S30" s="465"/>
      <c r="T30" s="465"/>
      <c r="U30" s="471" t="str">
        <f t="shared" si="0"/>
        <v>-</v>
      </c>
      <c r="V30" s="471"/>
      <c r="W30" s="471"/>
      <c r="X30" s="471"/>
    </row>
    <row r="31" spans="1:27" customFormat="1" ht="12" customHeight="1">
      <c r="A31" s="485"/>
      <c r="B31" s="485"/>
      <c r="C31" s="485"/>
      <c r="D31" s="485"/>
      <c r="E31" s="467" t="s">
        <v>4</v>
      </c>
      <c r="F31" s="467"/>
      <c r="G31" s="467"/>
      <c r="H31" s="467"/>
      <c r="I31" s="464" t="str">
        <f>IF(Eingabe_!B154=0,"-",Eingabe_!B154)</f>
        <v>-</v>
      </c>
      <c r="J31" s="464"/>
      <c r="K31" s="464"/>
      <c r="L31" s="464"/>
      <c r="M31" s="464"/>
      <c r="N31" s="464"/>
      <c r="O31" s="465"/>
      <c r="P31" s="465"/>
      <c r="Q31" s="465"/>
      <c r="R31" s="465"/>
      <c r="S31" s="465"/>
      <c r="T31" s="465"/>
      <c r="U31" s="471" t="str">
        <f t="shared" si="0"/>
        <v>-</v>
      </c>
      <c r="V31" s="471"/>
      <c r="W31" s="471"/>
      <c r="X31" s="471"/>
    </row>
    <row r="32" spans="1:27" customFormat="1" ht="12" customHeight="1">
      <c r="A32" s="485"/>
      <c r="B32" s="485"/>
      <c r="C32" s="485"/>
      <c r="D32" s="485"/>
      <c r="E32" s="467" t="s">
        <v>4</v>
      </c>
      <c r="F32" s="467"/>
      <c r="G32" s="467"/>
      <c r="H32" s="467"/>
      <c r="I32" s="464" t="str">
        <f>IF(Eingabe_!B155=0,"-",Eingabe_!B155)</f>
        <v>-</v>
      </c>
      <c r="J32" s="464"/>
      <c r="K32" s="464"/>
      <c r="L32" s="464"/>
      <c r="M32" s="464"/>
      <c r="N32" s="464"/>
      <c r="O32" s="465"/>
      <c r="P32" s="465"/>
      <c r="Q32" s="465"/>
      <c r="R32" s="465"/>
      <c r="S32" s="465"/>
      <c r="T32" s="465"/>
      <c r="U32" s="471" t="str">
        <f t="shared" si="0"/>
        <v>-</v>
      </c>
      <c r="V32" s="471"/>
      <c r="W32" s="471"/>
      <c r="X32" s="471"/>
    </row>
    <row r="33" spans="1:33" customFormat="1" ht="12" customHeight="1">
      <c r="A33" s="485"/>
      <c r="B33" s="485"/>
      <c r="C33" s="485"/>
      <c r="D33" s="485"/>
      <c r="E33" s="467" t="s">
        <v>4</v>
      </c>
      <c r="F33" s="467"/>
      <c r="G33" s="467"/>
      <c r="H33" s="467"/>
      <c r="I33" s="464" t="str">
        <f>IF(Eingabe_!B156=0,"-",Eingabe_!B156)</f>
        <v>-</v>
      </c>
      <c r="J33" s="464"/>
      <c r="K33" s="464"/>
      <c r="L33" s="464"/>
      <c r="M33" s="464"/>
      <c r="N33" s="464"/>
      <c r="O33" s="465"/>
      <c r="P33" s="465"/>
      <c r="Q33" s="465"/>
      <c r="R33" s="465"/>
      <c r="S33" s="465"/>
      <c r="T33" s="465"/>
      <c r="U33" s="471" t="str">
        <f t="shared" si="0"/>
        <v>-</v>
      </c>
      <c r="V33" s="471"/>
      <c r="W33" s="471"/>
      <c r="X33" s="471"/>
    </row>
    <row r="34" spans="1:33" customFormat="1" ht="12" customHeight="1">
      <c r="A34" s="485"/>
      <c r="B34" s="485"/>
      <c r="C34" s="485"/>
      <c r="D34" s="485"/>
      <c r="E34" s="467" t="s">
        <v>4</v>
      </c>
      <c r="F34" s="467"/>
      <c r="G34" s="467"/>
      <c r="H34" s="467"/>
      <c r="I34" s="464" t="str">
        <f>IF(Eingabe_!B157=0,"-",Eingabe_!B157)</f>
        <v>-</v>
      </c>
      <c r="J34" s="464"/>
      <c r="K34" s="464"/>
      <c r="L34" s="464"/>
      <c r="M34" s="464"/>
      <c r="N34" s="464"/>
      <c r="O34" s="465"/>
      <c r="P34" s="465"/>
      <c r="Q34" s="465"/>
      <c r="R34" s="465"/>
      <c r="S34" s="465"/>
      <c r="T34" s="465"/>
      <c r="U34" s="471" t="str">
        <f t="shared" si="0"/>
        <v>-</v>
      </c>
      <c r="V34" s="471"/>
      <c r="W34" s="471"/>
      <c r="X34" s="471"/>
    </row>
    <row r="35" spans="1:33" ht="12" customHeight="1">
      <c r="A35" s="485"/>
      <c r="B35" s="485"/>
      <c r="C35" s="485"/>
      <c r="D35" s="485"/>
      <c r="E35" s="467" t="s">
        <v>4</v>
      </c>
      <c r="F35" s="467"/>
      <c r="G35" s="467"/>
      <c r="H35" s="467"/>
      <c r="I35" s="464" t="str">
        <f>IF(Eingabe_!B158=0,"-",Eingabe_!B158)</f>
        <v>-</v>
      </c>
      <c r="J35" s="464"/>
      <c r="K35" s="464"/>
      <c r="L35" s="464"/>
      <c r="M35" s="464"/>
      <c r="N35" s="464"/>
      <c r="O35" s="465"/>
      <c r="P35" s="465"/>
      <c r="Q35" s="465"/>
      <c r="R35" s="465"/>
      <c r="S35" s="465"/>
      <c r="T35" s="465"/>
      <c r="U35" s="471" t="str">
        <f t="shared" si="0"/>
        <v>-</v>
      </c>
      <c r="V35" s="471"/>
      <c r="W35" s="471"/>
      <c r="X35" s="471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2" customHeight="1">
      <c r="A36" s="485"/>
      <c r="B36" s="485"/>
      <c r="C36" s="485"/>
      <c r="D36" s="485"/>
      <c r="E36" s="467" t="s">
        <v>4</v>
      </c>
      <c r="F36" s="467"/>
      <c r="G36" s="467"/>
      <c r="H36" s="467"/>
      <c r="I36" s="464" t="str">
        <f>IF(Eingabe_!B159=0,"-",Eingabe_!B159)</f>
        <v>-</v>
      </c>
      <c r="J36" s="464"/>
      <c r="K36" s="464"/>
      <c r="L36" s="464"/>
      <c r="M36" s="464"/>
      <c r="N36" s="464"/>
      <c r="O36" s="465"/>
      <c r="P36" s="465"/>
      <c r="Q36" s="465"/>
      <c r="R36" s="465"/>
      <c r="S36" s="465"/>
      <c r="T36" s="465"/>
      <c r="U36" s="471" t="str">
        <f t="shared" si="0"/>
        <v>-</v>
      </c>
      <c r="V36" s="471"/>
      <c r="W36" s="471"/>
      <c r="X36" s="471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2" customHeight="1">
      <c r="A37" s="485"/>
      <c r="B37" s="485"/>
      <c r="C37" s="485"/>
      <c r="D37" s="485"/>
      <c r="E37" s="467" t="s">
        <v>4</v>
      </c>
      <c r="F37" s="467"/>
      <c r="G37" s="467"/>
      <c r="H37" s="467"/>
      <c r="I37" s="464" t="str">
        <f>IF(Eingabe_!B160=0,"-",Eingabe_!B160)</f>
        <v>-</v>
      </c>
      <c r="J37" s="464"/>
      <c r="K37" s="464"/>
      <c r="L37" s="464"/>
      <c r="M37" s="464"/>
      <c r="N37" s="464"/>
      <c r="O37" s="465"/>
      <c r="P37" s="465"/>
      <c r="Q37" s="465"/>
      <c r="R37" s="465"/>
      <c r="S37" s="465"/>
      <c r="T37" s="465"/>
      <c r="U37" s="471" t="str">
        <f t="shared" si="0"/>
        <v>-</v>
      </c>
      <c r="V37" s="471"/>
      <c r="W37" s="471"/>
      <c r="X37" s="471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2" customHeight="1">
      <c r="A38" s="485"/>
      <c r="B38" s="485"/>
      <c r="C38" s="485"/>
      <c r="D38" s="485"/>
      <c r="E38" s="467" t="s">
        <v>4</v>
      </c>
      <c r="F38" s="467"/>
      <c r="G38" s="467"/>
      <c r="H38" s="467"/>
      <c r="I38" s="464" t="str">
        <f>IF(Eingabe_!B161=0,"-",Eingabe_!B161)</f>
        <v>-</v>
      </c>
      <c r="J38" s="464"/>
      <c r="K38" s="464"/>
      <c r="L38" s="464"/>
      <c r="M38" s="464"/>
      <c r="N38" s="464"/>
      <c r="O38" s="465"/>
      <c r="P38" s="465"/>
      <c r="Q38" s="465"/>
      <c r="R38" s="465"/>
      <c r="S38" s="465"/>
      <c r="T38" s="465"/>
      <c r="U38" s="471" t="str">
        <f t="shared" si="0"/>
        <v>-</v>
      </c>
      <c r="V38" s="471"/>
      <c r="W38" s="471"/>
      <c r="X38" s="471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3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3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3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3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3" ht="12" customHeight="1">
      <c r="A46" s="279"/>
      <c r="B46" s="279"/>
      <c r="C46" s="279"/>
      <c r="D46" s="279"/>
      <c r="E46" s="271"/>
      <c r="F46" s="271"/>
      <c r="G46"/>
      <c r="H46"/>
      <c r="I46"/>
      <c r="J46"/>
      <c r="K46"/>
      <c r="L46"/>
      <c r="M46"/>
      <c r="N46"/>
      <c r="O46"/>
      <c r="P46"/>
      <c r="Q46"/>
      <c r="R46" s="272"/>
      <c r="S46" s="272"/>
      <c r="T46" s="272"/>
      <c r="U46" s="146"/>
      <c r="V46" s="146"/>
      <c r="W46" s="146"/>
      <c r="X46" s="146"/>
    </row>
    <row r="47" spans="1:33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3" ht="12" customHeight="1">
      <c r="A48" s="468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87">
    <mergeCell ref="U15:X15"/>
    <mergeCell ref="E16:H16"/>
    <mergeCell ref="U16:X16"/>
    <mergeCell ref="E17:H17"/>
    <mergeCell ref="R5:W5"/>
    <mergeCell ref="A9:X10"/>
    <mergeCell ref="E11:H14"/>
    <mergeCell ref="U11:X12"/>
    <mergeCell ref="U14:X14"/>
    <mergeCell ref="O11:T13"/>
    <mergeCell ref="O14:T14"/>
    <mergeCell ref="I15:N15"/>
    <mergeCell ref="I16:N16"/>
    <mergeCell ref="A15:D38"/>
    <mergeCell ref="E15:H15"/>
    <mergeCell ref="U19:X19"/>
    <mergeCell ref="E20:H20"/>
    <mergeCell ref="U20:X20"/>
    <mergeCell ref="U17:X17"/>
    <mergeCell ref="E18:H18"/>
    <mergeCell ref="U18:X18"/>
    <mergeCell ref="E19:H19"/>
    <mergeCell ref="I20:N20"/>
    <mergeCell ref="U23:X23"/>
    <mergeCell ref="E21:H21"/>
    <mergeCell ref="U21:X21"/>
    <mergeCell ref="E22:H22"/>
    <mergeCell ref="U22:X22"/>
    <mergeCell ref="E23:H23"/>
    <mergeCell ref="I22:N22"/>
    <mergeCell ref="I23:N23"/>
    <mergeCell ref="I21:N21"/>
    <mergeCell ref="E24:H24"/>
    <mergeCell ref="U24:X24"/>
    <mergeCell ref="E25:H25"/>
    <mergeCell ref="U25:X25"/>
    <mergeCell ref="E27:H27"/>
    <mergeCell ref="I24:N24"/>
    <mergeCell ref="I25:N25"/>
    <mergeCell ref="E33:H33"/>
    <mergeCell ref="U33:X33"/>
    <mergeCell ref="I17:N17"/>
    <mergeCell ref="I18:N18"/>
    <mergeCell ref="I19:N19"/>
    <mergeCell ref="E31:H31"/>
    <mergeCell ref="U31:X31"/>
    <mergeCell ref="E32:H32"/>
    <mergeCell ref="U32:X32"/>
    <mergeCell ref="E29:H29"/>
    <mergeCell ref="U29:X29"/>
    <mergeCell ref="E30:H30"/>
    <mergeCell ref="U30:X30"/>
    <mergeCell ref="E26:H26"/>
    <mergeCell ref="U26:X26"/>
    <mergeCell ref="U27:X27"/>
    <mergeCell ref="Z27:AA27"/>
    <mergeCell ref="E28:H28"/>
    <mergeCell ref="A48:X48"/>
    <mergeCell ref="A11:D14"/>
    <mergeCell ref="U13:X13"/>
    <mergeCell ref="E38:H38"/>
    <mergeCell ref="U38:X38"/>
    <mergeCell ref="E36:H36"/>
    <mergeCell ref="U36:X36"/>
    <mergeCell ref="E37:H37"/>
    <mergeCell ref="U37:X37"/>
    <mergeCell ref="E34:H34"/>
    <mergeCell ref="U34:X34"/>
    <mergeCell ref="E35:H35"/>
    <mergeCell ref="U35:X35"/>
    <mergeCell ref="U28:X28"/>
    <mergeCell ref="I11:N13"/>
    <mergeCell ref="I14:N14"/>
    <mergeCell ref="I38:N38"/>
    <mergeCell ref="O15:T38"/>
    <mergeCell ref="I32:N32"/>
    <mergeCell ref="I33:N33"/>
    <mergeCell ref="I34:N34"/>
    <mergeCell ref="I35:N35"/>
    <mergeCell ref="I36:N36"/>
    <mergeCell ref="I37:N37"/>
    <mergeCell ref="I26:N26"/>
    <mergeCell ref="I27:N27"/>
    <mergeCell ref="I28:N28"/>
    <mergeCell ref="I29:N29"/>
    <mergeCell ref="I30:N30"/>
    <mergeCell ref="I31:N31"/>
  </mergeCells>
  <conditionalFormatting sqref="Y19:Y22">
    <cfRule type="expression" dxfId="6" priority="5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EF5-D489-4C76-A294-5F3A222929A8}">
  <sheetPr>
    <tabColor theme="8" tint="0.79998168889431442"/>
    <pageSetUpPr fitToPage="1"/>
  </sheetPr>
  <dimension ref="A1:AW59"/>
  <sheetViews>
    <sheetView showGridLines="0" view="pageBreakPreview" topLeftCell="A10" zoomScale="96" zoomScaleNormal="10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47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Seitenregister!X6</f>
        <v>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473" t="s">
        <v>47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474"/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469" t="s">
        <v>185</v>
      </c>
      <c r="B11" s="469"/>
      <c r="C11" s="469"/>
      <c r="D11" s="469"/>
      <c r="E11" s="475" t="s">
        <v>66</v>
      </c>
      <c r="F11" s="475"/>
      <c r="G11" s="475"/>
      <c r="H11" s="475"/>
      <c r="I11" s="486" t="s">
        <v>99</v>
      </c>
      <c r="J11" s="486"/>
      <c r="K11" s="486"/>
      <c r="L11" s="486"/>
      <c r="M11" s="487" t="s">
        <v>100</v>
      </c>
      <c r="N11" s="487"/>
      <c r="O11" s="487"/>
      <c r="P11" s="487"/>
      <c r="Q11" s="487" t="s">
        <v>211</v>
      </c>
      <c r="R11" s="487"/>
      <c r="S11" s="487"/>
      <c r="T11" s="487"/>
      <c r="U11" s="476" t="s">
        <v>16</v>
      </c>
      <c r="V11" s="476"/>
      <c r="W11" s="476"/>
      <c r="X11" s="47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469"/>
      <c r="B12" s="469"/>
      <c r="C12" s="469"/>
      <c r="D12" s="469"/>
      <c r="E12" s="475"/>
      <c r="F12" s="475"/>
      <c r="G12" s="475"/>
      <c r="H12" s="475"/>
      <c r="I12" s="486"/>
      <c r="J12" s="486"/>
      <c r="K12" s="486"/>
      <c r="L12" s="486"/>
      <c r="M12" s="488"/>
      <c r="N12" s="488"/>
      <c r="O12" s="488"/>
      <c r="P12" s="488"/>
      <c r="Q12" s="488"/>
      <c r="R12" s="488"/>
      <c r="S12" s="488"/>
      <c r="T12" s="488"/>
      <c r="U12" s="477"/>
      <c r="V12" s="477"/>
      <c r="W12" s="477"/>
      <c r="X12" s="477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469"/>
      <c r="B13" s="469"/>
      <c r="C13" s="469"/>
      <c r="D13" s="469"/>
      <c r="E13" s="475"/>
      <c r="F13" s="475"/>
      <c r="G13" s="475"/>
      <c r="H13" s="475"/>
      <c r="I13" s="486"/>
      <c r="J13" s="486"/>
      <c r="K13" s="486"/>
      <c r="L13" s="486"/>
      <c r="M13" s="488"/>
      <c r="N13" s="488"/>
      <c r="O13" s="488"/>
      <c r="P13" s="488"/>
      <c r="Q13" s="488"/>
      <c r="R13" s="488"/>
      <c r="S13" s="488"/>
      <c r="T13" s="488"/>
      <c r="U13" s="470" t="s">
        <v>186</v>
      </c>
      <c r="V13" s="470"/>
      <c r="W13" s="470"/>
      <c r="X13" s="47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469"/>
      <c r="B14" s="469"/>
      <c r="C14" s="469"/>
      <c r="D14" s="469"/>
      <c r="E14" s="475"/>
      <c r="F14" s="475"/>
      <c r="G14" s="475"/>
      <c r="H14" s="475"/>
      <c r="I14" s="486"/>
      <c r="J14" s="486"/>
      <c r="K14" s="486"/>
      <c r="L14" s="486"/>
      <c r="M14" s="489" t="s">
        <v>76</v>
      </c>
      <c r="N14" s="489"/>
      <c r="O14" s="489"/>
      <c r="P14" s="489"/>
      <c r="Q14" s="489" t="s">
        <v>76</v>
      </c>
      <c r="R14" s="489"/>
      <c r="S14" s="489"/>
      <c r="T14" s="489"/>
      <c r="U14" s="478" t="s">
        <v>19</v>
      </c>
      <c r="V14" s="478"/>
      <c r="W14" s="478"/>
      <c r="X14" s="478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494" t="str">
        <f>Eingabe_!$D$7</f>
        <v>OP 1   rooms/roomname</v>
      </c>
      <c r="B15" s="495"/>
      <c r="C15" s="495"/>
      <c r="D15" s="496"/>
      <c r="E15" s="467">
        <f>'P FIT 1_4'!A22</f>
        <v>158.01</v>
      </c>
      <c r="F15" s="467"/>
      <c r="G15" s="467"/>
      <c r="H15" s="467"/>
      <c r="I15" s="471" t="str">
        <f>IF((E15)="-","-",'P FIT 1_4'!$E$12)</f>
        <v>H14</v>
      </c>
      <c r="J15" s="471"/>
      <c r="K15" s="471"/>
      <c r="L15" s="471"/>
      <c r="M15" s="464">
        <f>'P FIT 1_4'!S22</f>
        <v>1E-3</v>
      </c>
      <c r="N15" s="464"/>
      <c r="O15" s="464"/>
      <c r="P15" s="464"/>
      <c r="Q15" s="490">
        <f>IF(E15="-","-",'P FIT 1_4'!$V$22)</f>
        <v>0.01</v>
      </c>
      <c r="R15" s="490"/>
      <c r="S15" s="490"/>
      <c r="T15" s="490"/>
      <c r="U15" s="491" t="str">
        <f t="shared" ref="U15:U38" si="0">IF(E15="-","-",(IF(M15&gt;Q15,"Nein","Ja")))</f>
        <v>Ja</v>
      </c>
      <c r="V15" s="492"/>
      <c r="W15" s="492"/>
      <c r="X15" s="493"/>
      <c r="Y15" s="2"/>
    </row>
    <row r="16" spans="1:49" customFormat="1" ht="12" customHeight="1">
      <c r="A16" s="497"/>
      <c r="B16" s="498"/>
      <c r="C16" s="498"/>
      <c r="D16" s="499"/>
      <c r="E16" s="467">
        <f>'P FIT 1_4'!A26</f>
        <v>158.01999999999998</v>
      </c>
      <c r="F16" s="467"/>
      <c r="G16" s="467"/>
      <c r="H16" s="467"/>
      <c r="I16" s="471" t="str">
        <f>IF((E16)="-","-",'P FIT 1_4'!$E$12)</f>
        <v>H14</v>
      </c>
      <c r="J16" s="471"/>
      <c r="K16" s="471"/>
      <c r="L16" s="471"/>
      <c r="M16" s="464">
        <f>'P FIT 1_4'!S26</f>
        <v>1E-3</v>
      </c>
      <c r="N16" s="464"/>
      <c r="O16" s="464"/>
      <c r="P16" s="464"/>
      <c r="Q16" s="490">
        <f>IF(E16="-","-",'P FIT 1_4'!$V$22)</f>
        <v>0.01</v>
      </c>
      <c r="R16" s="490"/>
      <c r="S16" s="490"/>
      <c r="T16" s="490"/>
      <c r="U16" s="491" t="str">
        <f t="shared" si="0"/>
        <v>Ja</v>
      </c>
      <c r="V16" s="492"/>
      <c r="W16" s="492"/>
      <c r="X16" s="493"/>
      <c r="Y16" s="2"/>
    </row>
    <row r="17" spans="1:26" customFormat="1" ht="12" customHeight="1">
      <c r="A17" s="497"/>
      <c r="B17" s="498"/>
      <c r="C17" s="498"/>
      <c r="D17" s="499"/>
      <c r="E17" s="467">
        <f>'P FIT 1_4'!A30</f>
        <v>158.02999999999997</v>
      </c>
      <c r="F17" s="467"/>
      <c r="G17" s="467"/>
      <c r="H17" s="467"/>
      <c r="I17" s="471" t="str">
        <f>IF((E17)="-","-",'P FIT 1_4'!$E$12)</f>
        <v>H14</v>
      </c>
      <c r="J17" s="471"/>
      <c r="K17" s="471"/>
      <c r="L17" s="471"/>
      <c r="M17" s="464">
        <f>'P FIT 1_4'!S30</f>
        <v>1E-3</v>
      </c>
      <c r="N17" s="464"/>
      <c r="O17" s="464"/>
      <c r="P17" s="464"/>
      <c r="Q17" s="490">
        <f>IF(E17="-","-",'P FIT 1_4'!$V$22)</f>
        <v>0.01</v>
      </c>
      <c r="R17" s="490"/>
      <c r="S17" s="490"/>
      <c r="T17" s="490"/>
      <c r="U17" s="491" t="str">
        <f t="shared" si="0"/>
        <v>Ja</v>
      </c>
      <c r="V17" s="492"/>
      <c r="W17" s="492"/>
      <c r="X17" s="493"/>
      <c r="Y17" s="2"/>
    </row>
    <row r="18" spans="1:26" customFormat="1" ht="12" customHeight="1">
      <c r="A18" s="497"/>
      <c r="B18" s="498"/>
      <c r="C18" s="498"/>
      <c r="D18" s="499"/>
      <c r="E18" s="467">
        <f>'P FIT 1_4'!A34</f>
        <v>158.03999999999996</v>
      </c>
      <c r="F18" s="467"/>
      <c r="G18" s="467"/>
      <c r="H18" s="467"/>
      <c r="I18" s="471" t="str">
        <f>IF((E18)="-","-",'P FIT 1_4'!$E$12)</f>
        <v>H14</v>
      </c>
      <c r="J18" s="471"/>
      <c r="K18" s="471"/>
      <c r="L18" s="471"/>
      <c r="M18" s="464">
        <f>'P FIT 1_4'!S34</f>
        <v>1E-3</v>
      </c>
      <c r="N18" s="464"/>
      <c r="O18" s="464"/>
      <c r="P18" s="464"/>
      <c r="Q18" s="490">
        <f>IF(E18="-","-",'P FIT 1_4'!$V$22)</f>
        <v>0.01</v>
      </c>
      <c r="R18" s="490"/>
      <c r="S18" s="490"/>
      <c r="T18" s="490"/>
      <c r="U18" s="491" t="str">
        <f t="shared" si="0"/>
        <v>Ja</v>
      </c>
      <c r="V18" s="492"/>
      <c r="W18" s="492"/>
      <c r="X18" s="493"/>
    </row>
    <row r="19" spans="1:26" customFormat="1" ht="12" customHeight="1">
      <c r="A19" s="497"/>
      <c r="B19" s="498"/>
      <c r="C19" s="498"/>
      <c r="D19" s="499"/>
      <c r="E19" s="467">
        <f>'P FIT 5_7 '!A22</f>
        <v>158.04999999999995</v>
      </c>
      <c r="F19" s="467"/>
      <c r="G19" s="467"/>
      <c r="H19" s="467"/>
      <c r="I19" s="471" t="str">
        <f>IF((E19)="-","-",'P FIT 1_4'!$E$12)</f>
        <v>H14</v>
      </c>
      <c r="J19" s="471"/>
      <c r="K19" s="471"/>
      <c r="L19" s="471"/>
      <c r="M19" s="464">
        <f>'P FIT 5_7 '!S22</f>
        <v>1E-3</v>
      </c>
      <c r="N19" s="464"/>
      <c r="O19" s="464"/>
      <c r="P19" s="464"/>
      <c r="Q19" s="490">
        <f>IF(E19="-","-",'P FIT 1_4'!$V$22)</f>
        <v>0.01</v>
      </c>
      <c r="R19" s="490"/>
      <c r="S19" s="490"/>
      <c r="T19" s="490"/>
      <c r="U19" s="491" t="str">
        <f t="shared" si="0"/>
        <v>Ja</v>
      </c>
      <c r="V19" s="492"/>
      <c r="W19" s="492"/>
      <c r="X19" s="493"/>
    </row>
    <row r="20" spans="1:26" customFormat="1" ht="12" customHeight="1">
      <c r="A20" s="497"/>
      <c r="B20" s="498"/>
      <c r="C20" s="498"/>
      <c r="D20" s="499"/>
      <c r="E20" s="467">
        <f>'P FIT 5_7 '!A27</f>
        <v>158.05999999999995</v>
      </c>
      <c r="F20" s="467"/>
      <c r="G20" s="467"/>
      <c r="H20" s="467"/>
      <c r="I20" s="471" t="str">
        <f>IF((E20)="-","-",'P FIT 1_4'!$E$12)</f>
        <v>H14</v>
      </c>
      <c r="J20" s="471"/>
      <c r="K20" s="471"/>
      <c r="L20" s="471"/>
      <c r="M20" s="464">
        <f>'P FIT 5_7 '!S27</f>
        <v>1E-3</v>
      </c>
      <c r="N20" s="464"/>
      <c r="O20" s="464"/>
      <c r="P20" s="464"/>
      <c r="Q20" s="490">
        <f>IF(E20="-","-",'P FIT 1_4'!$V$22)</f>
        <v>0.01</v>
      </c>
      <c r="R20" s="490"/>
      <c r="S20" s="490"/>
      <c r="T20" s="490"/>
      <c r="U20" s="491" t="str">
        <f t="shared" si="0"/>
        <v>Ja</v>
      </c>
      <c r="V20" s="492"/>
      <c r="W20" s="492"/>
      <c r="X20" s="493"/>
    </row>
    <row r="21" spans="1:26" customFormat="1" ht="12" customHeight="1">
      <c r="A21" s="497"/>
      <c r="B21" s="498"/>
      <c r="C21" s="498"/>
      <c r="D21" s="499"/>
      <c r="E21" s="467">
        <f>'P FIT 5_7 '!A32</f>
        <v>158.06999999999994</v>
      </c>
      <c r="F21" s="467"/>
      <c r="G21" s="467"/>
      <c r="H21" s="467"/>
      <c r="I21" s="471" t="str">
        <f>IF((E21)="-","-",'P FIT 1_4'!$E$12)</f>
        <v>H14</v>
      </c>
      <c r="J21" s="471"/>
      <c r="K21" s="471"/>
      <c r="L21" s="471"/>
      <c r="M21" s="464">
        <f>'P FIT 5_7 '!S32</f>
        <v>1E-3</v>
      </c>
      <c r="N21" s="464"/>
      <c r="O21" s="464"/>
      <c r="P21" s="464"/>
      <c r="Q21" s="490">
        <f>IF(E21="-","-",'P FIT 1_4'!$V$22)</f>
        <v>0.01</v>
      </c>
      <c r="R21" s="490"/>
      <c r="S21" s="490"/>
      <c r="T21" s="490"/>
      <c r="U21" s="491" t="str">
        <f t="shared" si="0"/>
        <v>Ja</v>
      </c>
      <c r="V21" s="492"/>
      <c r="W21" s="492"/>
      <c r="X21" s="493"/>
    </row>
    <row r="22" spans="1:26" customFormat="1" ht="12" customHeight="1">
      <c r="A22" s="497"/>
      <c r="B22" s="498"/>
      <c r="C22" s="498"/>
      <c r="D22" s="499"/>
      <c r="E22" s="467">
        <f>'P FIT 8_9'!A22</f>
        <v>158.07999999999993</v>
      </c>
      <c r="F22" s="467"/>
      <c r="G22" s="467"/>
      <c r="H22" s="467"/>
      <c r="I22" s="471" t="str">
        <f>IF((E22)="-","-",'P FIT 1_4'!$E$12)</f>
        <v>H14</v>
      </c>
      <c r="J22" s="471"/>
      <c r="K22" s="471"/>
      <c r="L22" s="471"/>
      <c r="M22" s="464">
        <f>'P FIT 8_9'!S22</f>
        <v>1E-3</v>
      </c>
      <c r="N22" s="464"/>
      <c r="O22" s="464"/>
      <c r="P22" s="464"/>
      <c r="Q22" s="490">
        <f>IF(E22="-","-",'P FIT 1_4'!$V$22)</f>
        <v>0.01</v>
      </c>
      <c r="R22" s="490"/>
      <c r="S22" s="490"/>
      <c r="T22" s="490"/>
      <c r="U22" s="491" t="str">
        <f t="shared" si="0"/>
        <v>Ja</v>
      </c>
      <c r="V22" s="492"/>
      <c r="W22" s="492"/>
      <c r="X22" s="493"/>
    </row>
    <row r="23" spans="1:26" customFormat="1" ht="12" customHeight="1">
      <c r="A23" s="497"/>
      <c r="B23" s="498"/>
      <c r="C23" s="498"/>
      <c r="D23" s="499"/>
      <c r="E23" s="467">
        <f>'P FIT 8_9'!A24</f>
        <v>158.08999999999992</v>
      </c>
      <c r="F23" s="467"/>
      <c r="G23" s="467"/>
      <c r="H23" s="467"/>
      <c r="I23" s="471" t="str">
        <f>IF((E23)="-","-",'P FIT 1_4'!$E$12)</f>
        <v>H14</v>
      </c>
      <c r="J23" s="471"/>
      <c r="K23" s="471"/>
      <c r="L23" s="471"/>
      <c r="M23" s="464">
        <f>'P FIT 8_9'!S24</f>
        <v>1E-3</v>
      </c>
      <c r="N23" s="464"/>
      <c r="O23" s="464"/>
      <c r="P23" s="464"/>
      <c r="Q23" s="490">
        <f>IF(E23="-","-",'P FIT 1_4'!$V$22)</f>
        <v>0.01</v>
      </c>
      <c r="R23" s="490"/>
      <c r="S23" s="490"/>
      <c r="T23" s="490"/>
      <c r="U23" s="491" t="str">
        <f t="shared" si="0"/>
        <v>Ja</v>
      </c>
      <c r="V23" s="492"/>
      <c r="W23" s="492"/>
      <c r="X23" s="493"/>
    </row>
    <row r="24" spans="1:26" customFormat="1" ht="12" customHeight="1">
      <c r="A24" s="497"/>
      <c r="B24" s="498"/>
      <c r="C24" s="498"/>
      <c r="D24" s="499"/>
      <c r="E24" s="467" t="s">
        <v>4</v>
      </c>
      <c r="F24" s="467"/>
      <c r="G24" s="467"/>
      <c r="H24" s="467"/>
      <c r="I24" s="471" t="str">
        <f>IF((E24)="-","-",'P FIT 1_4'!$E$12)</f>
        <v>-</v>
      </c>
      <c r="J24" s="471"/>
      <c r="K24" s="471"/>
      <c r="L24" s="471"/>
      <c r="M24" s="464" t="str">
        <f>IF(E24="-","-",'P FIT 1_4'!S27)</f>
        <v>-</v>
      </c>
      <c r="N24" s="464"/>
      <c r="O24" s="464"/>
      <c r="P24" s="464"/>
      <c r="Q24" s="490" t="str">
        <f>IF(E24="-","-",'P FIT 1_4'!$V$22)</f>
        <v>-</v>
      </c>
      <c r="R24" s="490"/>
      <c r="S24" s="490"/>
      <c r="T24" s="490"/>
      <c r="U24" s="491" t="str">
        <f t="shared" si="0"/>
        <v>-</v>
      </c>
      <c r="V24" s="492"/>
      <c r="W24" s="492"/>
      <c r="X24" s="493"/>
    </row>
    <row r="25" spans="1:26" customFormat="1" ht="12" customHeight="1">
      <c r="A25" s="497"/>
      <c r="B25" s="498"/>
      <c r="C25" s="498"/>
      <c r="D25" s="499"/>
      <c r="E25" s="467" t="s">
        <v>4</v>
      </c>
      <c r="F25" s="467"/>
      <c r="G25" s="467"/>
      <c r="H25" s="467"/>
      <c r="I25" s="471" t="str">
        <f>IF((E25)="-","-",'P FIT 1_4'!$E$12)</f>
        <v>-</v>
      </c>
      <c r="J25" s="471"/>
      <c r="K25" s="471"/>
      <c r="L25" s="471"/>
      <c r="M25" s="464" t="str">
        <f>IF(E25="-","-",'P FIT 1_4'!S28)</f>
        <v>-</v>
      </c>
      <c r="N25" s="464"/>
      <c r="O25" s="464"/>
      <c r="P25" s="464"/>
      <c r="Q25" s="490" t="str">
        <f>IF(E25="-","-",'P FIT 1_4'!$V$22)</f>
        <v>-</v>
      </c>
      <c r="R25" s="490"/>
      <c r="S25" s="490"/>
      <c r="T25" s="490"/>
      <c r="U25" s="491" t="str">
        <f t="shared" si="0"/>
        <v>-</v>
      </c>
      <c r="V25" s="492"/>
      <c r="W25" s="492"/>
      <c r="X25" s="493"/>
    </row>
    <row r="26" spans="1:26" customFormat="1" ht="12" customHeight="1">
      <c r="A26" s="497"/>
      <c r="B26" s="498"/>
      <c r="C26" s="498"/>
      <c r="D26" s="499"/>
      <c r="E26" s="467" t="s">
        <v>4</v>
      </c>
      <c r="F26" s="467"/>
      <c r="G26" s="467"/>
      <c r="H26" s="467"/>
      <c r="I26" s="471" t="str">
        <f>IF((E26)="-","-",'P FIT 1_4'!$E$12)</f>
        <v>-</v>
      </c>
      <c r="J26" s="471"/>
      <c r="K26" s="471"/>
      <c r="L26" s="471"/>
      <c r="M26" s="464" t="str">
        <f>IF(E26="-","-",'P FIT 1_4'!S29)</f>
        <v>-</v>
      </c>
      <c r="N26" s="464"/>
      <c r="O26" s="464"/>
      <c r="P26" s="464"/>
      <c r="Q26" s="490" t="str">
        <f>IF(E26="-","-",'P FIT 1_4'!$V$22)</f>
        <v>-</v>
      </c>
      <c r="R26" s="490"/>
      <c r="S26" s="490"/>
      <c r="T26" s="490"/>
      <c r="U26" s="491" t="str">
        <f t="shared" si="0"/>
        <v>-</v>
      </c>
      <c r="V26" s="492"/>
      <c r="W26" s="492"/>
      <c r="X26" s="493"/>
      <c r="Z26" s="322"/>
    </row>
    <row r="27" spans="1:26" customFormat="1" ht="12" customHeight="1">
      <c r="A27" s="497"/>
      <c r="B27" s="498"/>
      <c r="C27" s="498"/>
      <c r="D27" s="499"/>
      <c r="E27" s="467" t="s">
        <v>4</v>
      </c>
      <c r="F27" s="467"/>
      <c r="G27" s="467"/>
      <c r="H27" s="467"/>
      <c r="I27" s="471" t="str">
        <f>IF((E27)="-","-",'P FIT 1_4'!$E$12)</f>
        <v>-</v>
      </c>
      <c r="J27" s="471"/>
      <c r="K27" s="471"/>
      <c r="L27" s="471"/>
      <c r="M27" s="464" t="str">
        <f>IF(E27="-","-",'P FIT 1_4'!#REF!)</f>
        <v>-</v>
      </c>
      <c r="N27" s="464"/>
      <c r="O27" s="464"/>
      <c r="P27" s="464"/>
      <c r="Q27" s="490" t="str">
        <f>IF(E27="-","-",'P FIT 1_4'!$V$22)</f>
        <v>-</v>
      </c>
      <c r="R27" s="490"/>
      <c r="S27" s="490"/>
      <c r="T27" s="490"/>
      <c r="U27" s="491" t="str">
        <f t="shared" si="0"/>
        <v>-</v>
      </c>
      <c r="V27" s="492"/>
      <c r="W27" s="492"/>
      <c r="X27" s="493"/>
    </row>
    <row r="28" spans="1:26" customFormat="1" ht="12" customHeight="1">
      <c r="A28" s="497"/>
      <c r="B28" s="498"/>
      <c r="C28" s="498"/>
      <c r="D28" s="499"/>
      <c r="E28" s="467" t="s">
        <v>4</v>
      </c>
      <c r="F28" s="467"/>
      <c r="G28" s="467"/>
      <c r="H28" s="467"/>
      <c r="I28" s="471" t="str">
        <f>IF((E28)="-","-",'P FIT 1_4'!$E$12)</f>
        <v>-</v>
      </c>
      <c r="J28" s="471"/>
      <c r="K28" s="471"/>
      <c r="L28" s="471"/>
      <c r="M28" s="464" t="str">
        <f>IF(E28="-","-",'P FIT 1_4'!#REF!)</f>
        <v>-</v>
      </c>
      <c r="N28" s="464"/>
      <c r="O28" s="464"/>
      <c r="P28" s="464"/>
      <c r="Q28" s="490" t="str">
        <f>IF(E28="-","-",'P FIT 1_4'!$V$22)</f>
        <v>-</v>
      </c>
      <c r="R28" s="490"/>
      <c r="S28" s="490"/>
      <c r="T28" s="490"/>
      <c r="U28" s="491" t="str">
        <f t="shared" si="0"/>
        <v>-</v>
      </c>
      <c r="V28" s="492"/>
      <c r="W28" s="492"/>
      <c r="X28" s="493"/>
    </row>
    <row r="29" spans="1:26" customFormat="1" ht="12" customHeight="1">
      <c r="A29" s="497"/>
      <c r="B29" s="498"/>
      <c r="C29" s="498"/>
      <c r="D29" s="499"/>
      <c r="E29" s="467" t="s">
        <v>4</v>
      </c>
      <c r="F29" s="467"/>
      <c r="G29" s="467"/>
      <c r="H29" s="467"/>
      <c r="I29" s="471" t="str">
        <f>IF((E29)="-","-",'P FIT 1_4'!$E$12)</f>
        <v>-</v>
      </c>
      <c r="J29" s="471"/>
      <c r="K29" s="471"/>
      <c r="L29" s="471"/>
      <c r="M29" s="464" t="str">
        <f>IF(E29="-","-",'P FIT 1_4'!#REF!)</f>
        <v>-</v>
      </c>
      <c r="N29" s="464"/>
      <c r="O29" s="464"/>
      <c r="P29" s="464"/>
      <c r="Q29" s="490" t="str">
        <f>IF(E29="-","-",'P FIT 1_4'!$V$22)</f>
        <v>-</v>
      </c>
      <c r="R29" s="490"/>
      <c r="S29" s="490"/>
      <c r="T29" s="490"/>
      <c r="U29" s="491" t="str">
        <f t="shared" si="0"/>
        <v>-</v>
      </c>
      <c r="V29" s="492"/>
      <c r="W29" s="492"/>
      <c r="X29" s="493"/>
    </row>
    <row r="30" spans="1:26" customFormat="1" ht="12" customHeight="1">
      <c r="A30" s="497"/>
      <c r="B30" s="498"/>
      <c r="C30" s="498"/>
      <c r="D30" s="499"/>
      <c r="E30" s="467" t="s">
        <v>4</v>
      </c>
      <c r="F30" s="467"/>
      <c r="G30" s="467"/>
      <c r="H30" s="467"/>
      <c r="I30" s="471" t="str">
        <f>IF((E30)="-","-",'P FIT 1_4'!$E$12)</f>
        <v>-</v>
      </c>
      <c r="J30" s="471"/>
      <c r="K30" s="471"/>
      <c r="L30" s="471"/>
      <c r="M30" s="464" t="str">
        <f>IF(E30="-","-",'P FIT 1_4'!#REF!)</f>
        <v>-</v>
      </c>
      <c r="N30" s="464"/>
      <c r="O30" s="464"/>
      <c r="P30" s="464"/>
      <c r="Q30" s="490" t="str">
        <f>IF(E30="-","-",'P FIT 1_4'!$V$22)</f>
        <v>-</v>
      </c>
      <c r="R30" s="490"/>
      <c r="S30" s="490"/>
      <c r="T30" s="490"/>
      <c r="U30" s="491" t="str">
        <f t="shared" si="0"/>
        <v>-</v>
      </c>
      <c r="V30" s="492"/>
      <c r="W30" s="492"/>
      <c r="X30" s="493"/>
    </row>
    <row r="31" spans="1:26" customFormat="1" ht="12" customHeight="1">
      <c r="A31" s="497"/>
      <c r="B31" s="498"/>
      <c r="C31" s="498"/>
      <c r="D31" s="499"/>
      <c r="E31" s="467" t="s">
        <v>4</v>
      </c>
      <c r="F31" s="467"/>
      <c r="G31" s="467"/>
      <c r="H31" s="467"/>
      <c r="I31" s="471" t="str">
        <f>IF((E31)="-","-",'P FIT 1_4'!$E$12)</f>
        <v>-</v>
      </c>
      <c r="J31" s="471"/>
      <c r="K31" s="471"/>
      <c r="L31" s="471"/>
      <c r="M31" s="464" t="str">
        <f>IF(E31="-","-",'P FIT 1_4'!S30)</f>
        <v>-</v>
      </c>
      <c r="N31" s="464"/>
      <c r="O31" s="464"/>
      <c r="P31" s="464"/>
      <c r="Q31" s="490" t="str">
        <f>IF(E31="-","-",'P FIT 1_4'!$V$22)</f>
        <v>-</v>
      </c>
      <c r="R31" s="490"/>
      <c r="S31" s="490"/>
      <c r="T31" s="490"/>
      <c r="U31" s="491" t="str">
        <f t="shared" si="0"/>
        <v>-</v>
      </c>
      <c r="V31" s="492"/>
      <c r="W31" s="492"/>
      <c r="X31" s="493"/>
    </row>
    <row r="32" spans="1:26" customFormat="1" ht="12" customHeight="1">
      <c r="A32" s="497"/>
      <c r="B32" s="498"/>
      <c r="C32" s="498"/>
      <c r="D32" s="499"/>
      <c r="E32" s="467" t="s">
        <v>4</v>
      </c>
      <c r="F32" s="467"/>
      <c r="G32" s="467"/>
      <c r="H32" s="467"/>
      <c r="I32" s="471" t="str">
        <f>IF((E32)="-","-",'P FIT 1_4'!$E$12)</f>
        <v>-</v>
      </c>
      <c r="J32" s="471"/>
      <c r="K32" s="471"/>
      <c r="L32" s="471"/>
      <c r="M32" s="464" t="str">
        <f>IF(E32="-","-",'P FIT 1_4'!S31)</f>
        <v>-</v>
      </c>
      <c r="N32" s="464"/>
      <c r="O32" s="464"/>
      <c r="P32" s="464"/>
      <c r="Q32" s="490" t="str">
        <f>IF(E32="-","-",'P FIT 1_4'!$V$22)</f>
        <v>-</v>
      </c>
      <c r="R32" s="490"/>
      <c r="S32" s="490"/>
      <c r="T32" s="490"/>
      <c r="U32" s="491" t="str">
        <f t="shared" si="0"/>
        <v>-</v>
      </c>
      <c r="V32" s="492"/>
      <c r="W32" s="492"/>
      <c r="X32" s="493"/>
    </row>
    <row r="33" spans="1:32" customFormat="1" ht="12" customHeight="1">
      <c r="A33" s="497"/>
      <c r="B33" s="498"/>
      <c r="C33" s="498"/>
      <c r="D33" s="499"/>
      <c r="E33" s="467" t="s">
        <v>4</v>
      </c>
      <c r="F33" s="467"/>
      <c r="G33" s="467"/>
      <c r="H33" s="467"/>
      <c r="I33" s="471" t="str">
        <f>IF((E33)="-","-",'P FIT 1_4'!$E$12)</f>
        <v>-</v>
      </c>
      <c r="J33" s="471"/>
      <c r="K33" s="471"/>
      <c r="L33" s="471"/>
      <c r="M33" s="464" t="str">
        <f>IF(E33="-","-",'P FIT 1_4'!S32)</f>
        <v>-</v>
      </c>
      <c r="N33" s="464"/>
      <c r="O33" s="464"/>
      <c r="P33" s="464"/>
      <c r="Q33" s="490" t="str">
        <f>IF(E33="-","-",'P FIT 1_4'!$V$22)</f>
        <v>-</v>
      </c>
      <c r="R33" s="490"/>
      <c r="S33" s="490"/>
      <c r="T33" s="490"/>
      <c r="U33" s="491" t="str">
        <f t="shared" si="0"/>
        <v>-</v>
      </c>
      <c r="V33" s="492"/>
      <c r="W33" s="492"/>
      <c r="X33" s="493"/>
    </row>
    <row r="34" spans="1:32" ht="12" customHeight="1">
      <c r="A34" s="497"/>
      <c r="B34" s="498"/>
      <c r="C34" s="498"/>
      <c r="D34" s="499"/>
      <c r="E34" s="467" t="s">
        <v>4</v>
      </c>
      <c r="F34" s="467"/>
      <c r="G34" s="467"/>
      <c r="H34" s="467"/>
      <c r="I34" s="471" t="str">
        <f>IF((E34)="-","-",'P FIT 1_4'!$E$12)</f>
        <v>-</v>
      </c>
      <c r="J34" s="471"/>
      <c r="K34" s="471"/>
      <c r="L34" s="471"/>
      <c r="M34" s="464" t="str">
        <f>IF(E34="-","-",'P FIT 1_4'!S33)</f>
        <v>-</v>
      </c>
      <c r="N34" s="464"/>
      <c r="O34" s="464"/>
      <c r="P34" s="464"/>
      <c r="Q34" s="490" t="str">
        <f>IF(E34="-","-",'P FIT 1_4'!$V$22)</f>
        <v>-</v>
      </c>
      <c r="R34" s="490"/>
      <c r="S34" s="490"/>
      <c r="T34" s="490"/>
      <c r="U34" s="491" t="str">
        <f t="shared" si="0"/>
        <v>-</v>
      </c>
      <c r="V34" s="492"/>
      <c r="W34" s="492"/>
      <c r="X34" s="493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 s="497"/>
      <c r="B35" s="498"/>
      <c r="C35" s="498"/>
      <c r="D35" s="499"/>
      <c r="E35" s="467" t="s">
        <v>4</v>
      </c>
      <c r="F35" s="467"/>
      <c r="G35" s="467"/>
      <c r="H35" s="467"/>
      <c r="I35" s="471" t="str">
        <f>IF((E35)="-","-",'P FIT 1_4'!$E$12)</f>
        <v>-</v>
      </c>
      <c r="J35" s="471"/>
      <c r="K35" s="471"/>
      <c r="L35" s="471"/>
      <c r="M35" s="464" t="str">
        <f>IF(E35="-","-",'P FIT 1_4'!#REF!)</f>
        <v>-</v>
      </c>
      <c r="N35" s="464"/>
      <c r="O35" s="464"/>
      <c r="P35" s="464"/>
      <c r="Q35" s="490" t="str">
        <f>IF(E35="-","-",'P FIT 1_4'!$V$22)</f>
        <v>-</v>
      </c>
      <c r="R35" s="490"/>
      <c r="S35" s="490"/>
      <c r="T35" s="490"/>
      <c r="U35" s="491" t="str">
        <f t="shared" si="0"/>
        <v>-</v>
      </c>
      <c r="V35" s="492"/>
      <c r="W35" s="492"/>
      <c r="X35" s="493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 s="497"/>
      <c r="B36" s="498"/>
      <c r="C36" s="498"/>
      <c r="D36" s="499"/>
      <c r="E36" s="467" t="s">
        <v>4</v>
      </c>
      <c r="F36" s="467"/>
      <c r="G36" s="467"/>
      <c r="H36" s="467"/>
      <c r="I36" s="471" t="str">
        <f>IF((E36)="-","-",'P FIT 1_4'!$E$12)</f>
        <v>-</v>
      </c>
      <c r="J36" s="471"/>
      <c r="K36" s="471"/>
      <c r="L36" s="471"/>
      <c r="M36" s="464" t="str">
        <f>IF(E36="-","-",'P FIT 1_4'!#REF!)</f>
        <v>-</v>
      </c>
      <c r="N36" s="464"/>
      <c r="O36" s="464"/>
      <c r="P36" s="464"/>
      <c r="Q36" s="490" t="str">
        <f>IF(E36="-","-",'P FIT 1_4'!$V$22)</f>
        <v>-</v>
      </c>
      <c r="R36" s="490"/>
      <c r="S36" s="490"/>
      <c r="T36" s="490"/>
      <c r="U36" s="491" t="str">
        <f t="shared" si="0"/>
        <v>-</v>
      </c>
      <c r="V36" s="492"/>
      <c r="W36" s="492"/>
      <c r="X36" s="493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 s="497"/>
      <c r="B37" s="498"/>
      <c r="C37" s="498"/>
      <c r="D37" s="499"/>
      <c r="E37" s="467" t="s">
        <v>4</v>
      </c>
      <c r="F37" s="467"/>
      <c r="G37" s="467"/>
      <c r="H37" s="467"/>
      <c r="I37" s="471" t="str">
        <f>IF((E37)="-","-",'P FIT 1_4'!$E$12)</f>
        <v>-</v>
      </c>
      <c r="J37" s="471"/>
      <c r="K37" s="471"/>
      <c r="L37" s="471"/>
      <c r="M37" s="464" t="str">
        <f>IF(E37="-","-",'P FIT 1_4'!#REF!)</f>
        <v>-</v>
      </c>
      <c r="N37" s="464"/>
      <c r="O37" s="464"/>
      <c r="P37" s="464"/>
      <c r="Q37" s="490" t="str">
        <f>IF(E37="-","-",'P FIT 1_4'!$V$22)</f>
        <v>-</v>
      </c>
      <c r="R37" s="490"/>
      <c r="S37" s="490"/>
      <c r="T37" s="490"/>
      <c r="U37" s="491" t="str">
        <f t="shared" si="0"/>
        <v>-</v>
      </c>
      <c r="V37" s="492"/>
      <c r="W37" s="492"/>
      <c r="X37" s="493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 s="500"/>
      <c r="B38" s="501"/>
      <c r="C38" s="501"/>
      <c r="D38" s="502"/>
      <c r="E38" s="467" t="s">
        <v>4</v>
      </c>
      <c r="F38" s="467"/>
      <c r="G38" s="467"/>
      <c r="H38" s="467"/>
      <c r="I38" s="471" t="str">
        <f>IF((E38)="-","-",'P FIT 1_4'!$E$12)</f>
        <v>-</v>
      </c>
      <c r="J38" s="471"/>
      <c r="K38" s="471"/>
      <c r="L38" s="471"/>
      <c r="M38" s="464" t="str">
        <f>IF(E38="-","-",'P FIT 1_4'!#REF!)</f>
        <v>-</v>
      </c>
      <c r="N38" s="464"/>
      <c r="O38" s="464"/>
      <c r="P38" s="464"/>
      <c r="Q38" s="490" t="str">
        <f>IF(E38="-","-",'P FIT 1_4'!$V$22)</f>
        <v>-</v>
      </c>
      <c r="R38" s="490"/>
      <c r="S38" s="490"/>
      <c r="T38" s="490"/>
      <c r="U38" s="491" t="str">
        <f t="shared" si="0"/>
        <v>-</v>
      </c>
      <c r="V38" s="492"/>
      <c r="W38" s="492"/>
      <c r="X38" s="493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2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2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68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34">
    <mergeCell ref="E38:H38"/>
    <mergeCell ref="I38:L38"/>
    <mergeCell ref="M38:P38"/>
    <mergeCell ref="Q38:T38"/>
    <mergeCell ref="U38:X38"/>
    <mergeCell ref="A48:X48"/>
    <mergeCell ref="E36:H36"/>
    <mergeCell ref="I36:L36"/>
    <mergeCell ref="M36:P36"/>
    <mergeCell ref="Q36:T36"/>
    <mergeCell ref="U36:X36"/>
    <mergeCell ref="E37:H37"/>
    <mergeCell ref="I37:L37"/>
    <mergeCell ref="M37:P37"/>
    <mergeCell ref="Q37:T37"/>
    <mergeCell ref="U37:X37"/>
    <mergeCell ref="A15:D38"/>
    <mergeCell ref="E34:H34"/>
    <mergeCell ref="I34:L34"/>
    <mergeCell ref="M34:P34"/>
    <mergeCell ref="Q34:T34"/>
    <mergeCell ref="U34:X34"/>
    <mergeCell ref="E35:H35"/>
    <mergeCell ref="I35:L35"/>
    <mergeCell ref="M35:P35"/>
    <mergeCell ref="Q35:T35"/>
    <mergeCell ref="U35:X35"/>
    <mergeCell ref="E32:H32"/>
    <mergeCell ref="I32:L32"/>
    <mergeCell ref="M32:P32"/>
    <mergeCell ref="Q32:T32"/>
    <mergeCell ref="U32:X32"/>
    <mergeCell ref="E33:H33"/>
    <mergeCell ref="I33:L33"/>
    <mergeCell ref="M33:P33"/>
    <mergeCell ref="Q33:T33"/>
    <mergeCell ref="U33:X33"/>
    <mergeCell ref="E30:H30"/>
    <mergeCell ref="I30:L30"/>
    <mergeCell ref="M30:P30"/>
    <mergeCell ref="Q30:T30"/>
    <mergeCell ref="U30:X30"/>
    <mergeCell ref="E31:H31"/>
    <mergeCell ref="I31:L31"/>
    <mergeCell ref="M31:P31"/>
    <mergeCell ref="Q31:T31"/>
    <mergeCell ref="U31:X31"/>
    <mergeCell ref="E28:H28"/>
    <mergeCell ref="I28:L28"/>
    <mergeCell ref="M28:P28"/>
    <mergeCell ref="Q28:T28"/>
    <mergeCell ref="U28:X28"/>
    <mergeCell ref="E29:H29"/>
    <mergeCell ref="I29:L29"/>
    <mergeCell ref="M29:P29"/>
    <mergeCell ref="Q29:T29"/>
    <mergeCell ref="U29:X29"/>
    <mergeCell ref="E26:H26"/>
    <mergeCell ref="I26:L26"/>
    <mergeCell ref="M26:P26"/>
    <mergeCell ref="Q26:T26"/>
    <mergeCell ref="U26:X26"/>
    <mergeCell ref="E27:H27"/>
    <mergeCell ref="I27:L27"/>
    <mergeCell ref="M27:P27"/>
    <mergeCell ref="Q27:T27"/>
    <mergeCell ref="U27:X27"/>
    <mergeCell ref="E24:H24"/>
    <mergeCell ref="I24:L24"/>
    <mergeCell ref="M24:P24"/>
    <mergeCell ref="Q24:T24"/>
    <mergeCell ref="U24:X24"/>
    <mergeCell ref="E25:H25"/>
    <mergeCell ref="I25:L25"/>
    <mergeCell ref="M25:P25"/>
    <mergeCell ref="Q25:T25"/>
    <mergeCell ref="U25:X25"/>
    <mergeCell ref="E22:H22"/>
    <mergeCell ref="I22:L22"/>
    <mergeCell ref="M22:P22"/>
    <mergeCell ref="Q22:T22"/>
    <mergeCell ref="U22:X22"/>
    <mergeCell ref="E23:H23"/>
    <mergeCell ref="I23:L23"/>
    <mergeCell ref="M23:P23"/>
    <mergeCell ref="Q23:T23"/>
    <mergeCell ref="U23:X23"/>
    <mergeCell ref="E20:H20"/>
    <mergeCell ref="I20:L20"/>
    <mergeCell ref="M20:P20"/>
    <mergeCell ref="Q20:T20"/>
    <mergeCell ref="U20:X20"/>
    <mergeCell ref="E21:H21"/>
    <mergeCell ref="I21:L21"/>
    <mergeCell ref="M21:P21"/>
    <mergeCell ref="Q21:T21"/>
    <mergeCell ref="U21:X21"/>
    <mergeCell ref="E18:H18"/>
    <mergeCell ref="I18:L18"/>
    <mergeCell ref="M18:P18"/>
    <mergeCell ref="Q18:T18"/>
    <mergeCell ref="U18:X18"/>
    <mergeCell ref="E19:H19"/>
    <mergeCell ref="I19:L19"/>
    <mergeCell ref="M19:P19"/>
    <mergeCell ref="Q19:T19"/>
    <mergeCell ref="U19:X19"/>
    <mergeCell ref="M16:P16"/>
    <mergeCell ref="Q16:T16"/>
    <mergeCell ref="U16:X16"/>
    <mergeCell ref="E17:H17"/>
    <mergeCell ref="I17:L17"/>
    <mergeCell ref="M17:P17"/>
    <mergeCell ref="Q17:T17"/>
    <mergeCell ref="U17:X17"/>
    <mergeCell ref="Q14:T14"/>
    <mergeCell ref="U14:X14"/>
    <mergeCell ref="E15:H15"/>
    <mergeCell ref="I15:L15"/>
    <mergeCell ref="M15:P15"/>
    <mergeCell ref="Q15:T15"/>
    <mergeCell ref="U15:X15"/>
    <mergeCell ref="E16:H16"/>
    <mergeCell ref="I16:L16"/>
    <mergeCell ref="R5:W5"/>
    <mergeCell ref="A9:X10"/>
    <mergeCell ref="A11:D14"/>
    <mergeCell ref="E11:H14"/>
    <mergeCell ref="I11:L14"/>
    <mergeCell ref="M11:P13"/>
    <mergeCell ref="Q11:T13"/>
    <mergeCell ref="U11:X12"/>
    <mergeCell ref="U13:X13"/>
    <mergeCell ref="M14:P14"/>
  </mergeCells>
  <conditionalFormatting sqref="M11 Q14 Y18:Y21">
    <cfRule type="expression" dxfId="5" priority="2">
      <formula>"ISTLEER()"</formula>
    </cfRule>
  </conditionalFormatting>
  <conditionalFormatting sqref="M14">
    <cfRule type="expression" dxfId="4" priority="1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DF46-2059-48F8-88CF-A1E9B85557EC}">
  <sheetPr codeName="Tabelle18">
    <tabColor theme="8" tint="0.79998168889431442"/>
    <pageSetUpPr fitToPage="1"/>
  </sheetPr>
  <dimension ref="A1:AW59"/>
  <sheetViews>
    <sheetView showGridLines="0" view="pageBreakPreview" zoomScale="96" zoomScaleNormal="145" zoomScaleSheetLayoutView="96" zoomScalePageLayoutView="103" workbookViewId="0">
      <selection activeCell="R4" sqref="R4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16</v>
      </c>
      <c r="B1" s="5"/>
      <c r="C1" s="5"/>
      <c r="D1" s="5"/>
      <c r="E1" s="245" t="s">
        <v>150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Seitenregister!X7</f>
        <v>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03" t="s">
        <v>104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504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505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7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508" t="s">
        <v>185</v>
      </c>
      <c r="B11" s="508"/>
      <c r="C11" s="508"/>
      <c r="D11" s="508"/>
      <c r="E11" s="509" t="s">
        <v>104</v>
      </c>
      <c r="F11" s="510"/>
      <c r="G11" s="510"/>
      <c r="H11" s="510"/>
      <c r="I11" s="510"/>
      <c r="J11" s="511"/>
      <c r="K11" s="479" t="s">
        <v>122</v>
      </c>
      <c r="L11" s="480"/>
      <c r="M11" s="480"/>
      <c r="N11" s="480"/>
      <c r="O11" s="481"/>
      <c r="P11" s="479" t="s">
        <v>212</v>
      </c>
      <c r="Q11" s="480"/>
      <c r="R11" s="480"/>
      <c r="S11" s="480"/>
      <c r="T11" s="481"/>
      <c r="U11" s="476" t="s">
        <v>16</v>
      </c>
      <c r="V11" s="476"/>
      <c r="W11" s="476"/>
      <c r="X11" s="47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508"/>
      <c r="B12" s="508"/>
      <c r="C12" s="508"/>
      <c r="D12" s="508"/>
      <c r="E12" s="512"/>
      <c r="F12" s="513"/>
      <c r="G12" s="513"/>
      <c r="H12" s="513"/>
      <c r="I12" s="513"/>
      <c r="J12" s="514"/>
      <c r="K12" s="482"/>
      <c r="L12" s="483"/>
      <c r="M12" s="483"/>
      <c r="N12" s="483"/>
      <c r="O12" s="484"/>
      <c r="P12" s="482"/>
      <c r="Q12" s="483"/>
      <c r="R12" s="483"/>
      <c r="S12" s="483"/>
      <c r="T12" s="484"/>
      <c r="U12" s="477"/>
      <c r="V12" s="477"/>
      <c r="W12" s="477"/>
      <c r="X12" s="477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508"/>
      <c r="B13" s="508"/>
      <c r="C13" s="508"/>
      <c r="D13" s="508"/>
      <c r="E13" s="512"/>
      <c r="F13" s="513"/>
      <c r="G13" s="513"/>
      <c r="H13" s="513"/>
      <c r="I13" s="513"/>
      <c r="J13" s="514"/>
      <c r="K13" s="482"/>
      <c r="L13" s="483"/>
      <c r="M13" s="483"/>
      <c r="N13" s="483"/>
      <c r="O13" s="484"/>
      <c r="P13" s="482"/>
      <c r="Q13" s="483"/>
      <c r="R13" s="483"/>
      <c r="S13" s="483"/>
      <c r="T13" s="484"/>
      <c r="U13" s="470" t="s">
        <v>186</v>
      </c>
      <c r="V13" s="470"/>
      <c r="W13" s="470"/>
      <c r="X13" s="47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508"/>
      <c r="B14" s="508"/>
      <c r="C14" s="508"/>
      <c r="D14" s="508"/>
      <c r="E14" s="143"/>
      <c r="F14" s="59"/>
      <c r="G14" s="59"/>
      <c r="H14" s="59"/>
      <c r="I14" s="59"/>
      <c r="J14" s="62"/>
      <c r="K14" s="515" t="s">
        <v>213</v>
      </c>
      <c r="L14" s="516"/>
      <c r="M14" s="516"/>
      <c r="N14" s="516"/>
      <c r="O14" s="517"/>
      <c r="P14" s="515" t="s">
        <v>213</v>
      </c>
      <c r="Q14" s="516"/>
      <c r="R14" s="516"/>
      <c r="S14" s="516"/>
      <c r="T14" s="517"/>
      <c r="U14" s="478" t="s">
        <v>19</v>
      </c>
      <c r="V14" s="478"/>
      <c r="W14" s="478"/>
      <c r="X14" s="478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485" t="str">
        <f>Eingabe_!D7</f>
        <v>OP 1   rooms/roomname</v>
      </c>
      <c r="B15" s="485"/>
      <c r="C15" s="485"/>
      <c r="D15" s="485"/>
      <c r="E15" s="486" t="s">
        <v>84</v>
      </c>
      <c r="F15" s="486"/>
      <c r="G15" s="486"/>
      <c r="H15" s="486"/>
      <c r="I15" s="486"/>
      <c r="J15" s="486"/>
      <c r="K15" s="518">
        <f>'P Volumenströme'!T20</f>
        <v>5196.1010773310236</v>
      </c>
      <c r="L15" s="518"/>
      <c r="M15" s="518"/>
      <c r="N15" s="518"/>
      <c r="O15" s="518"/>
      <c r="P15" s="520">
        <f>'P Volumenströme'!T22</f>
        <v>5190</v>
      </c>
      <c r="Q15" s="520"/>
      <c r="R15" s="520"/>
      <c r="S15" s="520"/>
      <c r="T15" s="520"/>
      <c r="U15" s="486" t="str">
        <f>IF(K15&lt;P15,"Nein","Ja")</f>
        <v>Ja</v>
      </c>
      <c r="V15" s="486"/>
      <c r="W15" s="486"/>
      <c r="X15" s="486"/>
      <c r="Y15" s="2"/>
    </row>
    <row r="16" spans="1:49" customFormat="1" ht="12" customHeight="1">
      <c r="A16" s="485"/>
      <c r="B16" s="485"/>
      <c r="C16" s="485"/>
      <c r="D16" s="485"/>
      <c r="E16" s="486"/>
      <c r="F16" s="486"/>
      <c r="G16" s="486"/>
      <c r="H16" s="486"/>
      <c r="I16" s="486"/>
      <c r="J16" s="486"/>
      <c r="K16" s="518"/>
      <c r="L16" s="518"/>
      <c r="M16" s="518"/>
      <c r="N16" s="518"/>
      <c r="O16" s="518"/>
      <c r="P16" s="520"/>
      <c r="Q16" s="520"/>
      <c r="R16" s="520"/>
      <c r="S16" s="520"/>
      <c r="T16" s="520"/>
      <c r="U16" s="486"/>
      <c r="V16" s="486"/>
      <c r="W16" s="486"/>
      <c r="X16" s="486"/>
      <c r="Y16" s="2"/>
    </row>
    <row r="17" spans="1:32" customFormat="1" ht="12" customHeight="1">
      <c r="A17" s="485"/>
      <c r="B17" s="485"/>
      <c r="C17" s="485"/>
      <c r="D17" s="485"/>
      <c r="E17" s="486"/>
      <c r="F17" s="486"/>
      <c r="G17" s="486"/>
      <c r="H17" s="486"/>
      <c r="I17" s="486"/>
      <c r="J17" s="486"/>
      <c r="K17" s="518"/>
      <c r="L17" s="518"/>
      <c r="M17" s="518"/>
      <c r="N17" s="518"/>
      <c r="O17" s="518"/>
      <c r="P17" s="520"/>
      <c r="Q17" s="520"/>
      <c r="R17" s="520"/>
      <c r="S17" s="520"/>
      <c r="T17" s="520"/>
      <c r="U17" s="486"/>
      <c r="V17" s="486"/>
      <c r="W17" s="486"/>
      <c r="X17" s="486"/>
      <c r="Y17" s="2"/>
    </row>
    <row r="18" spans="1:32" customFormat="1" ht="12" customHeight="1">
      <c r="A18" s="485"/>
      <c r="B18" s="485"/>
      <c r="C18" s="485"/>
      <c r="D18" s="485"/>
      <c r="E18" s="486"/>
      <c r="F18" s="486"/>
      <c r="G18" s="486"/>
      <c r="H18" s="486"/>
      <c r="I18" s="486"/>
      <c r="J18" s="486"/>
      <c r="K18" s="518"/>
      <c r="L18" s="518"/>
      <c r="M18" s="518"/>
      <c r="N18" s="518"/>
      <c r="O18" s="518"/>
      <c r="P18" s="520"/>
      <c r="Q18" s="520"/>
      <c r="R18" s="520"/>
      <c r="S18" s="520"/>
      <c r="T18" s="520"/>
      <c r="U18" s="486"/>
      <c r="V18" s="486"/>
      <c r="W18" s="486"/>
      <c r="X18" s="486"/>
    </row>
    <row r="19" spans="1:32" customFormat="1" ht="12" customHeight="1">
      <c r="A19" s="485"/>
      <c r="B19" s="485"/>
      <c r="C19" s="485"/>
      <c r="D19" s="485"/>
      <c r="E19" s="486"/>
      <c r="F19" s="486"/>
      <c r="G19" s="486"/>
      <c r="H19" s="486"/>
      <c r="I19" s="486"/>
      <c r="J19" s="486"/>
      <c r="K19" s="518"/>
      <c r="L19" s="518"/>
      <c r="M19" s="518"/>
      <c r="N19" s="518"/>
      <c r="O19" s="518"/>
      <c r="P19" s="520"/>
      <c r="Q19" s="520"/>
      <c r="R19" s="520"/>
      <c r="S19" s="520"/>
      <c r="T19" s="520"/>
      <c r="U19" s="486"/>
      <c r="V19" s="486"/>
      <c r="W19" s="486"/>
      <c r="X19" s="486"/>
    </row>
    <row r="20" spans="1:32" customFormat="1" ht="12" customHeight="1">
      <c r="A20" s="485"/>
      <c r="B20" s="485"/>
      <c r="C20" s="485"/>
      <c r="D20" s="485"/>
      <c r="E20" s="486" t="s">
        <v>85</v>
      </c>
      <c r="F20" s="486"/>
      <c r="G20" s="486"/>
      <c r="H20" s="486"/>
      <c r="I20" s="486"/>
      <c r="J20" s="486"/>
      <c r="K20" s="519">
        <f>'P Volumenströme'!T39</f>
        <v>4818</v>
      </c>
      <c r="L20" s="486"/>
      <c r="M20" s="486"/>
      <c r="N20" s="486"/>
      <c r="O20" s="486"/>
      <c r="P20" s="520" t="str">
        <f>'P Volumenströme'!T41</f>
        <v>keine Vorgabe</v>
      </c>
      <c r="Q20" s="520"/>
      <c r="R20" s="520"/>
      <c r="S20" s="520"/>
      <c r="T20" s="520"/>
      <c r="U20" s="486" t="str">
        <f>IF(P20="keine Vorgabe","n.a.",(IF(K20&lt;P20,"Nein","Ja")))</f>
        <v>n.a.</v>
      </c>
      <c r="V20" s="486"/>
      <c r="W20" s="486"/>
      <c r="X20" s="486"/>
    </row>
    <row r="21" spans="1:32" customFormat="1" ht="12" customHeight="1">
      <c r="A21" s="485"/>
      <c r="B21" s="485"/>
      <c r="C21" s="485"/>
      <c r="D21" s="485"/>
      <c r="E21" s="486"/>
      <c r="F21" s="486"/>
      <c r="G21" s="486"/>
      <c r="H21" s="486"/>
      <c r="I21" s="486"/>
      <c r="J21" s="486"/>
      <c r="K21" s="486"/>
      <c r="L21" s="486"/>
      <c r="M21" s="486"/>
      <c r="N21" s="486"/>
      <c r="O21" s="486"/>
      <c r="P21" s="520"/>
      <c r="Q21" s="520"/>
      <c r="R21" s="520"/>
      <c r="S21" s="520"/>
      <c r="T21" s="520"/>
      <c r="U21" s="486"/>
      <c r="V21" s="486"/>
      <c r="W21" s="486"/>
      <c r="X21" s="486"/>
      <c r="Z21" s="322"/>
    </row>
    <row r="22" spans="1:32" customFormat="1" ht="12" customHeight="1">
      <c r="A22" s="485"/>
      <c r="B22" s="485"/>
      <c r="C22" s="485"/>
      <c r="D22" s="485"/>
      <c r="E22" s="486"/>
      <c r="F22" s="486"/>
      <c r="G22" s="486"/>
      <c r="H22" s="486"/>
      <c r="I22" s="486"/>
      <c r="J22" s="486"/>
      <c r="K22" s="486"/>
      <c r="L22" s="486"/>
      <c r="M22" s="486"/>
      <c r="N22" s="486"/>
      <c r="O22" s="486"/>
      <c r="P22" s="520"/>
      <c r="Q22" s="520"/>
      <c r="R22" s="520"/>
      <c r="S22" s="520"/>
      <c r="T22" s="520"/>
      <c r="U22" s="486"/>
      <c r="V22" s="486"/>
      <c r="W22" s="486"/>
      <c r="X22" s="486"/>
    </row>
    <row r="23" spans="1:32" customFormat="1" ht="12" customHeight="1">
      <c r="A23" s="485"/>
      <c r="B23" s="485"/>
      <c r="C23" s="485"/>
      <c r="D23" s="485"/>
      <c r="E23" s="486"/>
      <c r="F23" s="486"/>
      <c r="G23" s="486"/>
      <c r="H23" s="486"/>
      <c r="I23" s="486"/>
      <c r="J23" s="486"/>
      <c r="K23" s="486"/>
      <c r="L23" s="486"/>
      <c r="M23" s="486"/>
      <c r="N23" s="486"/>
      <c r="O23" s="486"/>
      <c r="P23" s="520"/>
      <c r="Q23" s="520"/>
      <c r="R23" s="520"/>
      <c r="S23" s="520"/>
      <c r="T23" s="520"/>
      <c r="U23" s="486"/>
      <c r="V23" s="486"/>
      <c r="W23" s="486"/>
      <c r="X23" s="486"/>
    </row>
    <row r="24" spans="1:32" customFormat="1" ht="12" customHeight="1">
      <c r="A24" s="485"/>
      <c r="B24" s="485"/>
      <c r="C24" s="485"/>
      <c r="D24" s="485"/>
      <c r="E24" s="486"/>
      <c r="F24" s="486"/>
      <c r="G24" s="486"/>
      <c r="H24" s="486"/>
      <c r="I24" s="486"/>
      <c r="J24" s="486"/>
      <c r="K24" s="486"/>
      <c r="L24" s="486"/>
      <c r="M24" s="486"/>
      <c r="N24" s="486"/>
      <c r="O24" s="486"/>
      <c r="P24" s="520"/>
      <c r="Q24" s="520"/>
      <c r="R24" s="520"/>
      <c r="S24" s="520"/>
      <c r="T24" s="520"/>
      <c r="U24" s="486"/>
      <c r="V24" s="486"/>
      <c r="W24" s="486"/>
      <c r="X24" s="486"/>
    </row>
    <row r="25" spans="1:32" customFormat="1" ht="12" customHeight="1"/>
    <row r="26" spans="1:32" customFormat="1" ht="12" customHeight="1"/>
    <row r="27" spans="1:32" customFormat="1" ht="12" customHeight="1"/>
    <row r="28" spans="1:32" customFormat="1" ht="12" customHeight="1"/>
    <row r="29" spans="1:32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 s="10"/>
      <c r="AB29" s="10"/>
      <c r="AC29" s="10"/>
      <c r="AD29" s="10"/>
      <c r="AE29" s="10"/>
      <c r="AF29" s="10"/>
    </row>
    <row r="30" spans="1:32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 s="10"/>
      <c r="AB30" s="10"/>
      <c r="AC30" s="10"/>
      <c r="AD30" s="10"/>
      <c r="AE30" s="10"/>
      <c r="AF30" s="10"/>
    </row>
    <row r="31" spans="1:32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 s="10"/>
      <c r="AB31" s="10"/>
      <c r="AC31" s="10"/>
      <c r="AD31" s="10"/>
      <c r="AE31" s="10"/>
      <c r="AF31" s="10"/>
    </row>
    <row r="32" spans="1:32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 s="10"/>
      <c r="AB32" s="10"/>
      <c r="AC32" s="10"/>
      <c r="AD32" s="10"/>
      <c r="AE32" s="10"/>
      <c r="AF32" s="10"/>
    </row>
    <row r="33" spans="1:32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 s="10"/>
      <c r="AB33" s="10"/>
      <c r="AC33" s="10"/>
      <c r="AD33" s="10"/>
      <c r="AE33" s="10"/>
      <c r="AF33" s="10"/>
    </row>
    <row r="34" spans="1:32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/>
    <row r="45" spans="1:32" ht="12" customHeight="1"/>
    <row r="46" spans="1:32" ht="12" customHeight="1"/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68" t="str">
        <f>IF((COUNTIF(U15:X24,"Nein")=0),"Der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1">
    <mergeCell ref="A48:X48"/>
    <mergeCell ref="A15:D24"/>
    <mergeCell ref="E15:J19"/>
    <mergeCell ref="E20:J24"/>
    <mergeCell ref="K15:O19"/>
    <mergeCell ref="K20:O24"/>
    <mergeCell ref="P15:T19"/>
    <mergeCell ref="P20:T24"/>
    <mergeCell ref="U15:X19"/>
    <mergeCell ref="U20:X24"/>
    <mergeCell ref="U14:X14"/>
    <mergeCell ref="R5:W5"/>
    <mergeCell ref="A9:X10"/>
    <mergeCell ref="A11:D14"/>
    <mergeCell ref="U11:X12"/>
    <mergeCell ref="U13:X13"/>
    <mergeCell ref="K11:O13"/>
    <mergeCell ref="P11:T13"/>
    <mergeCell ref="E11:J13"/>
    <mergeCell ref="K14:O14"/>
    <mergeCell ref="P14:T14"/>
  </mergeCells>
  <conditionalFormatting sqref="K11 Y18:Y19">
    <cfRule type="expression" dxfId="3" priority="3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82F-2BDD-4BD8-97FA-81434752F1C7}">
  <sheetPr codeName="Tabelle19">
    <tabColor theme="8" tint="0.79998168889431442"/>
    <pageSetUpPr fitToPage="1"/>
  </sheetPr>
  <dimension ref="A1:AV59"/>
  <sheetViews>
    <sheetView showGridLines="0" view="pageBreakPreview" topLeftCell="A4" zoomScaleNormal="100" zoomScaleSheetLayoutView="100" zoomScalePageLayoutView="103" workbookViewId="0">
      <selection activeCell="L34" sqref="L34"/>
    </sheetView>
  </sheetViews>
  <sheetFormatPr baseColWidth="10" defaultColWidth="10.84375" defaultRowHeight="11.6"/>
  <cols>
    <col min="1" max="45" width="3.84375" style="2" customWidth="1"/>
    <col min="46" max="16384" width="10.84375" style="2"/>
  </cols>
  <sheetData>
    <row r="1" spans="1:48" ht="20.25" customHeight="1">
      <c r="A1" s="4" t="s">
        <v>173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Seitenregister!X8</f>
        <v>5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4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4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 s="10"/>
    </row>
    <row r="5" spans="1:4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ht="12" customHeight="1">
      <c r="A9" s="537" t="s">
        <v>120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10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ht="12" customHeight="1">
      <c r="A10" s="537"/>
      <c r="B10" s="53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" customHeight="1">
      <c r="A11" s="521" t="s">
        <v>129</v>
      </c>
      <c r="B11" s="486"/>
      <c r="C11" s="486"/>
      <c r="D11" s="486"/>
      <c r="E11" s="486" t="s">
        <v>109</v>
      </c>
      <c r="F11" s="486"/>
      <c r="G11" s="486"/>
      <c r="H11" s="486"/>
      <c r="I11" s="486" t="s">
        <v>187</v>
      </c>
      <c r="J11" s="486"/>
      <c r="K11" s="486"/>
      <c r="L11" s="486"/>
      <c r="M11" s="521" t="s">
        <v>113</v>
      </c>
      <c r="N11" s="521"/>
      <c r="O11" s="521"/>
      <c r="P11" s="521"/>
      <c r="Q11" s="521" t="s">
        <v>214</v>
      </c>
      <c r="R11" s="521"/>
      <c r="S11" s="521"/>
      <c r="T11" s="521"/>
      <c r="U11" s="476" t="s">
        <v>16</v>
      </c>
      <c r="V11" s="476"/>
      <c r="W11" s="476"/>
      <c r="X11" s="476"/>
      <c r="AC11"/>
      <c r="AD11"/>
      <c r="AE11"/>
      <c r="AF11"/>
      <c r="AG11"/>
      <c r="AH11"/>
      <c r="AI11"/>
      <c r="AJ11"/>
      <c r="AR11"/>
      <c r="AS11"/>
      <c r="AT11"/>
      <c r="AU11"/>
      <c r="AV11"/>
    </row>
    <row r="12" spans="1:48" ht="12" customHeight="1">
      <c r="A12" s="486"/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6"/>
      <c r="M12" s="521"/>
      <c r="N12" s="521"/>
      <c r="O12" s="521"/>
      <c r="P12" s="521"/>
      <c r="Q12" s="521"/>
      <c r="R12" s="521"/>
      <c r="S12" s="521"/>
      <c r="T12" s="521"/>
      <c r="U12" s="477"/>
      <c r="V12" s="477"/>
      <c r="W12" s="477"/>
      <c r="X12" s="477"/>
      <c r="AC12"/>
      <c r="AD12"/>
      <c r="AE12"/>
      <c r="AF12"/>
      <c r="AG12"/>
      <c r="AH12"/>
      <c r="AI12"/>
      <c r="AJ12"/>
      <c r="AR12"/>
      <c r="AS12"/>
      <c r="AT12"/>
      <c r="AU12"/>
      <c r="AV12"/>
    </row>
    <row r="13" spans="1:48" ht="12" customHeight="1">
      <c r="A13" s="486"/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6"/>
      <c r="M13" s="521"/>
      <c r="N13" s="521"/>
      <c r="O13" s="521"/>
      <c r="P13" s="521"/>
      <c r="Q13" s="521"/>
      <c r="R13" s="521"/>
      <c r="S13" s="521"/>
      <c r="T13" s="521"/>
      <c r="U13" s="470" t="s">
        <v>186</v>
      </c>
      <c r="V13" s="470"/>
      <c r="W13" s="470"/>
      <c r="X13" s="470"/>
      <c r="AC13"/>
      <c r="AD13"/>
      <c r="AE13"/>
      <c r="AF13"/>
      <c r="AG13"/>
      <c r="AH13"/>
      <c r="AI13"/>
      <c r="AJ13"/>
      <c r="AR13"/>
      <c r="AS13"/>
      <c r="AT13"/>
      <c r="AU13"/>
      <c r="AV13"/>
    </row>
    <row r="14" spans="1:48" ht="12" customHeight="1">
      <c r="A14" s="486"/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6"/>
      <c r="M14" s="521"/>
      <c r="N14" s="521"/>
      <c r="O14" s="521"/>
      <c r="P14" s="521"/>
      <c r="Q14" s="521"/>
      <c r="R14" s="521"/>
      <c r="S14" s="521"/>
      <c r="T14" s="521"/>
      <c r="U14" s="478" t="s">
        <v>19</v>
      </c>
      <c r="V14" s="478"/>
      <c r="W14" s="478"/>
      <c r="X14" s="478"/>
      <c r="AC14"/>
      <c r="AD14"/>
      <c r="AE14"/>
      <c r="AF14"/>
      <c r="AG14"/>
      <c r="AH14"/>
      <c r="AI14"/>
      <c r="AJ14"/>
      <c r="AR14"/>
      <c r="AS14"/>
      <c r="AT14"/>
      <c r="AU14"/>
      <c r="AV14"/>
    </row>
    <row r="15" spans="1:48" ht="12" customHeight="1">
      <c r="A15" s="521" t="s">
        <v>123</v>
      </c>
      <c r="B15" s="521"/>
      <c r="C15" s="521"/>
      <c r="D15" s="521"/>
      <c r="E15" s="525" t="str">
        <f>Eingabe_!$B$7</f>
        <v>OP 1</v>
      </c>
      <c r="F15" s="526"/>
      <c r="G15" s="526"/>
      <c r="H15" s="527"/>
      <c r="I15" s="522" t="str">
        <f>'P STrömungsnachw.'!$I$14</f>
        <v>Flow-Zone 1</v>
      </c>
      <c r="J15" s="522"/>
      <c r="K15" s="522"/>
      <c r="L15" s="522"/>
      <c r="M15" s="538" t="str">
        <f>Eingabe_!S44</f>
        <v>Unterdruck</v>
      </c>
      <c r="N15" s="538"/>
      <c r="O15" s="538"/>
      <c r="P15" s="538"/>
      <c r="Q15" s="486" t="str">
        <f>Eingabe_!$T$44</f>
        <v>Unterdruck</v>
      </c>
      <c r="R15" s="486"/>
      <c r="S15" s="486"/>
      <c r="T15" s="486"/>
      <c r="U15" s="486" t="str">
        <f>IF(M15&lt;&gt;Q15,"Nein","Ja")</f>
        <v>Ja</v>
      </c>
      <c r="V15" s="486"/>
      <c r="W15" s="486"/>
      <c r="X15" s="486"/>
      <c r="Y15" s="10"/>
      <c r="AC15"/>
      <c r="AD15"/>
      <c r="AE15"/>
      <c r="AF15"/>
      <c r="AG15"/>
      <c r="AH15"/>
      <c r="AI15"/>
      <c r="AJ15"/>
      <c r="AR15"/>
      <c r="AS15"/>
      <c r="AT15"/>
      <c r="AU15"/>
      <c r="AV15"/>
    </row>
    <row r="16" spans="1:48" customFormat="1" ht="12" customHeight="1">
      <c r="A16" s="521"/>
      <c r="B16" s="521"/>
      <c r="C16" s="521"/>
      <c r="D16" s="521"/>
      <c r="E16" s="528"/>
      <c r="F16" s="529"/>
      <c r="G16" s="529"/>
      <c r="H16" s="530"/>
      <c r="I16" s="523" t="str">
        <f>IFERROR((INDEX(Eingabe_!$AE$2:$AE$100,MATCH(I15,Eingabe_!$AD$2:$AD$100,0))),"-")</f>
        <v>RNr. 01.04.00.169</v>
      </c>
      <c r="J16" s="523"/>
      <c r="K16" s="523"/>
      <c r="L16" s="523"/>
      <c r="M16" s="538"/>
      <c r="N16" s="538"/>
      <c r="O16" s="538"/>
      <c r="P16" s="538"/>
      <c r="Q16" s="486"/>
      <c r="R16" s="486"/>
      <c r="S16" s="486"/>
      <c r="T16" s="486"/>
      <c r="U16" s="486"/>
      <c r="V16" s="486"/>
      <c r="W16" s="486"/>
      <c r="X16" s="486"/>
      <c r="Y16" s="2"/>
      <c r="Z16" s="2"/>
      <c r="AA16" s="2"/>
      <c r="AB16" s="2"/>
      <c r="AK16" s="2"/>
      <c r="AL16" s="2"/>
      <c r="AM16" s="2"/>
      <c r="AN16" s="2"/>
      <c r="AO16" s="2"/>
      <c r="AP16" s="2"/>
      <c r="AQ16" s="2"/>
    </row>
    <row r="17" spans="1:43" customFormat="1" ht="12" customHeight="1">
      <c r="A17" s="521"/>
      <c r="B17" s="521"/>
      <c r="C17" s="521"/>
      <c r="D17" s="521"/>
      <c r="E17" s="528"/>
      <c r="F17" s="529"/>
      <c r="G17" s="529"/>
      <c r="H17" s="530"/>
      <c r="I17" s="522" t="str">
        <f>'P STrömungsnachw.'!$I$16</f>
        <v>Korridor</v>
      </c>
      <c r="J17" s="522"/>
      <c r="K17" s="522"/>
      <c r="L17" s="522"/>
      <c r="M17" s="538" t="str">
        <f>Eingabe_!S45</f>
        <v>Überdruck</v>
      </c>
      <c r="N17" s="538"/>
      <c r="O17" s="538"/>
      <c r="P17" s="538"/>
      <c r="Q17" s="486" t="str">
        <f>Eingabe_!$T$45</f>
        <v>Überdruck</v>
      </c>
      <c r="R17" s="486"/>
      <c r="S17" s="486"/>
      <c r="T17" s="486"/>
      <c r="U17" s="486" t="str">
        <f>IF(M17="-","-",(IF(M17&lt;&gt;Q17,"Nein","Ja")))</f>
        <v>Ja</v>
      </c>
      <c r="V17" s="486"/>
      <c r="W17" s="486"/>
      <c r="X17" s="486"/>
      <c r="Y17" s="2"/>
      <c r="Z17" s="2"/>
      <c r="AA17" s="2"/>
      <c r="AB17" s="2"/>
      <c r="AK17" s="2"/>
      <c r="AL17" s="2"/>
      <c r="AM17" s="2"/>
      <c r="AN17" s="2"/>
      <c r="AO17" s="2"/>
      <c r="AP17" s="2"/>
      <c r="AQ17" s="2"/>
    </row>
    <row r="18" spans="1:43" customFormat="1" ht="12" customHeight="1">
      <c r="A18" s="521"/>
      <c r="B18" s="521"/>
      <c r="C18" s="521"/>
      <c r="D18" s="521"/>
      <c r="E18" s="531" t="str">
        <f>Eingabe_!$C$6</f>
        <v>rooms/roomname</v>
      </c>
      <c r="F18" s="532"/>
      <c r="G18" s="532"/>
      <c r="H18" s="533"/>
      <c r="I18" s="523" t="str">
        <f>IFERROR((INDEX(Eingabe_!$AE$2:$AE$100,MATCH(I17,Eingabe_!$AD$2:$AD$100,0))),"-")</f>
        <v>RNr. 01.04.00.801</v>
      </c>
      <c r="J18" s="523"/>
      <c r="K18" s="523"/>
      <c r="L18" s="523"/>
      <c r="M18" s="538"/>
      <c r="N18" s="538"/>
      <c r="O18" s="538"/>
      <c r="P18" s="538"/>
      <c r="Q18" s="486"/>
      <c r="R18" s="486"/>
      <c r="S18" s="486"/>
      <c r="T18" s="486"/>
      <c r="U18" s="486"/>
      <c r="V18" s="486"/>
      <c r="W18" s="486"/>
      <c r="X18" s="486"/>
      <c r="Y18" s="2"/>
      <c r="Z18" s="2"/>
      <c r="AA18" s="2"/>
      <c r="AB18" s="2"/>
      <c r="AK18" s="2"/>
      <c r="AL18" s="2"/>
      <c r="AM18" s="2"/>
      <c r="AN18" s="2"/>
      <c r="AO18" s="2"/>
      <c r="AP18" s="2"/>
      <c r="AQ18" s="2"/>
    </row>
    <row r="19" spans="1:43" customFormat="1" ht="12" customHeight="1">
      <c r="A19" s="521"/>
      <c r="B19" s="521"/>
      <c r="C19" s="521"/>
      <c r="D19" s="521"/>
      <c r="E19" s="531"/>
      <c r="F19" s="532"/>
      <c r="G19" s="532"/>
      <c r="H19" s="533"/>
      <c r="I19" s="524" t="str">
        <f>'P STrömungsnachw.'!$I$18</f>
        <v>Ausguss</v>
      </c>
      <c r="J19" s="524"/>
      <c r="K19" s="524"/>
      <c r="L19" s="524"/>
      <c r="M19" s="538" t="str">
        <f>Eingabe_!S46</f>
        <v>Überdruck</v>
      </c>
      <c r="N19" s="538"/>
      <c r="O19" s="538"/>
      <c r="P19" s="538"/>
      <c r="Q19" s="486" t="str">
        <f>Eingabe_!$T$46</f>
        <v>Überdruck</v>
      </c>
      <c r="R19" s="486"/>
      <c r="S19" s="486"/>
      <c r="T19" s="486"/>
      <c r="U19" s="486" t="str">
        <f>IF(M19="-","-",(IF(M19&lt;&gt;Q19,"Nein","Ja")))</f>
        <v>Ja</v>
      </c>
      <c r="V19" s="486"/>
      <c r="W19" s="486"/>
      <c r="X19" s="486"/>
      <c r="Y19" s="2"/>
      <c r="AK19" s="2"/>
      <c r="AL19" s="2"/>
      <c r="AM19" s="2"/>
      <c r="AN19" s="2"/>
      <c r="AO19" s="2"/>
      <c r="AP19" s="2"/>
      <c r="AQ19" s="2"/>
    </row>
    <row r="20" spans="1:43" customFormat="1" ht="12" customHeight="1">
      <c r="A20" s="521"/>
      <c r="B20" s="521"/>
      <c r="C20" s="521"/>
      <c r="D20" s="521"/>
      <c r="E20" s="534"/>
      <c r="F20" s="535"/>
      <c r="G20" s="535"/>
      <c r="H20" s="536"/>
      <c r="I20" s="523" t="str">
        <f>IFERROR((INDEX(Eingabe_!$AE$2:$AE$40,MATCH(I19,Eingabe_!$AD$2:$AD$40,0))),"-")</f>
        <v>RNr. 01.04.00.135</v>
      </c>
      <c r="J20" s="523"/>
      <c r="K20" s="523"/>
      <c r="L20" s="523"/>
      <c r="M20" s="538"/>
      <c r="N20" s="538"/>
      <c r="O20" s="538"/>
      <c r="P20" s="538"/>
      <c r="Q20" s="486"/>
      <c r="R20" s="486"/>
      <c r="S20" s="486"/>
      <c r="T20" s="486"/>
      <c r="U20" s="486"/>
      <c r="V20" s="486"/>
      <c r="W20" s="486"/>
      <c r="X20" s="486"/>
      <c r="Y20" s="2"/>
      <c r="AK20" s="2"/>
      <c r="AL20" s="2"/>
      <c r="AM20" s="2"/>
      <c r="AN20" s="2"/>
      <c r="AO20" s="2"/>
      <c r="AP20" s="2"/>
      <c r="AQ20" s="2"/>
    </row>
    <row r="21" spans="1:43" customFormat="1" ht="12" customHeight="1">
      <c r="Y21" s="2"/>
      <c r="AK21" s="2"/>
      <c r="AL21" s="2"/>
      <c r="AM21" s="2"/>
      <c r="AN21" s="2"/>
      <c r="AO21" s="2"/>
      <c r="AP21" s="2"/>
      <c r="AQ21" s="2"/>
    </row>
    <row r="22" spans="1:43" customFormat="1" ht="12" customHeight="1">
      <c r="Y22" s="2"/>
      <c r="AK22" s="2"/>
      <c r="AL22" s="2"/>
      <c r="AM22" s="2"/>
      <c r="AN22" s="2"/>
      <c r="AO22" s="2"/>
      <c r="AP22" s="2"/>
      <c r="AQ22" s="2"/>
    </row>
    <row r="23" spans="1:43" customFormat="1" ht="12" customHeight="1"/>
    <row r="24" spans="1:43" customFormat="1" ht="12" customHeight="1"/>
    <row r="25" spans="1:43" customFormat="1" ht="12" customHeight="1"/>
    <row r="26" spans="1:43" customFormat="1" ht="12" customHeight="1">
      <c r="Z26" s="2"/>
      <c r="AA26" s="2"/>
      <c r="AB26" s="2"/>
      <c r="AC26" s="2"/>
      <c r="AD26" s="2"/>
    </row>
    <row r="27" spans="1:43" customFormat="1" ht="12" customHeight="1">
      <c r="Z27" s="2"/>
      <c r="AA27" s="2"/>
      <c r="AB27" s="2"/>
      <c r="AC27" s="2"/>
      <c r="AD27" s="2"/>
    </row>
    <row r="28" spans="1:43" customFormat="1" ht="12" customHeight="1">
      <c r="Z28" s="2"/>
      <c r="AA28" s="2"/>
      <c r="AB28" s="2"/>
      <c r="AC28" s="2"/>
      <c r="AD28" s="2"/>
    </row>
    <row r="29" spans="1:43" customFormat="1" ht="12" customHeight="1">
      <c r="AA29" s="2"/>
      <c r="AB29" s="2"/>
      <c r="AC29" s="2"/>
      <c r="AD29" s="2"/>
    </row>
    <row r="30" spans="1:43" customFormat="1" ht="12" customHeight="1">
      <c r="AA30" s="2"/>
      <c r="AB30" s="2"/>
      <c r="AC30" s="2"/>
      <c r="AD30" s="2"/>
    </row>
    <row r="31" spans="1:43" customFormat="1" ht="1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AA31" s="2"/>
      <c r="AB31" s="2"/>
      <c r="AC31" s="2"/>
      <c r="AD31" s="2"/>
    </row>
    <row r="32" spans="1:43" customFormat="1" ht="12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AA32" s="2"/>
      <c r="AB32" s="2"/>
      <c r="AC32" s="2"/>
      <c r="AD32" s="2"/>
    </row>
    <row r="33" spans="1:31" ht="12" customHeight="1">
      <c r="Y33" s="10"/>
      <c r="Z33" s="10"/>
      <c r="AE33" s="10"/>
    </row>
    <row r="34" spans="1:31" ht="12" customHeight="1">
      <c r="Y34" s="10"/>
      <c r="Z34" s="10"/>
      <c r="AE34" s="10"/>
    </row>
    <row r="35" spans="1:31" ht="12" customHeight="1">
      <c r="Y35" s="10"/>
      <c r="Z35" s="10"/>
      <c r="AA35" s="10"/>
      <c r="AB35" s="10"/>
      <c r="AC35" s="10"/>
      <c r="AD35" s="10"/>
      <c r="AE35" s="10"/>
    </row>
    <row r="36" spans="1:31" ht="12" customHeight="1">
      <c r="Y36" s="10"/>
      <c r="Z36" s="10"/>
      <c r="AA36" s="10"/>
      <c r="AB36" s="10"/>
      <c r="AC36" s="10"/>
      <c r="AD36" s="10"/>
      <c r="AE36" s="10"/>
    </row>
    <row r="37" spans="1:31" ht="12" customHeight="1">
      <c r="Y37" s="10"/>
      <c r="Z37" s="10"/>
      <c r="AA37" s="10"/>
      <c r="AB37" s="10"/>
      <c r="AC37" s="10"/>
      <c r="AD37" s="10"/>
      <c r="AE37" s="10"/>
    </row>
    <row r="38" spans="1:31" ht="12" customHeight="1">
      <c r="Y38" s="10"/>
      <c r="Z38" s="10"/>
      <c r="AA38" s="10"/>
      <c r="AB38" s="10"/>
      <c r="AC38" s="10"/>
      <c r="AD38" s="10"/>
      <c r="AE38" s="10"/>
    </row>
    <row r="39" spans="1:31" ht="12" customHeight="1"/>
    <row r="40" spans="1:31" ht="12" customHeight="1"/>
    <row r="41" spans="1:31" ht="12" customHeight="1"/>
    <row r="42" spans="1:31" ht="12" customHeight="1"/>
    <row r="43" spans="1:31" ht="12" customHeight="1"/>
    <row r="44" spans="1:31" ht="12" customHeight="1">
      <c r="A44" s="3"/>
      <c r="B44" s="3"/>
      <c r="C44" s="3"/>
      <c r="D44" s="3"/>
      <c r="E44" s="3"/>
      <c r="F44" s="31"/>
      <c r="G44" s="31"/>
      <c r="H44" s="31"/>
      <c r="I44" s="31"/>
      <c r="J44" s="32"/>
      <c r="K44" s="32"/>
      <c r="L44" s="32"/>
      <c r="M44" s="32"/>
      <c r="N44" s="175"/>
      <c r="O44" s="175"/>
      <c r="P44" s="175"/>
      <c r="Q44" s="175"/>
      <c r="R44" s="146"/>
      <c r="S44" s="146"/>
      <c r="T44" s="146"/>
      <c r="U44" s="146"/>
      <c r="V44" s="146"/>
      <c r="W44" s="146"/>
      <c r="X44" s="31"/>
    </row>
    <row r="45" spans="1:31" ht="12" customHeight="1"/>
    <row r="47" spans="1:3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1">
      <c r="A48" s="468" t="str">
        <f>IF((COUNTIF(U15:X28,"Nein")=0),"Der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R52" s="38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9">
    <mergeCell ref="R5:W5"/>
    <mergeCell ref="A9:X10"/>
    <mergeCell ref="Q19:T20"/>
    <mergeCell ref="Q11:T14"/>
    <mergeCell ref="Q15:T16"/>
    <mergeCell ref="U11:X12"/>
    <mergeCell ref="U13:X13"/>
    <mergeCell ref="U14:X14"/>
    <mergeCell ref="M11:P14"/>
    <mergeCell ref="M15:P16"/>
    <mergeCell ref="M19:P20"/>
    <mergeCell ref="A11:D14"/>
    <mergeCell ref="U15:X16"/>
    <mergeCell ref="U19:X20"/>
    <mergeCell ref="U17:X18"/>
    <mergeCell ref="M17:P18"/>
    <mergeCell ref="A48:X48"/>
    <mergeCell ref="Q17:T18"/>
    <mergeCell ref="E11:H14"/>
    <mergeCell ref="I11:L14"/>
    <mergeCell ref="A15:D20"/>
    <mergeCell ref="I15:L15"/>
    <mergeCell ref="I16:L16"/>
    <mergeCell ref="I19:L19"/>
    <mergeCell ref="I20:L20"/>
    <mergeCell ref="E15:H17"/>
    <mergeCell ref="E18:H20"/>
    <mergeCell ref="I17:L17"/>
    <mergeCell ref="I18:L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D17-AB00-48F0-8479-6E6C3A0625AA}">
  <sheetPr codeName="Tabelle23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Seitenregister!X9</f>
        <v>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03" t="str">
        <f>E1</f>
        <v>Zuluft-Luftwechselrate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504"/>
    </row>
    <row r="10" spans="1:49" customFormat="1" ht="12" customHeight="1">
      <c r="A10" s="505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7"/>
    </row>
    <row r="11" spans="1:49" customFormat="1" ht="12" customHeight="1">
      <c r="A11" s="512" t="s">
        <v>185</v>
      </c>
      <c r="B11" s="513"/>
      <c r="C11" s="513"/>
      <c r="D11" s="514"/>
      <c r="E11" s="482" t="s">
        <v>339</v>
      </c>
      <c r="F11" s="483"/>
      <c r="G11" s="483"/>
      <c r="H11" s="483"/>
      <c r="I11" s="483"/>
      <c r="J11" s="483"/>
      <c r="K11" s="483"/>
      <c r="L11" s="483"/>
      <c r="M11" s="482" t="s">
        <v>340</v>
      </c>
      <c r="N11" s="483"/>
      <c r="O11" s="483"/>
      <c r="P11" s="483"/>
      <c r="Q11" s="483"/>
      <c r="R11" s="483"/>
      <c r="S11" s="483"/>
      <c r="T11" s="484"/>
      <c r="U11" s="548" t="s">
        <v>16</v>
      </c>
      <c r="V11" s="549"/>
      <c r="W11" s="549"/>
      <c r="X11" s="550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12"/>
      <c r="B12" s="513"/>
      <c r="C12" s="513"/>
      <c r="D12" s="514"/>
      <c r="E12" s="482"/>
      <c r="F12" s="483"/>
      <c r="G12" s="483"/>
      <c r="H12" s="483"/>
      <c r="I12" s="483"/>
      <c r="J12" s="483"/>
      <c r="K12" s="483"/>
      <c r="L12" s="483"/>
      <c r="M12" s="482"/>
      <c r="N12" s="483"/>
      <c r="O12" s="483"/>
      <c r="P12" s="483"/>
      <c r="Q12" s="483"/>
      <c r="R12" s="483"/>
      <c r="S12" s="483"/>
      <c r="T12" s="484"/>
      <c r="U12" s="551" t="s">
        <v>186</v>
      </c>
      <c r="V12" s="552"/>
      <c r="W12" s="552"/>
      <c r="X12" s="553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45"/>
      <c r="B13" s="546"/>
      <c r="C13" s="546"/>
      <c r="D13" s="547"/>
      <c r="E13" s="515" t="s">
        <v>342</v>
      </c>
      <c r="F13" s="516"/>
      <c r="G13" s="516"/>
      <c r="H13" s="516"/>
      <c r="I13" s="516"/>
      <c r="J13" s="516"/>
      <c r="K13" s="516"/>
      <c r="L13" s="517"/>
      <c r="M13" s="515" t="s">
        <v>342</v>
      </c>
      <c r="N13" s="516"/>
      <c r="O13" s="516"/>
      <c r="P13" s="516"/>
      <c r="Q13" s="516"/>
      <c r="R13" s="516"/>
      <c r="S13" s="516"/>
      <c r="T13" s="517"/>
      <c r="U13" s="539" t="s">
        <v>19</v>
      </c>
      <c r="V13" s="540"/>
      <c r="W13" s="540"/>
      <c r="X13" s="541"/>
    </row>
    <row r="14" spans="1:49" customFormat="1" ht="12" customHeight="1">
      <c r="A14" s="542" t="str">
        <f>Eingabe_!$B$7</f>
        <v>OP 1</v>
      </c>
      <c r="B14" s="542"/>
      <c r="C14" s="542"/>
      <c r="D14" s="542"/>
      <c r="E14" s="518" t="e">
        <f>'P LW'!U21</f>
        <v>#VALUE!</v>
      </c>
      <c r="F14" s="518"/>
      <c r="G14" s="518"/>
      <c r="H14" s="518"/>
      <c r="I14" s="518"/>
      <c r="J14" s="518"/>
      <c r="K14" s="518"/>
      <c r="L14" s="518"/>
      <c r="M14" s="520">
        <f>'P LW'!U25</f>
        <v>25</v>
      </c>
      <c r="N14" s="520"/>
      <c r="O14" s="520"/>
      <c r="P14" s="520"/>
      <c r="Q14" s="520"/>
      <c r="R14" s="520"/>
      <c r="S14" s="520"/>
      <c r="T14" s="520"/>
      <c r="U14" s="486" t="e">
        <f>IF(AND(E14&gt;M14),"Ja","Nein")</f>
        <v>#VALUE!</v>
      </c>
      <c r="V14" s="486"/>
      <c r="W14" s="486"/>
      <c r="X14" s="486"/>
    </row>
    <row r="15" spans="1:49" customFormat="1" ht="12" customHeight="1">
      <c r="A15" s="543"/>
      <c r="B15" s="543"/>
      <c r="C15" s="543"/>
      <c r="D15" s="543"/>
      <c r="E15" s="518"/>
      <c r="F15" s="518"/>
      <c r="G15" s="518"/>
      <c r="H15" s="518"/>
      <c r="I15" s="518"/>
      <c r="J15" s="518"/>
      <c r="K15" s="518"/>
      <c r="L15" s="518"/>
      <c r="M15" s="520"/>
      <c r="N15" s="520"/>
      <c r="O15" s="520"/>
      <c r="P15" s="520"/>
      <c r="Q15" s="520"/>
      <c r="R15" s="520"/>
      <c r="S15" s="520"/>
      <c r="T15" s="520"/>
      <c r="U15" s="486"/>
      <c r="V15" s="486"/>
      <c r="W15" s="486"/>
      <c r="X15" s="486"/>
    </row>
    <row r="16" spans="1:49" customFormat="1" ht="12" customHeight="1">
      <c r="A16" s="544" t="str">
        <f>Eingabe_!C6</f>
        <v>rooms/roomname</v>
      </c>
      <c r="B16" s="544"/>
      <c r="C16" s="544"/>
      <c r="D16" s="544"/>
      <c r="E16" s="518"/>
      <c r="F16" s="518"/>
      <c r="G16" s="518"/>
      <c r="H16" s="518"/>
      <c r="I16" s="518"/>
      <c r="J16" s="518"/>
      <c r="K16" s="518"/>
      <c r="L16" s="518"/>
      <c r="M16" s="520"/>
      <c r="N16" s="520"/>
      <c r="O16" s="520"/>
      <c r="P16" s="520"/>
      <c r="Q16" s="520"/>
      <c r="R16" s="520"/>
      <c r="S16" s="520"/>
      <c r="T16" s="520"/>
      <c r="U16" s="486"/>
      <c r="V16" s="486"/>
      <c r="W16" s="486"/>
      <c r="X16" s="486"/>
    </row>
    <row r="17" spans="1:48" customFormat="1" ht="12" customHeight="1">
      <c r="A17" s="197"/>
      <c r="B17" s="197"/>
      <c r="C17" s="197"/>
      <c r="D17" s="197"/>
      <c r="E17" s="190"/>
      <c r="F17" s="190"/>
      <c r="G17" s="190"/>
      <c r="H17" s="190"/>
      <c r="I17" s="190"/>
      <c r="J17" s="190"/>
      <c r="K17" s="190"/>
      <c r="L17" s="190"/>
      <c r="M17" s="196"/>
      <c r="N17" s="196"/>
      <c r="O17" s="196"/>
      <c r="P17" s="196"/>
      <c r="Q17" s="196"/>
      <c r="R17" s="196"/>
      <c r="S17" s="196"/>
      <c r="T17" s="196"/>
      <c r="U17" s="190"/>
      <c r="V17" s="190"/>
      <c r="W17" s="190"/>
      <c r="X17" s="190"/>
    </row>
    <row r="18" spans="1:48" customFormat="1" ht="12" customHeight="1"/>
    <row r="19" spans="1:48" customFormat="1" ht="12" customHeight="1"/>
    <row r="20" spans="1:48" customFormat="1" ht="12" customHeight="1"/>
    <row r="21" spans="1:48" customFormat="1" ht="12" customHeight="1"/>
    <row r="22" spans="1:48" customFormat="1" ht="12" customHeight="1"/>
    <row r="23" spans="1:48" customFormat="1" ht="12" customHeight="1"/>
    <row r="24" spans="1:48" customFormat="1" ht="12" customHeight="1"/>
    <row r="25" spans="1:48" customFormat="1" ht="12" customHeight="1"/>
    <row r="26" spans="1:48" customFormat="1" ht="12" customHeight="1"/>
    <row r="27" spans="1:48" customFormat="1" ht="12" customHeight="1"/>
    <row r="28" spans="1:4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68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6"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A48:X48"/>
    <mergeCell ref="U13:X13"/>
    <mergeCell ref="A14:D15"/>
    <mergeCell ref="E14:L16"/>
    <mergeCell ref="M14:T16"/>
    <mergeCell ref="U14:X16"/>
    <mergeCell ref="A16:D16"/>
  </mergeCells>
  <conditionalFormatting sqref="Y9:Y11">
    <cfRule type="expression" dxfId="2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861-9729-44F2-8F07-8B6223EF1CB7}">
  <sheetPr codeName="Tabelle21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Seitenregister!X10</f>
        <v>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72"/>
      <c r="S5" s="472"/>
      <c r="T5" s="472"/>
      <c r="U5" s="472"/>
      <c r="V5" s="472"/>
      <c r="W5" s="47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03" t="s">
        <v>593</v>
      </c>
      <c r="B9" s="473"/>
      <c r="C9" s="473"/>
      <c r="D9" s="473"/>
      <c r="E9" s="473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504"/>
    </row>
    <row r="10" spans="1:49" customFormat="1" ht="12" customHeight="1">
      <c r="A10" s="505"/>
      <c r="B10" s="506"/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7"/>
    </row>
    <row r="11" spans="1:49" customFormat="1" ht="12" customHeight="1">
      <c r="A11" s="512" t="s">
        <v>185</v>
      </c>
      <c r="B11" s="513"/>
      <c r="C11" s="513"/>
      <c r="D11" s="514"/>
      <c r="E11" s="482" t="s">
        <v>135</v>
      </c>
      <c r="F11" s="483"/>
      <c r="G11" s="483"/>
      <c r="H11" s="483"/>
      <c r="I11" s="483"/>
      <c r="J11" s="483"/>
      <c r="K11" s="483"/>
      <c r="L11" s="483"/>
      <c r="M11" s="482" t="s">
        <v>215</v>
      </c>
      <c r="N11" s="483"/>
      <c r="O11" s="483"/>
      <c r="P11" s="483"/>
      <c r="Q11" s="483"/>
      <c r="R11" s="483"/>
      <c r="S11" s="483"/>
      <c r="T11" s="483"/>
      <c r="U11" s="548" t="s">
        <v>16</v>
      </c>
      <c r="V11" s="549"/>
      <c r="W11" s="549"/>
      <c r="X11" s="550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12"/>
      <c r="B12" s="513"/>
      <c r="C12" s="513"/>
      <c r="D12" s="514"/>
      <c r="E12" s="482"/>
      <c r="F12" s="483"/>
      <c r="G12" s="483"/>
      <c r="H12" s="483"/>
      <c r="I12" s="483"/>
      <c r="J12" s="483"/>
      <c r="K12" s="483"/>
      <c r="L12" s="483"/>
      <c r="M12" s="482"/>
      <c r="N12" s="483"/>
      <c r="O12" s="483"/>
      <c r="P12" s="483"/>
      <c r="Q12" s="483"/>
      <c r="R12" s="483"/>
      <c r="S12" s="483"/>
      <c r="T12" s="483"/>
      <c r="U12" s="551" t="s">
        <v>186</v>
      </c>
      <c r="V12" s="552"/>
      <c r="W12" s="552"/>
      <c r="X12" s="553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45"/>
      <c r="B13" s="546"/>
      <c r="C13" s="546"/>
      <c r="D13" s="547"/>
      <c r="E13" s="515" t="s">
        <v>83</v>
      </c>
      <c r="F13" s="516"/>
      <c r="G13" s="516"/>
      <c r="H13" s="516"/>
      <c r="I13" s="516"/>
      <c r="J13" s="516"/>
      <c r="K13" s="516"/>
      <c r="L13" s="516"/>
      <c r="M13" s="515" t="s">
        <v>83</v>
      </c>
      <c r="N13" s="516"/>
      <c r="O13" s="516"/>
      <c r="P13" s="516"/>
      <c r="Q13" s="516"/>
      <c r="R13" s="516"/>
      <c r="S13" s="516"/>
      <c r="T13" s="516"/>
      <c r="U13" s="539" t="s">
        <v>19</v>
      </c>
      <c r="V13" s="540"/>
      <c r="W13" s="540"/>
      <c r="X13" s="541"/>
    </row>
    <row r="14" spans="1:49" customFormat="1" ht="12" customHeight="1">
      <c r="A14" s="542" t="str">
        <f>Eingabe_!$B$7</f>
        <v>OP 1</v>
      </c>
      <c r="B14" s="542"/>
      <c r="C14" s="542"/>
      <c r="D14" s="542"/>
      <c r="E14" s="554">
        <f>'P T&amp;F '!V38</f>
        <v>19.669999999999995</v>
      </c>
      <c r="F14" s="554"/>
      <c r="G14" s="554"/>
      <c r="H14" s="554"/>
      <c r="I14" s="554"/>
      <c r="J14" s="554"/>
      <c r="K14" s="554"/>
      <c r="L14" s="554"/>
      <c r="M14" s="555" t="s">
        <v>210</v>
      </c>
      <c r="N14" s="555"/>
      <c r="O14" s="555"/>
      <c r="P14" s="555"/>
      <c r="Q14" s="555"/>
      <c r="R14" s="555"/>
      <c r="S14" s="555"/>
      <c r="T14" s="555"/>
      <c r="U14" s="486" t="str">
        <f>IF(AND(E14&lt;=24,E14&gt;=18),"Ja","Nein")</f>
        <v>Ja</v>
      </c>
      <c r="V14" s="486"/>
      <c r="W14" s="486"/>
      <c r="X14" s="486"/>
    </row>
    <row r="15" spans="1:49" customFormat="1" ht="12" customHeight="1">
      <c r="A15" s="543"/>
      <c r="B15" s="543"/>
      <c r="C15" s="543"/>
      <c r="D15" s="543"/>
      <c r="E15" s="554"/>
      <c r="F15" s="554"/>
      <c r="G15" s="554"/>
      <c r="H15" s="554"/>
      <c r="I15" s="554"/>
      <c r="J15" s="554"/>
      <c r="K15" s="554"/>
      <c r="L15" s="554"/>
      <c r="M15" s="555"/>
      <c r="N15" s="555"/>
      <c r="O15" s="555"/>
      <c r="P15" s="555"/>
      <c r="Q15" s="555"/>
      <c r="R15" s="555"/>
      <c r="S15" s="555"/>
      <c r="T15" s="555"/>
      <c r="U15" s="486"/>
      <c r="V15" s="486"/>
      <c r="W15" s="486"/>
      <c r="X15" s="486"/>
    </row>
    <row r="16" spans="1:49" customFormat="1" ht="12" customHeight="1">
      <c r="A16" s="544" t="str">
        <f>Eingabe_!C6</f>
        <v>rooms/roomname</v>
      </c>
      <c r="B16" s="544"/>
      <c r="C16" s="544"/>
      <c r="D16" s="544"/>
      <c r="E16" s="554"/>
      <c r="F16" s="554"/>
      <c r="G16" s="554"/>
      <c r="H16" s="554"/>
      <c r="I16" s="554"/>
      <c r="J16" s="554"/>
      <c r="K16" s="554"/>
      <c r="L16" s="554"/>
      <c r="M16" s="555"/>
      <c r="N16" s="555"/>
      <c r="O16" s="555"/>
      <c r="P16" s="555"/>
      <c r="Q16" s="555"/>
      <c r="R16" s="555"/>
      <c r="S16" s="555"/>
      <c r="T16" s="555"/>
      <c r="U16" s="486"/>
      <c r="V16" s="486"/>
      <c r="W16" s="486"/>
      <c r="X16" s="486"/>
    </row>
    <row r="17" spans="1:48" customFormat="1" ht="12" customHeight="1"/>
    <row r="18" spans="1:48" customFormat="1" ht="12" customHeight="1">
      <c r="A18" s="2"/>
      <c r="B18" s="2"/>
      <c r="C18" s="2"/>
      <c r="D18" s="2"/>
      <c r="E18" s="30"/>
      <c r="F18" s="30"/>
      <c r="G18" s="30"/>
      <c r="H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48" customFormat="1" ht="12" customHeight="1">
      <c r="A19" s="503" t="s">
        <v>594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504"/>
    </row>
    <row r="20" spans="1:48" customFormat="1" ht="12" customHeight="1">
      <c r="A20" s="505"/>
      <c r="B20" s="506"/>
      <c r="C20" s="506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7"/>
    </row>
    <row r="21" spans="1:48" customFormat="1" ht="12" customHeight="1">
      <c r="A21" s="512" t="s">
        <v>185</v>
      </c>
      <c r="B21" s="513"/>
      <c r="C21" s="513"/>
      <c r="D21" s="514"/>
      <c r="E21" s="482" t="s">
        <v>136</v>
      </c>
      <c r="F21" s="483"/>
      <c r="G21" s="483"/>
      <c r="H21" s="483"/>
      <c r="I21" s="483"/>
      <c r="J21" s="483"/>
      <c r="K21" s="483"/>
      <c r="L21" s="483"/>
      <c r="M21" s="482" t="s">
        <v>216</v>
      </c>
      <c r="N21" s="483"/>
      <c r="O21" s="483"/>
      <c r="P21" s="483"/>
      <c r="Q21" s="483"/>
      <c r="R21" s="483"/>
      <c r="S21" s="483"/>
      <c r="T21" s="483"/>
      <c r="U21" s="548" t="s">
        <v>16</v>
      </c>
      <c r="V21" s="549"/>
      <c r="W21" s="549"/>
      <c r="X21" s="550"/>
    </row>
    <row r="22" spans="1:48" customFormat="1" ht="12" customHeight="1">
      <c r="A22" s="512"/>
      <c r="B22" s="513"/>
      <c r="C22" s="513"/>
      <c r="D22" s="514"/>
      <c r="E22" s="482"/>
      <c r="F22" s="483"/>
      <c r="G22" s="483"/>
      <c r="H22" s="483"/>
      <c r="I22" s="483"/>
      <c r="J22" s="483"/>
      <c r="K22" s="483"/>
      <c r="L22" s="483"/>
      <c r="M22" s="482"/>
      <c r="N22" s="483"/>
      <c r="O22" s="483"/>
      <c r="P22" s="483"/>
      <c r="Q22" s="483"/>
      <c r="R22" s="483"/>
      <c r="S22" s="483"/>
      <c r="T22" s="483"/>
      <c r="U22" s="551" t="s">
        <v>186</v>
      </c>
      <c r="V22" s="552"/>
      <c r="W22" s="552"/>
      <c r="X22" s="553"/>
    </row>
    <row r="23" spans="1:48" customFormat="1" ht="12" customHeight="1">
      <c r="A23" s="545"/>
      <c r="B23" s="546"/>
      <c r="C23" s="546"/>
      <c r="D23" s="547"/>
      <c r="E23" s="515" t="s">
        <v>132</v>
      </c>
      <c r="F23" s="516"/>
      <c r="G23" s="516"/>
      <c r="H23" s="516"/>
      <c r="I23" s="516"/>
      <c r="J23" s="516"/>
      <c r="K23" s="516"/>
      <c r="L23" s="516"/>
      <c r="M23" s="515" t="s">
        <v>132</v>
      </c>
      <c r="N23" s="516"/>
      <c r="O23" s="516"/>
      <c r="P23" s="516"/>
      <c r="Q23" s="516"/>
      <c r="R23" s="516"/>
      <c r="S23" s="516"/>
      <c r="T23" s="516"/>
      <c r="U23" s="539" t="s">
        <v>19</v>
      </c>
      <c r="V23" s="540"/>
      <c r="W23" s="540"/>
      <c r="X23" s="541"/>
    </row>
    <row r="24" spans="1:48" customFormat="1" ht="12" customHeight="1">
      <c r="A24" s="542" t="str">
        <f>Eingabe_!$B$7</f>
        <v>OP 1</v>
      </c>
      <c r="B24" s="542"/>
      <c r="C24" s="542"/>
      <c r="D24" s="542"/>
      <c r="E24" s="556">
        <f>'P T&amp;F '!V48</f>
        <v>41.46</v>
      </c>
      <c r="F24" s="556"/>
      <c r="G24" s="556"/>
      <c r="H24" s="556"/>
      <c r="I24" s="556"/>
      <c r="J24" s="556"/>
      <c r="K24" s="556"/>
      <c r="L24" s="556"/>
      <c r="M24" s="556" t="s">
        <v>360</v>
      </c>
      <c r="N24" s="556"/>
      <c r="O24" s="556"/>
      <c r="P24" s="556"/>
      <c r="Q24" s="556"/>
      <c r="R24" s="556"/>
      <c r="S24" s="556"/>
      <c r="T24" s="556"/>
      <c r="U24" s="486" t="str">
        <f>IF(AND(E24&lt;=50,E24&gt;=30),"Ja","Nein")</f>
        <v>Ja</v>
      </c>
      <c r="V24" s="486"/>
      <c r="W24" s="486"/>
      <c r="X24" s="486"/>
    </row>
    <row r="25" spans="1:48" customFormat="1" ht="12" customHeight="1">
      <c r="A25" s="543"/>
      <c r="B25" s="543"/>
      <c r="C25" s="543"/>
      <c r="D25" s="543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486"/>
      <c r="V25" s="486"/>
      <c r="W25" s="486"/>
      <c r="X25" s="486"/>
    </row>
    <row r="26" spans="1:48" customFormat="1" ht="12" customHeight="1">
      <c r="A26" s="544" t="str">
        <f>Eingabe_!C6</f>
        <v>rooms/roomname</v>
      </c>
      <c r="B26" s="544"/>
      <c r="C26" s="544"/>
      <c r="D26" s="544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486"/>
      <c r="V26" s="486"/>
      <c r="W26" s="486"/>
      <c r="X26" s="486"/>
    </row>
    <row r="27" spans="1:48" customFormat="1" ht="12" customHeight="1"/>
    <row r="28" spans="1:48" ht="12" customHeight="1">
      <c r="E28" s="30"/>
      <c r="F28" s="30"/>
      <c r="G28" s="30"/>
      <c r="H28" s="30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68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68"/>
      <c r="C48" s="468"/>
      <c r="D48" s="468"/>
      <c r="E48" s="468"/>
      <c r="F48" s="468"/>
      <c r="G48" s="468"/>
      <c r="H48" s="468"/>
      <c r="I48" s="468"/>
      <c r="J48" s="468"/>
      <c r="K48" s="468"/>
      <c r="L48" s="468"/>
      <c r="M48" s="468"/>
      <c r="N48" s="468"/>
      <c r="O48" s="468"/>
      <c r="P48" s="468"/>
      <c r="Q48" s="468"/>
      <c r="R48" s="468"/>
      <c r="S48" s="468"/>
      <c r="T48" s="468"/>
      <c r="U48" s="468"/>
      <c r="V48" s="468"/>
      <c r="W48" s="468"/>
      <c r="X48" s="468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30">
    <mergeCell ref="A26:D26"/>
    <mergeCell ref="E21:L22"/>
    <mergeCell ref="M21:T22"/>
    <mergeCell ref="U21:X21"/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U13:X13"/>
    <mergeCell ref="A48:X48"/>
    <mergeCell ref="A14:D15"/>
    <mergeCell ref="A16:D16"/>
    <mergeCell ref="U22:X22"/>
    <mergeCell ref="E23:L23"/>
    <mergeCell ref="E14:L16"/>
    <mergeCell ref="M14:T16"/>
    <mergeCell ref="U14:X16"/>
    <mergeCell ref="M23:T23"/>
    <mergeCell ref="U23:X23"/>
    <mergeCell ref="A19:X20"/>
    <mergeCell ref="A21:D23"/>
    <mergeCell ref="A24:D25"/>
    <mergeCell ref="E24:L26"/>
    <mergeCell ref="M24:T26"/>
    <mergeCell ref="U24:X26"/>
  </mergeCells>
  <conditionalFormatting sqref="Y9:Y11">
    <cfRule type="expression" dxfId="1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39</vt:i4>
      </vt:variant>
      <vt:variant>
        <vt:lpstr>Benannte Bereiche</vt:lpstr>
      </vt:variant>
      <vt:variant>
        <vt:i4>29</vt:i4>
      </vt:variant>
    </vt:vector>
  </HeadingPairs>
  <TitlesOfParts>
    <vt:vector size="68" baseType="lpstr">
      <vt:lpstr>Eingabe_</vt:lpstr>
      <vt:lpstr>Titelblatt_</vt:lpstr>
      <vt:lpstr>Seitenregister</vt:lpstr>
      <vt:lpstr>A Dichtsitz</vt:lpstr>
      <vt:lpstr>A FIT</vt:lpstr>
      <vt:lpstr>A Volumenströme</vt:lpstr>
      <vt:lpstr>A Strömungsnachw.</vt:lpstr>
      <vt:lpstr>A LW</vt:lpstr>
      <vt:lpstr>A Temp._Feuchte</vt:lpstr>
      <vt:lpstr>A Schall</vt:lpstr>
      <vt:lpstr>A PK</vt:lpstr>
      <vt:lpstr>P Dichtsitz</vt:lpstr>
      <vt:lpstr>P FIT 1_4</vt:lpstr>
      <vt:lpstr>P FIT 5_7 </vt:lpstr>
      <vt:lpstr>P FIT 8_9</vt:lpstr>
      <vt:lpstr>P Volumenströme</vt:lpstr>
      <vt:lpstr>P vZuluft</vt:lpstr>
      <vt:lpstr>P STrömungsnachw.</vt:lpstr>
      <vt:lpstr>P LW</vt:lpstr>
      <vt:lpstr>P T&amp;F </vt:lpstr>
      <vt:lpstr>P Schall </vt:lpstr>
      <vt:lpstr>P PK_I</vt:lpstr>
      <vt:lpstr>P PK_A</vt:lpstr>
      <vt:lpstr>Z FIT</vt:lpstr>
      <vt:lpstr>Z Dichtsitz</vt:lpstr>
      <vt:lpstr>Z Volumenströme</vt:lpstr>
      <vt:lpstr>Z Vzuluft</vt:lpstr>
      <vt:lpstr>Z Strömungsnachweis</vt:lpstr>
      <vt:lpstr>Z T&amp;F</vt:lpstr>
      <vt:lpstr>Z Schall</vt:lpstr>
      <vt:lpstr>Z PZ</vt:lpstr>
      <vt:lpstr>RD Dichtsitz</vt:lpstr>
      <vt:lpstr>RD Volumenströme</vt:lpstr>
      <vt:lpstr>RD vZuluft</vt:lpstr>
      <vt:lpstr>RD Strömungsnachw.</vt:lpstr>
      <vt:lpstr>RD T&amp;F</vt:lpstr>
      <vt:lpstr>RD Schall</vt:lpstr>
      <vt:lpstr>RD Fotodokumentation</vt:lpstr>
      <vt:lpstr>Tabelle1</vt:lpstr>
      <vt:lpstr>'A Dichtsitz'!Druckbereich</vt:lpstr>
      <vt:lpstr>'A FIT'!Druckbereich</vt:lpstr>
      <vt:lpstr>'A LW'!Druckbereich</vt:lpstr>
      <vt:lpstr>'A PK'!Druckbereich</vt:lpstr>
      <vt:lpstr>'A Schall'!Druckbereich</vt:lpstr>
      <vt:lpstr>'A Strömungsnachw.'!Druckbereich</vt:lpstr>
      <vt:lpstr>'A Temp._Feuchte'!Druckbereich</vt:lpstr>
      <vt:lpstr>'A Volumenströme'!Druckbereich</vt:lpstr>
      <vt:lpstr>Eingabe_!Druckbereich</vt:lpstr>
      <vt:lpstr>'P FIT 1_4'!Druckbereich</vt:lpstr>
      <vt:lpstr>'P FIT 5_7 '!Druckbereich</vt:lpstr>
      <vt:lpstr>'P FIT 8_9'!Druckbereich</vt:lpstr>
      <vt:lpstr>'P PK_A'!Druckbereich</vt:lpstr>
      <vt:lpstr>'P PK_I'!Druckbereich</vt:lpstr>
      <vt:lpstr>'P STrömungsnachw.'!Druckbereich</vt:lpstr>
      <vt:lpstr>'P Volumenströme'!Druckbereich</vt:lpstr>
      <vt:lpstr>'P vZuluft'!Druckbereich</vt:lpstr>
      <vt:lpstr>'RD Fotodokumentation'!Druckbereich</vt:lpstr>
      <vt:lpstr>'RD Schall'!Druckbereich</vt:lpstr>
      <vt:lpstr>'RD Strömungsnachw.'!Druckbereich</vt:lpstr>
      <vt:lpstr>'RD vZuluft'!Druckbereich</vt:lpstr>
      <vt:lpstr>Titelblatt_!Druckbereich</vt:lpstr>
      <vt:lpstr>'Z Vzuluft'!Druckbereich</vt:lpstr>
      <vt:lpstr>'P PK_A'!Print_Area</vt:lpstr>
      <vt:lpstr>'P PK_I'!Print_Area</vt:lpstr>
      <vt:lpstr>'P vZuluft'!Print_Area</vt:lpstr>
      <vt:lpstr>'RD Schall'!Print_Area</vt:lpstr>
      <vt:lpstr>'RD vZuluft'!Print_Area</vt:lpstr>
      <vt:lpstr>'Z Vzuluft'!Print_Area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Cervenak Slavo</dc:creator>
  <cp:lastModifiedBy>Tatsiana Wiegner</cp:lastModifiedBy>
  <cp:lastPrinted>2023-08-16T07:29:31Z</cp:lastPrinted>
  <dcterms:created xsi:type="dcterms:W3CDTF">2020-04-30T10:28:42Z</dcterms:created>
  <dcterms:modified xsi:type="dcterms:W3CDTF">2023-08-16T15:01:36Z</dcterms:modified>
</cp:coreProperties>
</file>