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3"/>
  <workbookPr showInkAnnotation="0" codeName="ThisWorkbook" autoCompressPictures="0" defaultThemeVersion="124226"/>
  <mc:AlternateContent xmlns:mc="http://schemas.openxmlformats.org/markup-compatibility/2006">
    <mc:Choice Requires="x15">
      <x15ac:absPath xmlns:x15ac="http://schemas.microsoft.com/office/spreadsheetml/2010/11/ac" url="/Users/aaufdenkampe/Google Drive/WikiWatershed/ModelMyWatershed2-WPF-Project/MMW-BMPs/Barry/"/>
    </mc:Choice>
  </mc:AlternateContent>
  <xr:revisionPtr revIDLastSave="0" documentId="13_ncr:1_{5973680F-AEAB-684F-90B4-BDCB7C8F59A7}" xr6:coauthVersionLast="33" xr6:coauthVersionMax="33" xr10:uidLastSave="{00000000-0000-0000-0000-000000000000}"/>
  <bookViews>
    <workbookView xWindow="0" yWindow="460" windowWidth="23300" windowHeight="18420" tabRatio="922" activeTab="2" xr2:uid="{00000000-000D-0000-FFFF-FFFF00000000}"/>
  </bookViews>
  <sheets>
    <sheet name="Cover Page" sheetId="18" r:id="rId1"/>
    <sheet name="Instructions&amp;Overview" sheetId="3" r:id="rId2"/>
    <sheet name="LandUseLoadingRatesLookUpTable" sheetId="6" r:id="rId3"/>
    <sheet name="MMW Output" sheetId="4" r:id="rId4"/>
    <sheet name="Farm Animal TN and TP Loading" sheetId="15" r:id="rId5"/>
    <sheet name="Stream Bank SedimentLoadingRate" sheetId="9" r:id="rId6"/>
    <sheet name="Stream Bank Nitrogen Loading" sheetId="16" r:id="rId7"/>
    <sheet name="Stream Bank Phosphorus Loading" sheetId="17" r:id="rId8"/>
    <sheet name="Perf Std Approach" sheetId="22" r:id="rId9"/>
    <sheet name="Urban BMPs (Existing)" sheetId="19" r:id="rId10"/>
    <sheet name="Urban BMPs (Proposed)" sheetId="23" r:id="rId11"/>
    <sheet name="Agricultural BMPs (Existing)" sheetId="20" r:id="rId12"/>
    <sheet name="Agricultural BMPs (Proposed)" sheetId="24" r:id="rId13"/>
    <sheet name="Total Load Reductions" sheetId="21" r:id="rId14"/>
    <sheet name="Sheet1" sheetId="25" r:id="rId15"/>
  </sheets>
  <definedNames>
    <definedName name="_xlnm._FilterDatabase" localSheetId="2" hidden="1">LandUseLoadingRatesLookUpTable!$B$11:$M$11</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AD17" i="6" l="1"/>
  <c r="D92" i="4" l="1"/>
  <c r="F90" i="4"/>
  <c r="F89" i="4"/>
  <c r="F88" i="4"/>
  <c r="F87" i="4"/>
  <c r="F86" i="4"/>
  <c r="F85" i="4"/>
  <c r="F84" i="4"/>
  <c r="F83" i="4"/>
  <c r="F82" i="4"/>
  <c r="F81" i="4"/>
  <c r="F80" i="4"/>
  <c r="F79" i="4"/>
  <c r="F78" i="4"/>
  <c r="F77" i="4"/>
  <c r="F76" i="4"/>
  <c r="F75" i="4"/>
  <c r="F92" i="4" l="1"/>
  <c r="D67" i="4"/>
  <c r="L67" i="4"/>
  <c r="M67" i="4"/>
  <c r="K67" i="4"/>
  <c r="O51" i="4"/>
  <c r="E23" i="4" s="1"/>
  <c r="P51" i="4"/>
  <c r="F23" i="4" s="1"/>
  <c r="O52" i="4"/>
  <c r="E24" i="4" s="1"/>
  <c r="P52" i="4"/>
  <c r="F24" i="4" s="1"/>
  <c r="O53" i="4"/>
  <c r="E25" i="4" s="1"/>
  <c r="P53" i="4"/>
  <c r="F25" i="4" s="1"/>
  <c r="O54" i="4"/>
  <c r="E28" i="4" s="1"/>
  <c r="P54" i="4"/>
  <c r="F28" i="4" s="1"/>
  <c r="O55" i="4"/>
  <c r="E29" i="4" s="1"/>
  <c r="P55" i="4"/>
  <c r="F29" i="4" s="1"/>
  <c r="O56" i="4"/>
  <c r="E32" i="4" s="1"/>
  <c r="P56" i="4"/>
  <c r="F32" i="4" s="1"/>
  <c r="O57" i="4"/>
  <c r="E33" i="4" s="1"/>
  <c r="P57" i="4"/>
  <c r="F33" i="4" s="1"/>
  <c r="O58" i="4"/>
  <c r="E34" i="4" s="1"/>
  <c r="P58" i="4"/>
  <c r="F34" i="4" s="1"/>
  <c r="O59" i="4"/>
  <c r="P59" i="4"/>
  <c r="O60" i="4"/>
  <c r="E38" i="4" s="1"/>
  <c r="P60" i="4"/>
  <c r="F38" i="4" s="1"/>
  <c r="O61" i="4"/>
  <c r="E40" i="4" s="1"/>
  <c r="P61" i="4"/>
  <c r="F40" i="4" s="1"/>
  <c r="O62" i="4"/>
  <c r="E41" i="4" s="1"/>
  <c r="P62" i="4"/>
  <c r="F41" i="4" s="1"/>
  <c r="O63" i="4"/>
  <c r="E42" i="4" s="1"/>
  <c r="P63" i="4"/>
  <c r="F42" i="4" s="1"/>
  <c r="O64" i="4"/>
  <c r="E43" i="4" s="1"/>
  <c r="P64" i="4"/>
  <c r="F43" i="4" s="1"/>
  <c r="P50" i="4"/>
  <c r="F22" i="4" s="1"/>
  <c r="O50" i="4"/>
  <c r="N51" i="4"/>
  <c r="D23" i="4" s="1"/>
  <c r="N52" i="4"/>
  <c r="D24" i="4" s="1"/>
  <c r="N53" i="4"/>
  <c r="D25" i="4" s="1"/>
  <c r="N54" i="4"/>
  <c r="D28" i="4" s="1"/>
  <c r="N55" i="4"/>
  <c r="D29" i="4" s="1"/>
  <c r="N56" i="4"/>
  <c r="D32" i="4" s="1"/>
  <c r="N57" i="4"/>
  <c r="D33" i="4" s="1"/>
  <c r="N58" i="4"/>
  <c r="D34" i="4" s="1"/>
  <c r="N59" i="4"/>
  <c r="N60" i="4"/>
  <c r="D38" i="4" s="1"/>
  <c r="N61" i="4"/>
  <c r="D40" i="4" s="1"/>
  <c r="N62" i="4"/>
  <c r="D41" i="4" s="1"/>
  <c r="N63" i="4"/>
  <c r="D42" i="4" s="1"/>
  <c r="N64" i="4"/>
  <c r="D43" i="4" s="1"/>
  <c r="N50" i="4"/>
  <c r="D22" i="4" s="1"/>
  <c r="F65" i="4"/>
  <c r="F64" i="4"/>
  <c r="F63" i="4"/>
  <c r="C23" i="4" s="1"/>
  <c r="F62" i="4"/>
  <c r="C22" i="4" s="1"/>
  <c r="F61" i="4"/>
  <c r="C28" i="4" s="1"/>
  <c r="F60" i="4"/>
  <c r="F59" i="4"/>
  <c r="F58" i="4"/>
  <c r="F57" i="4"/>
  <c r="F56" i="4"/>
  <c r="C29" i="4" s="1"/>
  <c r="F55" i="4"/>
  <c r="C34" i="4" s="1"/>
  <c r="F54" i="4"/>
  <c r="C33" i="4" s="1"/>
  <c r="F53" i="4"/>
  <c r="F52" i="4"/>
  <c r="F51" i="4"/>
  <c r="F50" i="4"/>
  <c r="F21" i="25"/>
  <c r="F20" i="25"/>
  <c r="F19" i="25"/>
  <c r="F18" i="25"/>
  <c r="F17" i="25"/>
  <c r="F16" i="25"/>
  <c r="F15" i="25"/>
  <c r="F14" i="25"/>
  <c r="F13" i="25"/>
  <c r="F12" i="25"/>
  <c r="F11" i="25"/>
  <c r="F10" i="25"/>
  <c r="F9" i="25"/>
  <c r="F8" i="25"/>
  <c r="F7" i="25"/>
  <c r="F6" i="25"/>
  <c r="F23" i="25" l="1"/>
  <c r="P67" i="4"/>
  <c r="O67" i="4"/>
  <c r="E22" i="4"/>
  <c r="E45" i="4" s="1"/>
  <c r="N67" i="4"/>
  <c r="C24" i="4"/>
  <c r="B5" i="24" s="1"/>
  <c r="B32" i="24" s="1"/>
  <c r="C25" i="4"/>
  <c r="B6" i="24" s="1"/>
  <c r="B33" i="24" s="1"/>
  <c r="F67" i="4"/>
  <c r="C32" i="4"/>
  <c r="F45" i="4"/>
  <c r="D45" i="4"/>
  <c r="L62" i="24"/>
  <c r="K62" i="24"/>
  <c r="J62" i="24"/>
  <c r="J59" i="24"/>
  <c r="L50" i="24"/>
  <c r="K50" i="24"/>
  <c r="J50" i="24"/>
  <c r="J47" i="24"/>
  <c r="L27" i="24"/>
  <c r="L31" i="24" s="1"/>
  <c r="K27" i="24"/>
  <c r="K31" i="24" s="1"/>
  <c r="K33" i="24" s="1"/>
  <c r="J27" i="24"/>
  <c r="J31" i="24" s="1"/>
  <c r="E24" i="24"/>
  <c r="D24" i="24"/>
  <c r="C24" i="24"/>
  <c r="E23" i="24"/>
  <c r="D23" i="24"/>
  <c r="C23" i="24"/>
  <c r="E22" i="24"/>
  <c r="D22" i="24"/>
  <c r="C22" i="24"/>
  <c r="E21" i="24"/>
  <c r="D21" i="24"/>
  <c r="C21" i="24"/>
  <c r="G21" i="24" s="1"/>
  <c r="E20" i="24"/>
  <c r="D20" i="24"/>
  <c r="C20" i="24"/>
  <c r="G20" i="24" s="1"/>
  <c r="E19" i="24"/>
  <c r="L79" i="24" s="1"/>
  <c r="L82" i="24" s="1"/>
  <c r="D19" i="24"/>
  <c r="K79" i="24" s="1"/>
  <c r="K82" i="24" s="1"/>
  <c r="C19" i="24"/>
  <c r="E18" i="24"/>
  <c r="D18" i="24"/>
  <c r="C18" i="24"/>
  <c r="G18" i="24" s="1"/>
  <c r="B18" i="24"/>
  <c r="J17" i="24"/>
  <c r="J18" i="24" s="1"/>
  <c r="E17" i="24"/>
  <c r="D17" i="24"/>
  <c r="C17" i="24"/>
  <c r="G17" i="24" s="1"/>
  <c r="B17" i="24"/>
  <c r="E16" i="24"/>
  <c r="D16" i="24"/>
  <c r="C16" i="24"/>
  <c r="G16" i="24" s="1"/>
  <c r="B16" i="24"/>
  <c r="E15" i="24"/>
  <c r="D15" i="24"/>
  <c r="C15" i="24"/>
  <c r="G15" i="24" s="1"/>
  <c r="B15" i="24"/>
  <c r="E14" i="24"/>
  <c r="D14" i="24"/>
  <c r="C14" i="24"/>
  <c r="G14" i="24" s="1"/>
  <c r="B14" i="24"/>
  <c r="E13" i="24"/>
  <c r="D13" i="24"/>
  <c r="C13" i="24"/>
  <c r="G13" i="24" s="1"/>
  <c r="B13" i="24"/>
  <c r="E12" i="24"/>
  <c r="D12" i="24"/>
  <c r="C12" i="24"/>
  <c r="G12" i="24" s="1"/>
  <c r="B12" i="24"/>
  <c r="B39" i="24" s="1"/>
  <c r="E11" i="24"/>
  <c r="D11" i="24"/>
  <c r="C11" i="24"/>
  <c r="G11" i="24" s="1"/>
  <c r="B11" i="24"/>
  <c r="B38" i="24" s="1"/>
  <c r="E10" i="24"/>
  <c r="D10" i="24"/>
  <c r="C10" i="24"/>
  <c r="G10" i="24" s="1"/>
  <c r="B10" i="24"/>
  <c r="B37" i="24" s="1"/>
  <c r="E9" i="24"/>
  <c r="D9" i="24"/>
  <c r="C9" i="24"/>
  <c r="G9" i="24" s="1"/>
  <c r="B9" i="24"/>
  <c r="B36" i="24" s="1"/>
  <c r="E8" i="24"/>
  <c r="D8" i="24"/>
  <c r="C8" i="24"/>
  <c r="G8" i="24" s="1"/>
  <c r="B8" i="24"/>
  <c r="B35" i="24" s="1"/>
  <c r="G7" i="24"/>
  <c r="E7" i="24"/>
  <c r="D7" i="24"/>
  <c r="C7" i="24"/>
  <c r="B7" i="24"/>
  <c r="B34" i="24" s="1"/>
  <c r="E6" i="24"/>
  <c r="D6" i="24"/>
  <c r="C6" i="24"/>
  <c r="G6" i="24" s="1"/>
  <c r="E5" i="24"/>
  <c r="D5" i="24"/>
  <c r="C5" i="24"/>
  <c r="G5" i="24" s="1"/>
  <c r="E4" i="24"/>
  <c r="D4" i="24"/>
  <c r="C4" i="24"/>
  <c r="G4" i="24" s="1"/>
  <c r="B4" i="24"/>
  <c r="J66" i="24" s="1"/>
  <c r="E3" i="24"/>
  <c r="C3" i="24"/>
  <c r="B3" i="24"/>
  <c r="J36" i="24" s="1"/>
  <c r="D35" i="24" l="1"/>
  <c r="D3" i="24"/>
  <c r="D25" i="24" s="1"/>
  <c r="C45" i="4"/>
  <c r="D38" i="24"/>
  <c r="E37" i="24"/>
  <c r="C37" i="24"/>
  <c r="E35" i="24"/>
  <c r="E33" i="24"/>
  <c r="D39" i="24"/>
  <c r="E39" i="24"/>
  <c r="D34" i="24"/>
  <c r="C25" i="24"/>
  <c r="E34" i="24"/>
  <c r="C39" i="24"/>
  <c r="E25" i="24"/>
  <c r="J2" i="24"/>
  <c r="J5" i="24" s="1"/>
  <c r="G3" i="24"/>
  <c r="J39" i="24" s="1"/>
  <c r="J9" i="24"/>
  <c r="L12" i="24" s="1"/>
  <c r="J15" i="24"/>
  <c r="E38" i="24"/>
  <c r="D32" i="24"/>
  <c r="C34" i="24"/>
  <c r="D36" i="24"/>
  <c r="C38" i="24"/>
  <c r="L73" i="24"/>
  <c r="K73" i="24"/>
  <c r="L69" i="24"/>
  <c r="K69" i="24"/>
  <c r="C33" i="24"/>
  <c r="C36" i="24"/>
  <c r="L39" i="24"/>
  <c r="K39" i="24"/>
  <c r="E32" i="24"/>
  <c r="D33" i="24"/>
  <c r="C35" i="24"/>
  <c r="E36" i="24"/>
  <c r="D37" i="24"/>
  <c r="C32" i="24"/>
  <c r="B25" i="24"/>
  <c r="J33" i="24"/>
  <c r="B30" i="24"/>
  <c r="B31" i="24"/>
  <c r="D31" i="24" s="1"/>
  <c r="L33" i="24"/>
  <c r="J42" i="24"/>
  <c r="J53" i="24"/>
  <c r="K50" i="20"/>
  <c r="L50" i="20"/>
  <c r="L27" i="20"/>
  <c r="K27" i="20"/>
  <c r="K31" i="20" s="1"/>
  <c r="K33" i="20" s="1"/>
  <c r="L31" i="20" l="1"/>
  <c r="L33" i="20" s="1"/>
  <c r="D30" i="24"/>
  <c r="K44" i="24"/>
  <c r="J12" i="24"/>
  <c r="K75" i="24"/>
  <c r="K5" i="24"/>
  <c r="K12" i="24"/>
  <c r="L5" i="24"/>
  <c r="G25" i="24"/>
  <c r="E30" i="24"/>
  <c r="C30" i="24"/>
  <c r="C31" i="24"/>
  <c r="J44" i="24" s="1"/>
  <c r="E31" i="24"/>
  <c r="L20" i="24" s="1"/>
  <c r="L56" i="24"/>
  <c r="K56" i="24"/>
  <c r="J56" i="24"/>
  <c r="L75" i="24"/>
  <c r="K20" i="24"/>
  <c r="B29" i="24"/>
  <c r="J59" i="20"/>
  <c r="J47" i="20"/>
  <c r="L62" i="20"/>
  <c r="K62" i="20"/>
  <c r="L44" i="24" l="1"/>
  <c r="L86" i="24" s="1"/>
  <c r="L87" i="24" s="1"/>
  <c r="J20" i="24"/>
  <c r="J86" i="24" s="1"/>
  <c r="F12" i="21" s="1"/>
  <c r="K86" i="24"/>
  <c r="K87" i="24" s="1"/>
  <c r="E4" i="20"/>
  <c r="E5" i="20"/>
  <c r="E6" i="20"/>
  <c r="E7" i="20"/>
  <c r="E8" i="20"/>
  <c r="E9" i="20"/>
  <c r="E10" i="20"/>
  <c r="E11" i="20"/>
  <c r="E12" i="20"/>
  <c r="E13" i="20"/>
  <c r="E14" i="20"/>
  <c r="E15" i="20"/>
  <c r="E16" i="20"/>
  <c r="E17" i="20"/>
  <c r="E18" i="20"/>
  <c r="E19" i="20"/>
  <c r="L79" i="20" s="1"/>
  <c r="L82" i="20" s="1"/>
  <c r="E20" i="20"/>
  <c r="E21" i="20"/>
  <c r="E22" i="20"/>
  <c r="E23" i="20"/>
  <c r="E24" i="20"/>
  <c r="E3" i="20"/>
  <c r="D4" i="20"/>
  <c r="D5" i="20"/>
  <c r="D6" i="20"/>
  <c r="D7" i="20"/>
  <c r="D8" i="20"/>
  <c r="D9" i="20"/>
  <c r="D10" i="20"/>
  <c r="D11" i="20"/>
  <c r="D12" i="20"/>
  <c r="D13" i="20"/>
  <c r="D14" i="20"/>
  <c r="D15" i="20"/>
  <c r="D16" i="20"/>
  <c r="D17" i="20"/>
  <c r="D18" i="20"/>
  <c r="D19" i="20"/>
  <c r="K79" i="20" s="1"/>
  <c r="K82" i="20" s="1"/>
  <c r="D20" i="20"/>
  <c r="D21" i="20"/>
  <c r="D22" i="20"/>
  <c r="D23" i="20"/>
  <c r="D24" i="20"/>
  <c r="D3" i="20"/>
  <c r="C4" i="20"/>
  <c r="C5" i="20"/>
  <c r="C6" i="20"/>
  <c r="C7" i="20"/>
  <c r="C8" i="20"/>
  <c r="C9" i="20"/>
  <c r="C10" i="20"/>
  <c r="C11" i="20"/>
  <c r="C12" i="20"/>
  <c r="C13" i="20"/>
  <c r="C14" i="20"/>
  <c r="C15" i="20"/>
  <c r="C16" i="20"/>
  <c r="C17" i="20"/>
  <c r="C18" i="20"/>
  <c r="C19" i="20"/>
  <c r="C20" i="20"/>
  <c r="C21" i="20"/>
  <c r="C22" i="20"/>
  <c r="C23" i="20"/>
  <c r="C24" i="20"/>
  <c r="C3" i="20"/>
  <c r="M30" i="6"/>
  <c r="M31" i="6"/>
  <c r="M32" i="6"/>
  <c r="J30" i="6"/>
  <c r="J31" i="6"/>
  <c r="J32" i="6"/>
  <c r="G30" i="6"/>
  <c r="G31" i="6"/>
  <c r="G32" i="6"/>
  <c r="C30" i="6"/>
  <c r="C31" i="6"/>
  <c r="C32" i="6"/>
  <c r="M39" i="6"/>
  <c r="M40" i="6"/>
  <c r="M41" i="6"/>
  <c r="J39" i="6"/>
  <c r="J40" i="6"/>
  <c r="J41" i="6"/>
  <c r="J87" i="24" l="1"/>
  <c r="H12" i="21"/>
  <c r="H21" i="21" s="1"/>
  <c r="G12" i="21"/>
  <c r="G21" i="21" s="1"/>
  <c r="F21" i="21"/>
  <c r="C25" i="20"/>
  <c r="D25" i="20"/>
  <c r="G4" i="21" s="1"/>
  <c r="E25" i="20"/>
  <c r="B4" i="20"/>
  <c r="B5" i="20"/>
  <c r="G5" i="20" s="1"/>
  <c r="B6" i="20"/>
  <c r="G6" i="20" s="1"/>
  <c r="B7" i="20"/>
  <c r="G7" i="20" s="1"/>
  <c r="B8" i="20"/>
  <c r="B35" i="20" s="1"/>
  <c r="E35" i="20" s="1"/>
  <c r="B9" i="20"/>
  <c r="B36" i="20" s="1"/>
  <c r="E36" i="20" s="1"/>
  <c r="B10" i="20"/>
  <c r="G10" i="20" s="1"/>
  <c r="B11" i="20"/>
  <c r="B38" i="20" s="1"/>
  <c r="E38" i="20" s="1"/>
  <c r="B12" i="20"/>
  <c r="B39" i="20" s="1"/>
  <c r="D39" i="20" s="1"/>
  <c r="B13" i="20"/>
  <c r="G13" i="20" s="1"/>
  <c r="B14" i="20"/>
  <c r="G14" i="20" s="1"/>
  <c r="B15" i="20"/>
  <c r="G15" i="20" s="1"/>
  <c r="B16" i="20"/>
  <c r="B17" i="20"/>
  <c r="G17" i="20" s="1"/>
  <c r="B18" i="20"/>
  <c r="B3" i="20"/>
  <c r="J36" i="20" s="1"/>
  <c r="J62" i="20"/>
  <c r="J50" i="20"/>
  <c r="J27" i="20"/>
  <c r="G20" i="20"/>
  <c r="J17" i="20"/>
  <c r="J18" i="20" s="1"/>
  <c r="G12" i="20"/>
  <c r="G11" i="20"/>
  <c r="G8" i="20"/>
  <c r="C35" i="20" l="1"/>
  <c r="L39" i="20"/>
  <c r="K39" i="20"/>
  <c r="H4" i="21"/>
  <c r="C39" i="20"/>
  <c r="E39" i="20"/>
  <c r="C38" i="20"/>
  <c r="J42" i="20"/>
  <c r="J66" i="20"/>
  <c r="D36" i="20"/>
  <c r="D38" i="20"/>
  <c r="D35" i="20"/>
  <c r="B34" i="20"/>
  <c r="B37" i="20"/>
  <c r="B32" i="20"/>
  <c r="C32" i="20" s="1"/>
  <c r="J31" i="20"/>
  <c r="J33" i="20" s="1"/>
  <c r="G4" i="20"/>
  <c r="B30" i="20"/>
  <c r="G18" i="20"/>
  <c r="B33" i="20"/>
  <c r="C33" i="20" s="1"/>
  <c r="G9" i="20"/>
  <c r="C36" i="20" s="1"/>
  <c r="J15" i="20"/>
  <c r="J2" i="20"/>
  <c r="J9" i="20"/>
  <c r="G16" i="20"/>
  <c r="B25" i="20"/>
  <c r="G21" i="20"/>
  <c r="B31" i="20"/>
  <c r="J53" i="20"/>
  <c r="G3" i="20"/>
  <c r="C30" i="20" s="1"/>
  <c r="B3" i="4"/>
  <c r="A141" i="17" s="1"/>
  <c r="C36" i="17"/>
  <c r="C63" i="17" s="1"/>
  <c r="A143" i="17"/>
  <c r="A94" i="17"/>
  <c r="A48" i="17"/>
  <c r="A39" i="17"/>
  <c r="C29" i="17"/>
  <c r="C28" i="17"/>
  <c r="C27" i="17"/>
  <c r="C26" i="17"/>
  <c r="C25" i="17"/>
  <c r="C24" i="17"/>
  <c r="C23" i="17"/>
  <c r="C22" i="17"/>
  <c r="C21" i="17"/>
  <c r="C20" i="17"/>
  <c r="C19" i="17"/>
  <c r="C18" i="17"/>
  <c r="C17" i="17"/>
  <c r="C16" i="17"/>
  <c r="C15" i="17"/>
  <c r="C14" i="17"/>
  <c r="A5" i="17"/>
  <c r="C36" i="16"/>
  <c r="C156" i="16" s="1"/>
  <c r="A143" i="16"/>
  <c r="A141" i="16"/>
  <c r="A94" i="16"/>
  <c r="A48" i="16"/>
  <c r="A39" i="16"/>
  <c r="C29" i="16"/>
  <c r="C28" i="16"/>
  <c r="C27" i="16"/>
  <c r="C26" i="16"/>
  <c r="C25" i="16"/>
  <c r="C24" i="16"/>
  <c r="C23" i="16"/>
  <c r="C22" i="16"/>
  <c r="C21" i="16"/>
  <c r="C20" i="16"/>
  <c r="C19" i="16"/>
  <c r="C18" i="16"/>
  <c r="C17" i="16"/>
  <c r="C16" i="16"/>
  <c r="C15" i="16"/>
  <c r="C14" i="16"/>
  <c r="A5" i="16"/>
  <c r="A3" i="3"/>
  <c r="A2" i="3"/>
  <c r="A6" i="6"/>
  <c r="A5" i="6"/>
  <c r="A42" i="9"/>
  <c r="D20" i="15"/>
  <c r="D19" i="15"/>
  <c r="E15" i="15"/>
  <c r="E32" i="15" s="1"/>
  <c r="D15" i="15"/>
  <c r="D32" i="15" s="1"/>
  <c r="A5" i="15"/>
  <c r="A146" i="9"/>
  <c r="A97" i="9"/>
  <c r="A51" i="9"/>
  <c r="C32" i="9"/>
  <c r="C31" i="9"/>
  <c r="C30" i="9"/>
  <c r="C29" i="9"/>
  <c r="C28" i="9"/>
  <c r="C27" i="9"/>
  <c r="C26" i="9"/>
  <c r="C25" i="9"/>
  <c r="C24" i="9"/>
  <c r="C23" i="9"/>
  <c r="C22" i="9"/>
  <c r="C21" i="9"/>
  <c r="C20" i="9"/>
  <c r="C19" i="9"/>
  <c r="C18" i="9"/>
  <c r="C17" i="9"/>
  <c r="C14" i="9"/>
  <c r="E39" i="9" s="1"/>
  <c r="A5" i="9"/>
  <c r="M50" i="6"/>
  <c r="K50" i="6"/>
  <c r="J50" i="6"/>
  <c r="H50" i="6"/>
  <c r="G50" i="6"/>
  <c r="E50" i="6"/>
  <c r="D50" i="6"/>
  <c r="C50" i="6"/>
  <c r="M49" i="6"/>
  <c r="K49" i="6"/>
  <c r="J49" i="6"/>
  <c r="H49" i="6"/>
  <c r="G49" i="6"/>
  <c r="E49" i="6"/>
  <c r="D49" i="6"/>
  <c r="C49" i="6"/>
  <c r="M48" i="6"/>
  <c r="K48" i="6"/>
  <c r="J48" i="6"/>
  <c r="H48" i="6"/>
  <c r="G48" i="6"/>
  <c r="E48" i="6"/>
  <c r="D48" i="6"/>
  <c r="C48" i="6"/>
  <c r="M38" i="6"/>
  <c r="K38" i="6"/>
  <c r="J38" i="6"/>
  <c r="H38" i="6"/>
  <c r="G38" i="6"/>
  <c r="E38" i="6"/>
  <c r="D38" i="6"/>
  <c r="C38" i="6"/>
  <c r="M37" i="6"/>
  <c r="K37" i="6"/>
  <c r="J37" i="6"/>
  <c r="H37" i="6"/>
  <c r="G37" i="6"/>
  <c r="E37" i="6"/>
  <c r="D37" i="6"/>
  <c r="C37" i="6"/>
  <c r="M36" i="6"/>
  <c r="K36" i="6"/>
  <c r="J36" i="6"/>
  <c r="H36" i="6"/>
  <c r="G36" i="6"/>
  <c r="E36" i="6"/>
  <c r="D36" i="6"/>
  <c r="C36" i="6"/>
  <c r="O32" i="6"/>
  <c r="X31" i="6"/>
  <c r="S30" i="6"/>
  <c r="M29" i="6"/>
  <c r="K29" i="6"/>
  <c r="J29" i="6"/>
  <c r="H29" i="6"/>
  <c r="G29" i="6"/>
  <c r="E29" i="6"/>
  <c r="D29" i="6"/>
  <c r="C29" i="6"/>
  <c r="M28" i="6"/>
  <c r="K28" i="6"/>
  <c r="J28" i="6"/>
  <c r="H28" i="6"/>
  <c r="G28" i="6"/>
  <c r="E28" i="6"/>
  <c r="D28" i="6"/>
  <c r="C28" i="6"/>
  <c r="M27" i="6"/>
  <c r="K27" i="6"/>
  <c r="J27" i="6"/>
  <c r="H27" i="6"/>
  <c r="G27" i="6"/>
  <c r="E27" i="6"/>
  <c r="D27" i="6"/>
  <c r="C27" i="6"/>
  <c r="M26" i="6"/>
  <c r="K26" i="6"/>
  <c r="J26" i="6"/>
  <c r="H26" i="6"/>
  <c r="G26" i="6"/>
  <c r="E26" i="6"/>
  <c r="D26" i="6"/>
  <c r="C26" i="6"/>
  <c r="O26" i="6" s="1"/>
  <c r="M25" i="6"/>
  <c r="K25" i="6"/>
  <c r="J25" i="6"/>
  <c r="H25" i="6"/>
  <c r="G25" i="6"/>
  <c r="E25" i="6"/>
  <c r="D25" i="6"/>
  <c r="C25" i="6"/>
  <c r="S25" i="6" s="1"/>
  <c r="M24" i="6"/>
  <c r="K24" i="6"/>
  <c r="J24" i="6"/>
  <c r="H24" i="6"/>
  <c r="G24" i="6"/>
  <c r="E24" i="6"/>
  <c r="D24" i="6"/>
  <c r="C24" i="6"/>
  <c r="M23" i="6"/>
  <c r="K23" i="6"/>
  <c r="J23" i="6"/>
  <c r="H23" i="6"/>
  <c r="G23" i="6"/>
  <c r="E23" i="6"/>
  <c r="D23" i="6"/>
  <c r="C23" i="6"/>
  <c r="M22" i="6"/>
  <c r="K22" i="6"/>
  <c r="J22" i="6"/>
  <c r="H22" i="6"/>
  <c r="G22" i="6"/>
  <c r="E22" i="6"/>
  <c r="D22" i="6"/>
  <c r="C22" i="6"/>
  <c r="M21" i="6"/>
  <c r="K21" i="6"/>
  <c r="J21" i="6"/>
  <c r="H21" i="6"/>
  <c r="G21" i="6"/>
  <c r="E21" i="6"/>
  <c r="D21" i="6"/>
  <c r="C21" i="6"/>
  <c r="M20" i="6"/>
  <c r="K20" i="6"/>
  <c r="J20" i="6"/>
  <c r="H20" i="6"/>
  <c r="G20" i="6"/>
  <c r="E20" i="6"/>
  <c r="D20" i="6"/>
  <c r="C20" i="6"/>
  <c r="M19" i="6"/>
  <c r="K19" i="6"/>
  <c r="J19" i="6"/>
  <c r="H19" i="6"/>
  <c r="G19" i="6"/>
  <c r="E19" i="6"/>
  <c r="D19" i="6"/>
  <c r="C19" i="6"/>
  <c r="M18" i="6"/>
  <c r="K18" i="6"/>
  <c r="J18" i="6"/>
  <c r="H18" i="6"/>
  <c r="G18" i="6"/>
  <c r="E18" i="6"/>
  <c r="D18" i="6"/>
  <c r="C18" i="6"/>
  <c r="M17" i="6"/>
  <c r="K17" i="6"/>
  <c r="J17" i="6"/>
  <c r="H17" i="6"/>
  <c r="G17" i="6"/>
  <c r="E17" i="6"/>
  <c r="D17" i="6"/>
  <c r="C17" i="6"/>
  <c r="B5" i="4"/>
  <c r="A3" i="16" l="1"/>
  <c r="A46" i="16"/>
  <c r="A3" i="9"/>
  <c r="A144" i="9"/>
  <c r="C54" i="17"/>
  <c r="C85" i="17" s="1"/>
  <c r="O24" i="6"/>
  <c r="C55" i="17"/>
  <c r="E86" i="17" s="1"/>
  <c r="X27" i="6"/>
  <c r="X29" i="6"/>
  <c r="C53" i="16"/>
  <c r="C84" i="16" s="1"/>
  <c r="C63" i="16"/>
  <c r="E69" i="16" s="1"/>
  <c r="F26" i="15"/>
  <c r="C53" i="17"/>
  <c r="D148" i="17" s="1"/>
  <c r="D26" i="15"/>
  <c r="C56" i="9"/>
  <c r="D151" i="9" s="1"/>
  <c r="C156" i="17"/>
  <c r="C31" i="20"/>
  <c r="J20" i="20" s="1"/>
  <c r="C58" i="9"/>
  <c r="D153" i="9" s="1"/>
  <c r="E69" i="17"/>
  <c r="C69" i="17"/>
  <c r="C109" i="17" s="1"/>
  <c r="L12" i="20"/>
  <c r="K12" i="20"/>
  <c r="L5" i="20"/>
  <c r="K5" i="20"/>
  <c r="C41" i="17"/>
  <c r="C65" i="17" s="1"/>
  <c r="C54" i="16"/>
  <c r="D149" i="16" s="1"/>
  <c r="L56" i="20"/>
  <c r="K56" i="20"/>
  <c r="L69" i="20"/>
  <c r="K69" i="20"/>
  <c r="L73" i="20"/>
  <c r="K73" i="20"/>
  <c r="C57" i="9"/>
  <c r="E88" i="9" s="1"/>
  <c r="C31" i="17"/>
  <c r="E30" i="20"/>
  <c r="D30" i="20"/>
  <c r="D37" i="20"/>
  <c r="E37" i="20"/>
  <c r="C37" i="20"/>
  <c r="E34" i="20"/>
  <c r="D34" i="20"/>
  <c r="C34" i="20"/>
  <c r="E31" i="20"/>
  <c r="D31" i="20"/>
  <c r="E33" i="20"/>
  <c r="D33" i="20"/>
  <c r="D32" i="20"/>
  <c r="E32" i="20"/>
  <c r="B29" i="20"/>
  <c r="J12" i="20"/>
  <c r="J5" i="20"/>
  <c r="J56" i="20"/>
  <c r="C44" i="9"/>
  <c r="C68" i="9" s="1"/>
  <c r="C34" i="9"/>
  <c r="C55" i="16"/>
  <c r="D150" i="16" s="1"/>
  <c r="C31" i="16"/>
  <c r="G25" i="20"/>
  <c r="T25" i="6"/>
  <c r="V25" i="6" s="1"/>
  <c r="X26" i="6"/>
  <c r="X24" i="6"/>
  <c r="O17" i="6"/>
  <c r="S22" i="6"/>
  <c r="S27" i="6"/>
  <c r="S28" i="6"/>
  <c r="X30" i="6"/>
  <c r="X32" i="6"/>
  <c r="P26" i="6"/>
  <c r="Q26" i="6" s="1"/>
  <c r="P25" i="6"/>
  <c r="O30" i="6"/>
  <c r="O25" i="6"/>
  <c r="O28" i="6"/>
  <c r="Y26" i="6"/>
  <c r="S26" i="6"/>
  <c r="S24" i="6"/>
  <c r="X17" i="6"/>
  <c r="X25" i="6"/>
  <c r="T26" i="6"/>
  <c r="Y25" i="6"/>
  <c r="S29" i="6"/>
  <c r="S31" i="6"/>
  <c r="S32" i="6"/>
  <c r="X18" i="6"/>
  <c r="O19" i="6"/>
  <c r="X20" i="6"/>
  <c r="O27" i="6"/>
  <c r="X28" i="6"/>
  <c r="O29" i="6"/>
  <c r="O31" i="6"/>
  <c r="S17" i="6"/>
  <c r="A49" i="9"/>
  <c r="A3" i="6"/>
  <c r="A46" i="17"/>
  <c r="A95" i="9"/>
  <c r="A3" i="15"/>
  <c r="A92" i="16"/>
  <c r="A3" i="17"/>
  <c r="A92" i="17"/>
  <c r="X19" i="6"/>
  <c r="X23" i="6"/>
  <c r="S18" i="6"/>
  <c r="O20" i="6"/>
  <c r="O22" i="6"/>
  <c r="C39" i="9"/>
  <c r="O21" i="6"/>
  <c r="E89" i="9"/>
  <c r="E84" i="17"/>
  <c r="C84" i="17"/>
  <c r="D148" i="16"/>
  <c r="S21" i="6"/>
  <c r="S20" i="6"/>
  <c r="O18" i="6"/>
  <c r="X22" i="6"/>
  <c r="C88" i="9"/>
  <c r="S19" i="6"/>
  <c r="S23" i="6"/>
  <c r="O23" i="6"/>
  <c r="X21" i="6"/>
  <c r="C41" i="16"/>
  <c r="J39" i="20"/>
  <c r="E86" i="16" l="1"/>
  <c r="C56" i="17"/>
  <c r="D54" i="17" s="1"/>
  <c r="D149" i="17"/>
  <c r="E85" i="17"/>
  <c r="C59" i="9"/>
  <c r="D58" i="9" s="1"/>
  <c r="C89" i="9"/>
  <c r="C90" i="9" s="1"/>
  <c r="E102" i="9" s="1"/>
  <c r="C86" i="16"/>
  <c r="D150" i="17"/>
  <c r="C86" i="17"/>
  <c r="C101" i="17" s="1"/>
  <c r="D53" i="17"/>
  <c r="E84" i="16"/>
  <c r="C87" i="9"/>
  <c r="E87" i="9"/>
  <c r="C69" i="16"/>
  <c r="C109" i="16" s="1"/>
  <c r="A113" i="16" s="1"/>
  <c r="D152" i="9"/>
  <c r="J44" i="20"/>
  <c r="J86" i="20" s="1"/>
  <c r="F10" i="21" s="1"/>
  <c r="F15" i="21" s="1"/>
  <c r="C56" i="16"/>
  <c r="D55" i="16" s="1"/>
  <c r="K44" i="20"/>
  <c r="E33" i="15"/>
  <c r="E35" i="15" s="1"/>
  <c r="Z18" i="6" s="1"/>
  <c r="D33" i="15"/>
  <c r="D35" i="15" s="1"/>
  <c r="C85" i="16"/>
  <c r="E85" i="16"/>
  <c r="L75" i="20"/>
  <c r="K75" i="20"/>
  <c r="A113" i="17"/>
  <c r="K20" i="20"/>
  <c r="AA25" i="6"/>
  <c r="L44" i="20"/>
  <c r="L20" i="20"/>
  <c r="F4" i="21"/>
  <c r="AA26" i="6"/>
  <c r="Q25" i="6"/>
  <c r="V26" i="6"/>
  <c r="C159" i="9"/>
  <c r="C66" i="9"/>
  <c r="C65" i="16"/>
  <c r="C67" i="9"/>
  <c r="D56" i="9"/>
  <c r="D59" i="9"/>
  <c r="C64" i="17"/>
  <c r="C160" i="17"/>
  <c r="D55" i="17"/>
  <c r="D56" i="17"/>
  <c r="C163" i="9"/>
  <c r="C104" i="9"/>
  <c r="C102" i="9" l="1"/>
  <c r="C87" i="16"/>
  <c r="E99" i="16" s="1"/>
  <c r="D57" i="9"/>
  <c r="C103" i="9"/>
  <c r="C105" i="9" s="1"/>
  <c r="C99" i="17"/>
  <c r="C116" i="17" s="1"/>
  <c r="C87" i="17"/>
  <c r="E101" i="17" s="1"/>
  <c r="C100" i="17"/>
  <c r="D117" i="17" s="1"/>
  <c r="D53" i="16"/>
  <c r="C99" i="16"/>
  <c r="D116" i="16" s="1"/>
  <c r="D56" i="16"/>
  <c r="C64" i="16"/>
  <c r="E66" i="16" s="1"/>
  <c r="C160" i="16"/>
  <c r="C100" i="16"/>
  <c r="D117" i="16" s="1"/>
  <c r="C101" i="16"/>
  <c r="D118" i="16" s="1"/>
  <c r="Z17" i="6"/>
  <c r="D54" i="16"/>
  <c r="E101" i="16"/>
  <c r="E100" i="16"/>
  <c r="L86" i="20"/>
  <c r="L87" i="20" s="1"/>
  <c r="K86" i="20"/>
  <c r="G10" i="21" s="1"/>
  <c r="U18" i="6"/>
  <c r="U17" i="6"/>
  <c r="J87" i="20"/>
  <c r="E104" i="9"/>
  <c r="C72" i="9"/>
  <c r="C112" i="9" s="1"/>
  <c r="E72" i="9"/>
  <c r="C71" i="9"/>
  <c r="C111" i="9" s="1"/>
  <c r="D118" i="17"/>
  <c r="C118" i="17"/>
  <c r="F20" i="21"/>
  <c r="F22" i="21" s="1"/>
  <c r="F17" i="21"/>
  <c r="F16" i="21"/>
  <c r="E103" i="9"/>
  <c r="E100" i="17"/>
  <c r="C66" i="17"/>
  <c r="E66" i="17"/>
  <c r="C69" i="9"/>
  <c r="E71" i="9" s="1"/>
  <c r="E69" i="9"/>
  <c r="C102" i="17" l="1"/>
  <c r="D116" i="17"/>
  <c r="C117" i="17"/>
  <c r="E99" i="17"/>
  <c r="C66" i="16"/>
  <c r="C68" i="16" s="1"/>
  <c r="C108" i="16" s="1"/>
  <c r="C102" i="16"/>
  <c r="H10" i="21"/>
  <c r="H20" i="21" s="1"/>
  <c r="H22" i="21" s="1"/>
  <c r="K87" i="20"/>
  <c r="G15" i="21"/>
  <c r="G20" i="21"/>
  <c r="G22" i="21" s="1"/>
  <c r="C68" i="17"/>
  <c r="C108" i="17" s="1"/>
  <c r="E68" i="17"/>
  <c r="A125" i="9"/>
  <c r="D129" i="9"/>
  <c r="D130" i="9"/>
  <c r="D128" i="9"/>
  <c r="C119" i="9"/>
  <c r="D120" i="9"/>
  <c r="D119" i="9"/>
  <c r="D121" i="9"/>
  <c r="A116" i="9"/>
  <c r="C120" i="9"/>
  <c r="C129" i="9"/>
  <c r="C128" i="9"/>
  <c r="C130" i="9"/>
  <c r="C121" i="9"/>
  <c r="C73" i="9"/>
  <c r="E68" i="16" l="1"/>
  <c r="H15" i="21"/>
  <c r="H17" i="21" s="1"/>
  <c r="C70" i="17"/>
  <c r="C107" i="17" s="1"/>
  <c r="C70" i="16"/>
  <c r="C107" i="16" s="1"/>
  <c r="D126" i="16"/>
  <c r="A122" i="16"/>
  <c r="D127" i="16"/>
  <c r="D125" i="16"/>
  <c r="D127" i="17"/>
  <c r="A122" i="17"/>
  <c r="D125" i="17"/>
  <c r="D126" i="17"/>
  <c r="C127" i="17"/>
  <c r="C126" i="17"/>
  <c r="C125" i="17"/>
  <c r="G17" i="21"/>
  <c r="G16" i="21"/>
  <c r="C110" i="9"/>
  <c r="C160" i="9"/>
  <c r="C157" i="17" l="1"/>
  <c r="E158" i="17" s="1"/>
  <c r="H16" i="21"/>
  <c r="C157" i="16"/>
  <c r="E158" i="16" s="1"/>
  <c r="E161" i="9"/>
  <c r="C161" i="9"/>
  <c r="C158" i="17" l="1"/>
  <c r="C162" i="17" s="1"/>
  <c r="Y24" i="6" s="1"/>
  <c r="AA24" i="6" s="1"/>
  <c r="C158" i="16"/>
  <c r="C162" i="16" s="1"/>
  <c r="T24" i="6" s="1"/>
  <c r="V24" i="6" s="1"/>
  <c r="C126" i="16"/>
  <c r="C125" i="16"/>
  <c r="C127" i="16"/>
  <c r="C165" i="9"/>
  <c r="P24" i="6" s="1"/>
  <c r="Q24" i="6" s="1"/>
  <c r="E165" i="9"/>
  <c r="C117" i="16"/>
  <c r="C116" i="16"/>
  <c r="C118" i="16"/>
  <c r="E162" i="17" l="1"/>
  <c r="E162" i="16"/>
  <c r="D136" i="9"/>
  <c r="C136" i="9"/>
  <c r="C151" i="9" s="1"/>
  <c r="D138" i="9"/>
  <c r="C138" i="9"/>
  <c r="C153" i="9" s="1"/>
  <c r="T18" i="6"/>
  <c r="V18" i="6" s="1"/>
  <c r="T23" i="6"/>
  <c r="V23" i="6" s="1"/>
  <c r="T22" i="6"/>
  <c r="V22" i="6" s="1"/>
  <c r="T21" i="6"/>
  <c r="V21" i="6" s="1"/>
  <c r="T20" i="6"/>
  <c r="V20" i="6" s="1"/>
  <c r="T17" i="6"/>
  <c r="V17" i="6" s="1"/>
  <c r="T19" i="6"/>
  <c r="V19" i="6" s="1"/>
  <c r="D137" i="9"/>
  <c r="C137" i="9"/>
  <c r="C152" i="9" s="1"/>
  <c r="D134" i="16"/>
  <c r="C134" i="16"/>
  <c r="C149" i="16" s="1"/>
  <c r="D135" i="16"/>
  <c r="C135" i="16"/>
  <c r="C150" i="16" s="1"/>
  <c r="P20" i="6"/>
  <c r="Q20" i="6" s="1"/>
  <c r="P18" i="6"/>
  <c r="Q18" i="6" s="1"/>
  <c r="P23" i="6"/>
  <c r="Q23" i="6" s="1"/>
  <c r="P22" i="6"/>
  <c r="Q22" i="6" s="1"/>
  <c r="P17" i="6"/>
  <c r="Q17" i="6" s="1"/>
  <c r="P19" i="6"/>
  <c r="Q19" i="6" s="1"/>
  <c r="P21" i="6"/>
  <c r="Q21" i="6" s="1"/>
  <c r="D135" i="17"/>
  <c r="C135" i="17"/>
  <c r="C150" i="17" s="1"/>
  <c r="D133" i="16"/>
  <c r="C133" i="16"/>
  <c r="C148" i="16" s="1"/>
  <c r="C134" i="17"/>
  <c r="C149" i="17" s="1"/>
  <c r="D134" i="17"/>
  <c r="C133" i="17"/>
  <c r="C148" i="17" s="1"/>
  <c r="D133" i="17"/>
  <c r="Y22" i="6"/>
  <c r="AA22" i="6" s="1"/>
  <c r="Y23" i="6"/>
  <c r="AA23" i="6" s="1"/>
  <c r="Y17" i="6"/>
  <c r="AA17" i="6" s="1"/>
  <c r="Y19" i="6"/>
  <c r="AA19" i="6" s="1"/>
  <c r="Y20" i="6"/>
  <c r="AA20" i="6" s="1"/>
  <c r="Y18" i="6"/>
  <c r="AA18" i="6" s="1"/>
  <c r="Y21" i="6"/>
  <c r="AA21" i="6" s="1"/>
  <c r="E148" i="16" l="1"/>
  <c r="F148" i="16"/>
  <c r="F153" i="9"/>
  <c r="E153" i="9"/>
  <c r="F148" i="17"/>
  <c r="E148" i="17"/>
  <c r="F149" i="16"/>
  <c r="E149" i="16"/>
  <c r="F150" i="17"/>
  <c r="E150" i="17"/>
  <c r="F151" i="9"/>
  <c r="E151" i="9"/>
  <c r="E149" i="17"/>
  <c r="F149" i="17"/>
  <c r="E150" i="16"/>
  <c r="F150" i="16"/>
  <c r="F152" i="9"/>
  <c r="E152" i="9"/>
  <c r="Y30" i="6" l="1"/>
  <c r="AA30" i="6" s="1"/>
  <c r="Y27" i="6"/>
  <c r="AA27" i="6" s="1"/>
  <c r="Y28" i="6"/>
  <c r="AA28" i="6" s="1"/>
  <c r="Y31" i="6"/>
  <c r="AA31" i="6" s="1"/>
  <c r="P27" i="6"/>
  <c r="Q27" i="6" s="1"/>
  <c r="P30" i="6"/>
  <c r="Q30" i="6" s="1"/>
  <c r="T28" i="6"/>
  <c r="V28" i="6" s="1"/>
  <c r="T31" i="6"/>
  <c r="V31" i="6" s="1"/>
  <c r="P32" i="6"/>
  <c r="Q32" i="6" s="1"/>
  <c r="P29" i="6"/>
  <c r="Q29" i="6" s="1"/>
  <c r="T29" i="6"/>
  <c r="V29" i="6" s="1"/>
  <c r="T32" i="6"/>
  <c r="V32" i="6" s="1"/>
  <c r="P28" i="6"/>
  <c r="Q28" i="6" s="1"/>
  <c r="P31" i="6"/>
  <c r="Q31" i="6" s="1"/>
  <c r="Y32" i="6"/>
  <c r="AA32" i="6" s="1"/>
  <c r="Y29" i="6"/>
  <c r="AA29" i="6" s="1"/>
  <c r="T30" i="6"/>
  <c r="V30" i="6" s="1"/>
  <c r="T27" i="6"/>
  <c r="V27" i="6" s="1"/>
</calcChain>
</file>

<file path=xl/sharedStrings.xml><?xml version="1.0" encoding="utf-8"?>
<sst xmlns="http://schemas.openxmlformats.org/spreadsheetml/2006/main" count="1043" uniqueCount="381">
  <si>
    <t>Source</t>
  </si>
  <si>
    <t>Area</t>
  </si>
  <si>
    <t>Runoff</t>
  </si>
  <si>
    <t>Erosion</t>
  </si>
  <si>
    <t>Sediment</t>
  </si>
  <si>
    <t>Dis N</t>
  </si>
  <si>
    <t>Tot N</t>
  </si>
  <si>
    <t>Dis P</t>
  </si>
  <si>
    <t>Tot P</t>
  </si>
  <si>
    <t>Hay/Past</t>
  </si>
  <si>
    <t>Cropland</t>
  </si>
  <si>
    <t>Forest</t>
  </si>
  <si>
    <t>Wetland</t>
  </si>
  <si>
    <t>Disturbed</t>
  </si>
  <si>
    <t>Turfgrass</t>
  </si>
  <si>
    <t>Open_Land</t>
  </si>
  <si>
    <t>Bare_Rock</t>
  </si>
  <si>
    <t>Sandy_Areas</t>
  </si>
  <si>
    <t>Unpaved_Road</t>
  </si>
  <si>
    <t>Ld_Mixed</t>
  </si>
  <si>
    <t>Md_Mixed</t>
  </si>
  <si>
    <t>Hd_Mixed</t>
  </si>
  <si>
    <t>Ld_Residential</t>
  </si>
  <si>
    <t>Md_Residential</t>
  </si>
  <si>
    <t>Hd_Residential</t>
  </si>
  <si>
    <t>Farm Animals</t>
  </si>
  <si>
    <t xml:space="preserve"> </t>
  </si>
  <si>
    <t>Tile Drainage</t>
  </si>
  <si>
    <t>Stream Bank</t>
  </si>
  <si>
    <t>Groundwater</t>
  </si>
  <si>
    <t>Point Source</t>
  </si>
  <si>
    <t>Septic Systems</t>
  </si>
  <si>
    <t>acres</t>
  </si>
  <si>
    <t>inches</t>
  </si>
  <si>
    <t>Tons</t>
  </si>
  <si>
    <t>Pounds</t>
  </si>
  <si>
    <t>Units</t>
  </si>
  <si>
    <t>Total Nitrogen</t>
  </si>
  <si>
    <t>Total Phosphorus</t>
  </si>
  <si>
    <t>Land Use Categories from MapShed</t>
  </si>
  <si>
    <t>lbs/acre</t>
  </si>
  <si>
    <t>TOTAL SEDIMENT LOADING RATE</t>
  </si>
  <si>
    <t>Tons * 2000 lbs/ton
acres of a land use</t>
  </si>
  <si>
    <t xml:space="preserve">SEDIMENT  </t>
  </si>
  <si>
    <t>NITROGEN</t>
  </si>
  <si>
    <t>PHOSPHORUS</t>
  </si>
  <si>
    <t>TOTAL NITROGEN LOADING RATE</t>
  </si>
  <si>
    <t>TOTAL PHOSPHORUS LOADING RATE</t>
  </si>
  <si>
    <r>
      <t xml:space="preserve">From    </t>
    </r>
    <r>
      <rPr>
        <b/>
        <sz val="10"/>
        <color theme="1"/>
        <rFont val="Arial"/>
        <family val="2"/>
      </rPr>
      <t>Land Use</t>
    </r>
  </si>
  <si>
    <t>tons</t>
  </si>
  <si>
    <t>pounds</t>
  </si>
  <si>
    <t xml:space="preserve">Area (acres) </t>
  </si>
  <si>
    <t>Low Density Developed</t>
  </si>
  <si>
    <t>Medium Density Developed</t>
  </si>
  <si>
    <t>High Density Developed</t>
  </si>
  <si>
    <t>Total</t>
  </si>
  <si>
    <t>Estimated Impervious Surfaces for Developed Lands</t>
  </si>
  <si>
    <t>Percent of Total Impervious Surfaces</t>
  </si>
  <si>
    <t>Stream Bank Sediment Load</t>
  </si>
  <si>
    <t>Total Developed Acres</t>
  </si>
  <si>
    <t>Total Stream Bank Load</t>
  </si>
  <si>
    <t>Remaining Load assigned to Undeveloped Lands</t>
  </si>
  <si>
    <t>Acres of Undeveloped Lands</t>
  </si>
  <si>
    <t>pounds per acre</t>
  </si>
  <si>
    <t>Sediment Load, pounds</t>
  </si>
  <si>
    <t>from Step 4</t>
  </si>
  <si>
    <t>from Step 2</t>
  </si>
  <si>
    <t>from Step 3</t>
  </si>
  <si>
    <t>Area of Developed Lands</t>
  </si>
  <si>
    <t>percent</t>
  </si>
  <si>
    <t>Land Use area, acres</t>
  </si>
  <si>
    <t>Hay/Pasture</t>
  </si>
  <si>
    <t>Nutrient Load from Farm Animals</t>
  </si>
  <si>
    <t>Area of Hay/Pasture &amp; Cropland, acres</t>
  </si>
  <si>
    <t>Loading Rate for Hay/Pasture &amp; Cropland</t>
  </si>
  <si>
    <t>pounds, from Step 1</t>
  </si>
  <si>
    <t>acres, from Step 2</t>
  </si>
  <si>
    <t>tons/year</t>
  </si>
  <si>
    <t>lbs/year</t>
  </si>
  <si>
    <t xml:space="preserve">Data Entered By: </t>
  </si>
  <si>
    <t>Source File Name:</t>
  </si>
  <si>
    <t xml:space="preserve">Date Data Entered: </t>
  </si>
  <si>
    <t>Year:</t>
  </si>
  <si>
    <t>Acres</t>
  </si>
  <si>
    <t xml:space="preserve"> [ Ld_Mixed + Ld_Residential ]</t>
  </si>
  <si>
    <t xml:space="preserve"> [ Md_Mixed + Md_Residential ]</t>
  </si>
  <si>
    <t xml:space="preserve"> [ Hd_Mixed + Hd_Residential ]</t>
  </si>
  <si>
    <t xml:space="preserve"> [ All "Developed" land use categories ]</t>
  </si>
  <si>
    <t xml:space="preserve"> [ result of Step 5 ]</t>
  </si>
  <si>
    <t xml:space="preserve"> [ from Step 3 ]</t>
  </si>
  <si>
    <t xml:space="preserve"> [ from Step 5 ]</t>
  </si>
  <si>
    <t xml:space="preserve"> [ sum of "Undeveloped Land" from Step 1 ]</t>
  </si>
  <si>
    <t>n/a</t>
  </si>
  <si>
    <r>
      <rPr>
        <u/>
        <sz val="10"/>
        <color theme="1"/>
        <rFont val="Arial"/>
        <family val="2"/>
      </rPr>
      <t>Year</t>
    </r>
    <r>
      <rPr>
        <sz val="10"/>
        <color theme="1"/>
        <rFont val="Arial"/>
        <family val="2"/>
      </rPr>
      <t xml:space="preserve">: </t>
    </r>
  </si>
  <si>
    <t>Step 2. Convert the Stream Bank Sediment Load to pounds by multiplying tons by 2,000 pounds per ton.</t>
  </si>
  <si>
    <t>Stream Bank Sediment Loading rate for Undeveloped Lands</t>
  </si>
  <si>
    <t>Load assigned to Developed Lands</t>
  </si>
  <si>
    <t>Load Assigned to Developed Lands</t>
  </si>
  <si>
    <t>OVERVIEW:</t>
  </si>
  <si>
    <t>THIS WORKBOOK CONTAINS:</t>
  </si>
  <si>
    <t>Watershed:</t>
  </si>
  <si>
    <t>Percent of Developed lands in watershed</t>
  </si>
  <si>
    <t>MapShed Land Use Categories</t>
  </si>
  <si>
    <t>Addt'l Sources</t>
  </si>
  <si>
    <r>
      <t xml:space="preserve">From      </t>
    </r>
    <r>
      <rPr>
        <b/>
        <sz val="10"/>
        <color theme="1"/>
        <rFont val="Arial"/>
        <family val="2"/>
      </rPr>
      <t>Farm Animals ②</t>
    </r>
  </si>
  <si>
    <r>
      <t xml:space="preserve">From </t>
    </r>
    <r>
      <rPr>
        <b/>
        <sz val="10"/>
        <color theme="1"/>
        <rFont val="Arial"/>
        <family val="2"/>
      </rPr>
      <t>Stream Banks ①</t>
    </r>
  </si>
  <si>
    <r>
      <t xml:space="preserve">From
</t>
    </r>
    <r>
      <rPr>
        <b/>
        <sz val="10"/>
        <color theme="1"/>
        <rFont val="Arial"/>
        <family val="2"/>
      </rPr>
      <t>Farm Animals ②</t>
    </r>
  </si>
  <si>
    <t>Sum of previous
two sources</t>
  </si>
  <si>
    <t>Sum of previous
three sources</t>
  </si>
  <si>
    <t>Notes:</t>
  </si>
  <si>
    <t>ANNUAL LAND USE LOADING RATES (lbs/acre)
based on land use, stream bank and farm animal sources</t>
  </si>
  <si>
    <t>Step 2. Total Acres in "Hay/Pasture" and "Cropland" land uses are summed.</t>
  </si>
  <si>
    <t>acres      =</t>
  </si>
  <si>
    <r>
      <t xml:space="preserve">Stream Bank </t>
    </r>
    <r>
      <rPr>
        <b/>
        <sz val="10"/>
        <rFont val="Arial"/>
        <family val="2"/>
      </rPr>
      <t>①</t>
    </r>
  </si>
  <si>
    <r>
      <t>From
L</t>
    </r>
    <r>
      <rPr>
        <b/>
        <sz val="10"/>
        <color theme="1"/>
        <rFont val="Arial"/>
        <family val="2"/>
      </rPr>
      <t>and Use</t>
    </r>
  </si>
  <si>
    <t>Area of Hay/Pasture &amp; Cropland</t>
  </si>
  <si>
    <t>① - Since only the 'Hay/Pasture' and 'Cropland' land uses are apportioned Farm Loading Rates, the remaining land use categories are not applicable to this worksheet.</t>
  </si>
  <si>
    <t>Step 1. The Stream Bank Sediment Load, in tons, and land areas for each land use category, in acres, are presented below.</t>
  </si>
  <si>
    <t>Total Acres in watershed</t>
  </si>
  <si>
    <r>
      <t xml:space="preserve">Page 2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</si>
  <si>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5. Calculate the portion of the Stream Bank Sediment Load resulting from "Developed" Lands</t>
  </si>
  <si>
    <t xml:space="preserve">             =</t>
  </si>
  <si>
    <t>pounds   =</t>
  </si>
  <si>
    <t>Estimated Percent of Impervious Area for corresponding land use categories (MapShed Values)</t>
  </si>
  <si>
    <t>Step 6. Calculate the portion of the Stream Bank Sediment Load from "Developed" Lands that is assigned to each of the land use categories by calculating relative components from "Impervious" surfaces and from the land use as a whole:</t>
  </si>
  <si>
    <t>acres    =</t>
  </si>
  <si>
    <t>Total Developed Impervious Surface Area</t>
  </si>
  <si>
    <t>Step 7. Calculate how many acres within the watershed are "Impervious" by multiplying the acres in Step 4 by the percent in Step 6:</t>
  </si>
  <si>
    <t>Step 8. Calculate the percent of total developed Impervious Surface for each land use:</t>
  </si>
  <si>
    <t xml:space="preserve">         =</t>
  </si>
  <si>
    <t>pounds  =</t>
  </si>
  <si>
    <t>Stream Bank Sediment Load Assigned to Impervious Surface, pounds</t>
  </si>
  <si>
    <t>Stream Bank Sediment Load Assigned to Total Developed Land Area, pounds</t>
  </si>
  <si>
    <t>Step 11. Apportion Load Assigned to Total Land Area to each "Developed" land use category by multiplying</t>
  </si>
  <si>
    <t>Step 12. Combine the loads apportioned to "Impervious" surfaces, from Step 10, and the loads apportioned to Total Developed Land Area, from Step 11:</t>
  </si>
  <si>
    <t>Total Stream Bank Sediment Load per Land Use, pounds</t>
  </si>
  <si>
    <t>Stream Bank
Sediment 
Loading Rate, 
pounds/acre</t>
  </si>
  <si>
    <t>acres  =</t>
  </si>
  <si>
    <r>
      <t>Watershed</t>
    </r>
    <r>
      <rPr>
        <sz val="10"/>
        <color theme="1"/>
        <rFont val="Arial"/>
        <family val="2"/>
      </rPr>
      <t>:</t>
    </r>
  </si>
  <si>
    <t>Step 13. Calculate the Stream Bank Loading Rate for each "Developed" Land Use, in pounds per acre, by dividing the load from Step 12 by the acres in Step 4:</t>
  </si>
  <si>
    <t>Step 14. Calculate the Stream Bank Loading Rate for "Undeveloped Land" (all other land use categories):</t>
  </si>
  <si>
    <r>
      <t xml:space="preserve">From
</t>
    </r>
    <r>
      <rPr>
        <b/>
        <sz val="10"/>
        <color theme="1"/>
        <rFont val="Arial"/>
        <family val="2"/>
      </rPr>
      <t xml:space="preserve">Stream
Banks </t>
    </r>
    <r>
      <rPr>
        <b/>
        <sz val="10"/>
        <color theme="1"/>
        <rFont val="Calibri"/>
        <family val="2"/>
      </rPr>
      <t>①</t>
    </r>
  </si>
  <si>
    <t>Step 3. Calculate the unit area Farm Animals loading rate (lbs/ac) to Total Nitrogen and Total Phosphorus for each land use by dividing the Farm Animal Load by the land use acres.</t>
  </si>
  <si>
    <t>Step 4. Add these Farm Animals loading rates to the Land Use (upland) and Stream Bank loading rates for Hay/Pasture and Cropland to calculate the Toal Nitrogen and Total Phosphorus loading rates as shown on the Land Use Loading Rates Look-Up Table.</t>
  </si>
  <si>
    <t>Total Acres, Watershed</t>
  </si>
  <si>
    <t xml:space="preserve">Step 10. Apportion Load Assigned to "Impervious" surfaces to each "Developed" land use category by </t>
  </si>
  <si>
    <t>Stream Bank Sediment
Land Use Loading Rate</t>
  </si>
  <si>
    <t>Section 1: Instructions &amp; Overview</t>
  </si>
  <si>
    <t>Section 3:</t>
  </si>
  <si>
    <t>Step 1. The land areas for each land use category, in acres, are presented below.</t>
  </si>
  <si>
    <t>Step 2. The Stream Bank Total Nitrogen Load, in pounds, is presented below:</t>
  </si>
  <si>
    <t>Total Nitrogen Load, pounds</t>
  </si>
  <si>
    <r>
      <t xml:space="preserve">Page 2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</si>
  <si>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Stream Bank TN Load</t>
  </si>
  <si>
    <t>Step 5. Calculate the portion of the Stream Bank Total Nitrogen (TN) Load resulting from "Developed" Lands</t>
  </si>
  <si>
    <t>Step 6. Calculate the portion of the Stream Bank Total Nitrogen Load from "Developed" Lands that is assigned to each of the land use categories by calculating relative components from "Impervious" surfaces and from the land use as a whole:</t>
  </si>
  <si>
    <t>Stream Bank Total Nitrogen Load Assigned to Impervious Surface, pounds</t>
  </si>
  <si>
    <t>Stream Bank Total Nitrogen Load Assigned to Total Developed Land Area, pounds</t>
  </si>
  <si>
    <t>Total Stream Bank Total Nitrogen Load per Land Use, pounds</t>
  </si>
  <si>
    <t>Load assigned to
Developed Lands</t>
  </si>
  <si>
    <t>Stream Bank Total Nitrogen Loading rate for Undeveloped Lands</t>
  </si>
  <si>
    <t>Stream Bank
Total Nitrogen
Loading Rate, 
pounds/acre</t>
  </si>
  <si>
    <t>Stream Bank Total Nitrogen
Land Use Loading Rate</t>
  </si>
  <si>
    <t>Step 2. The Stream Bank Total Phosphorus Load, in pounds, is presented below:</t>
  </si>
  <si>
    <t>Total Phosphorus Load, pounds</t>
  </si>
  <si>
    <t>Step 6. Calculate the portion of the Stream Bank Total Phosphorus Load from "Developed" Lands that is assigned to each of the land use categories by calculating relative components from "Impervious" surfaces and from the land use as a whole:</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</si>
  <si>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</si>
  <si>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</si>
  <si>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</si>
  <si>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</si>
  <si>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</si>
  <si>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</si>
  <si>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Stream Bank TP Load</t>
  </si>
  <si>
    <t>Step 5. Calculate the portion of the Stream Bank Total Phosphorus (TP) Load resulting from "Developed" Lands</t>
  </si>
  <si>
    <r>
      <t xml:space="preserve">Page 2 of Stream Bank </t>
    </r>
    <r>
      <rPr>
        <b/>
        <i/>
        <sz val="10"/>
        <color theme="1"/>
        <rFont val="Arial"/>
        <family val="2"/>
      </rPr>
      <t>Total Phosphorus Loading Rates</t>
    </r>
    <r>
      <rPr>
        <sz val="10"/>
        <color theme="1"/>
        <rFont val="Arial"/>
        <family val="2"/>
      </rPr>
      <t xml:space="preserve"> worksheet</t>
    </r>
  </si>
  <si>
    <r>
      <t xml:space="preserve">Page 3 of Stream Bank </t>
    </r>
    <r>
      <rPr>
        <b/>
        <i/>
        <sz val="10"/>
        <color theme="1"/>
        <rFont val="Arial"/>
        <family val="2"/>
      </rPr>
      <t>Total Phosphorus Loading Rates</t>
    </r>
    <r>
      <rPr>
        <sz val="10"/>
        <color theme="1"/>
        <rFont val="Arial"/>
        <family val="2"/>
      </rPr>
      <t xml:space="preserve"> worksheet</t>
    </r>
  </si>
  <si>
    <r>
      <t xml:space="preserve">Page 4 of Stream Bank </t>
    </r>
    <r>
      <rPr>
        <b/>
        <i/>
        <sz val="10"/>
        <color theme="1"/>
        <rFont val="Arial"/>
        <family val="2"/>
      </rPr>
      <t>Total Phosphorus Loading Rates</t>
    </r>
    <r>
      <rPr>
        <sz val="10"/>
        <color theme="1"/>
        <rFont val="Arial"/>
        <family val="2"/>
      </rPr>
      <t xml:space="preserve"> worksheet</t>
    </r>
  </si>
  <si>
    <r>
      <t xml:space="preserve">Page 4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</si>
  <si>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r>
      <t xml:space="preserve">Page 3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</si>
  <si>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r>
      <t xml:space="preserve">Page 4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</si>
  <si>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r>
      <t xml:space="preserve">Page 3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</si>
  <si>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________________________</t>
  </si>
  <si>
    <t>Section 2: Land Use Loading Rates Look-Up Table</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</si>
  <si>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</si>
  <si>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15. Add these Stream Bank Sediment Land Use Loading Rates to the Land Use (upland source) Loading Rates for each of the corresponding land uses in the Land Use Loading Rates Look-Up Table to calculate the Total Sediment Loading Rate.</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</si>
  <si>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</si>
  <si>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</si>
  <si>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</si>
  <si>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</si>
  <si>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Load Reductions from BMP Implementation in Urban and Rural Areas</t>
  </si>
  <si>
    <t>Cover Crops</t>
  </si>
  <si>
    <t>Sediment (tons)</t>
  </si>
  <si>
    <t>Tot N (pounds)</t>
  </si>
  <si>
    <t>Tot P (pounds)</t>
  </si>
  <si>
    <t>Sediment (pounds)</t>
  </si>
  <si>
    <t>Available Acres</t>
  </si>
  <si>
    <t>Note: Do not double-count w/conservation till</t>
  </si>
  <si>
    <t>Acres Treated</t>
  </si>
  <si>
    <t>Conservation Till</t>
  </si>
  <si>
    <t>Note: Do not double-count w/cover crops</t>
  </si>
  <si>
    <t>Forested Buffers Crops</t>
  </si>
  <si>
    <t>Note: 1 acre of buffer treats 2 acres of cropland</t>
  </si>
  <si>
    <t>This also ccounts for 1:1 change from cropland to forest</t>
  </si>
  <si>
    <t>Stream miles buffered</t>
  </si>
  <si>
    <t>Note: Assumes buffer is done on one side</t>
  </si>
  <si>
    <t>Buffer acres created</t>
  </si>
  <si>
    <t xml:space="preserve">Stream Bank </t>
  </si>
  <si>
    <t>TOTAL</t>
  </si>
  <si>
    <t>Floodplain Restoration</t>
  </si>
  <si>
    <t>Tons of Sediment x 2,000 = conversion to pounds</t>
  </si>
  <si>
    <t>LAND USES</t>
  </si>
  <si>
    <t>ACRES</t>
  </si>
  <si>
    <t>Total Undeveloped Land</t>
  </si>
  <si>
    <t>Upland Sed Loading Rate</t>
  </si>
  <si>
    <t>Stream Feet Stabilized</t>
  </si>
  <si>
    <t>Sed Reduction per foot</t>
  </si>
  <si>
    <t>Stream ft ag</t>
  </si>
  <si>
    <t>Grazing Land Management</t>
  </si>
  <si>
    <t>Sed Reduction Coeff</t>
  </si>
  <si>
    <t>Cropland Retirement</t>
  </si>
  <si>
    <t>Acres Retired</t>
  </si>
  <si>
    <t>Streambank Stabilization</t>
  </si>
  <si>
    <t>Available Stream Feet</t>
  </si>
  <si>
    <t>Sediment Reduction (lb/ft)</t>
  </si>
  <si>
    <t>Ag E&amp;S</t>
  </si>
  <si>
    <t>Streambank Fencing</t>
  </si>
  <si>
    <t>Stream Feet Fenced</t>
  </si>
  <si>
    <t>Nutrient Management</t>
  </si>
  <si>
    <t>AWMS</t>
  </si>
  <si>
    <t>Model My Watershed OUTPUT DATA</t>
  </si>
  <si>
    <t>TOTAL WATERSHED ANNUAL LOADS
from Model My Watershed</t>
  </si>
  <si>
    <t>Look-Up Table for MMW Loading Rates</t>
  </si>
  <si>
    <t>User Specified</t>
  </si>
  <si>
    <t>Look-Up Table for Model My WatershedLoading Rates</t>
  </si>
  <si>
    <t xml:space="preserve">Model My Watershed Output File Results Converted to Land Use Loading Rates    </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</si>
  <si>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</si>
  <si>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</si>
  <si>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r>
      <t xml:space="preserve">Section 2 (Land Use Loading Rates Look-Up Table) </t>
    </r>
    <r>
      <rPr>
        <sz val="11"/>
        <color theme="1"/>
        <rFont val="Calibri"/>
        <family val="2"/>
        <scheme val="minor"/>
      </rPr>
      <t xml:space="preserve">contains the Look-Up Table with final land use loading rates that incorporate Land Use (upland source), Stream Bank (erosion) and Farm Animal Loads. </t>
    </r>
    <r>
      <rPr>
        <b/>
        <sz val="11"/>
        <color theme="1"/>
        <rFont val="Calibri"/>
        <family val="2"/>
        <scheme val="minor"/>
      </rPr>
      <t xml:space="preserve">The "Total" (pollutant) Loading Rate values in this Table are used to calculate Baseline and Existing loads as well as "future" loads from proposed urban and agricultural BMP load reductions. </t>
    </r>
  </si>
  <si>
    <r>
      <rPr>
        <b/>
        <sz val="11"/>
        <color theme="1"/>
        <rFont val="Calibri"/>
        <family val="2"/>
        <scheme val="minor"/>
      </rPr>
      <t>*</t>
    </r>
    <r>
      <rPr>
        <sz val="11"/>
        <color theme="1"/>
        <rFont val="Calibri"/>
        <family val="2"/>
        <scheme val="minor"/>
      </rPr>
      <t xml:space="preserve">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r>
  </si>
  <si>
    <r>
      <rPr>
        <b/>
        <sz val="11"/>
        <color theme="1"/>
        <rFont val="Calibri"/>
        <family val="2"/>
        <scheme val="minor"/>
      </rPr>
      <t xml:space="preserve">Sections 4 through 7 </t>
    </r>
    <r>
      <rPr>
        <sz val="11"/>
        <color theme="1"/>
        <rFont val="Calibri"/>
        <family val="2"/>
        <scheme val="minor"/>
      </rPr>
      <t>Contain supporting documentation that show how the calculations were performed to arrive at the values for the watershed that were presented in the Look-up Table in Section 2.</t>
    </r>
  </si>
  <si>
    <t>Look-Up Table for MMW Land Use Loading Rates</t>
  </si>
  <si>
    <t xml:space="preserve">MMW Model Output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</si>
  <si>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</si>
  <si>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r>
      <t xml:space="preserve">① - Separate worksheets are used to calculate and apportion the loading rates from the </t>
    </r>
    <r>
      <rPr>
        <b/>
        <sz val="10"/>
        <color theme="1"/>
        <rFont val="Arial"/>
        <family val="2"/>
      </rPr>
      <t>Stream Bank</t>
    </r>
    <r>
      <rPr>
        <sz val="10"/>
        <color theme="1"/>
        <rFont val="Arial"/>
        <family val="2"/>
      </rPr>
      <t xml:space="preserve"> source loads (for sediment, total nitrogen, and total phosphorus) from the MMW Output file into each land use category, using methodology provided by Dr. Barry Evans (Pennsylvania State University), the author of MapShed, and with concurrence from Mr. Bill Brown (PADEP).</t>
    </r>
  </si>
  <si>
    <r>
      <t xml:space="preserve">② - A separate worksheet is used to calculate and apportion the "Total Nitrogen" and "Total Phosphorus" loading rates from the </t>
    </r>
    <r>
      <rPr>
        <b/>
        <sz val="10"/>
        <color theme="1"/>
        <rFont val="Arial"/>
        <family val="2"/>
      </rPr>
      <t>Farm Animals</t>
    </r>
    <r>
      <rPr>
        <sz val="10"/>
        <color theme="1"/>
        <rFont val="Arial"/>
        <family val="2"/>
      </rPr>
      <t xml:space="preserve">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t>
    </r>
    <r>
      <rPr>
        <b/>
        <sz val="10"/>
        <color theme="1"/>
        <rFont val="Arial"/>
        <family val="2"/>
      </rPr>
      <t>Farm Animals</t>
    </r>
    <r>
      <rPr>
        <sz val="10"/>
        <color theme="1"/>
        <rFont val="Arial"/>
        <family val="2"/>
      </rPr>
      <t xml:space="preserve"> source loads do not apply to other land use catergories, the values in those cells are "n/a".</t>
    </r>
  </si>
  <si>
    <t>Section 4: Farm Animals TN and TP Loading Rates Worksheet</t>
  </si>
  <si>
    <t>Section 5: Stream Bank Sediment Loading Rates Worksheet</t>
  </si>
  <si>
    <t>Section 6: Stream Bank Nitrogen Loading Rates Worksheet</t>
  </si>
  <si>
    <t>Section 7: Stream Bank Phosphorus Loading Rates Worksheet</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</si>
  <si>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</si>
  <si>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Please Note: The current tool only allows for the estimation of sediment (TSS) loads. Load estimates for Total Nitrogen and Total Phosphorus will be implemented in early 2018. Once these revisions have been made, an updated version of this tool will be made available for download via Model My Watershed.</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</si>
  <si>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</si>
  <si>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</si>
  <si>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</si>
  <si>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</si>
  <si>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</si>
  <si>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</si>
  <si>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</si>
  <si>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The BMP Removal Rate Curves shown below have been incorporated into this spreadsheet tool. With this approach, pollutant removal efficiencies are calculated based on the amount of runoff (runoff depth) captured per acre of impervious surface.</t>
  </si>
  <si>
    <t>PERFORMANCE STANDARD APPROACH for use with urban BMPs (as referenced in PA DEP permit materials; original source citation at bottom of page.)</t>
  </si>
  <si>
    <r>
      <rPr>
        <b/>
        <sz val="11"/>
        <color theme="1"/>
        <rFont val="Calibri"/>
        <family val="2"/>
        <scheme val="minor"/>
      </rPr>
      <t xml:space="preserve">* </t>
    </r>
    <r>
      <rPr>
        <sz val="11"/>
        <color theme="1"/>
        <rFont val="Calibri"/>
        <family val="2"/>
        <scheme val="minor"/>
      </rPr>
      <t>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r>
  </si>
  <si>
    <r>
      <rPr>
        <b/>
        <sz val="11"/>
        <color theme="1"/>
        <rFont val="Calibri"/>
        <family val="2"/>
        <scheme val="minor"/>
      </rPr>
      <t>Section 3 (MMMW Output)</t>
    </r>
    <r>
      <rPr>
        <sz val="11"/>
        <color theme="1"/>
        <rFont val="Calibri"/>
        <family val="2"/>
        <scheme val="minor"/>
      </rPr>
      <t xml:space="preserve"> contains results from the MMW output file data that are used for calculations throughout this workbook. </t>
    </r>
  </si>
  <si>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</si>
  <si>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</si>
  <si>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</si>
  <si>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Land Use Categories from MMW ①</t>
  </si>
  <si>
    <t>Note: The loads are taken from cells H38 and J38 from the MMW Output worksheet</t>
  </si>
  <si>
    <t>Part 1: Streambank Load</t>
  </si>
  <si>
    <t>Part 2: Upland Load</t>
  </si>
  <si>
    <t>Additional % Reduction</t>
  </si>
  <si>
    <t>Average Annual Loads from Watershed</t>
  </si>
  <si>
    <t>Total N</t>
  </si>
  <si>
    <t>Total P</t>
  </si>
  <si>
    <t>Reduction Coefficient</t>
  </si>
  <si>
    <t>Lbs upland load reduced</t>
  </si>
  <si>
    <t>Lbs Streambank Load Reduced</t>
  </si>
  <si>
    <t>Total Floodplain Lbs Reduced</t>
  </si>
  <si>
    <t>TOTAL LBS REDUCED</t>
  </si>
  <si>
    <t>Part 1: Surface Runoff</t>
  </si>
  <si>
    <t>Reduction (lb/ft)</t>
  </si>
  <si>
    <t>Lbs/Yr Reduced</t>
  </si>
  <si>
    <t>Part 2: Subsurface Flow</t>
  </si>
  <si>
    <t>Total Lbs/Yr Reduced</t>
  </si>
  <si>
    <t>Upland TN Loading Rate</t>
  </si>
  <si>
    <t>Upland TP Loading Rate</t>
  </si>
  <si>
    <t>Available Load</t>
  </si>
  <si>
    <t>Pct of Total Animals Covered</t>
  </si>
  <si>
    <t>Percent of Original Load</t>
  </si>
  <si>
    <t>User-supplied</t>
  </si>
  <si>
    <t>Total Stream ft</t>
  </si>
  <si>
    <t>Percent Reduction</t>
  </si>
  <si>
    <t>Sediment (lbs/yr)</t>
  </si>
  <si>
    <t>TN (lbs/yr)</t>
  </si>
  <si>
    <t>TP (lbs/yr)</t>
  </si>
  <si>
    <t>Loads Removed w/Existing Urban BMPs</t>
  </si>
  <si>
    <t>Loads Removed w/Proposed Urban BMPs</t>
  </si>
  <si>
    <t>Loads Removed w/Existing Agricultural BMPs</t>
  </si>
  <si>
    <t>Loads Removed w/Proposed Agricultural BMPs</t>
  </si>
  <si>
    <t>Total Loads Removed</t>
  </si>
  <si>
    <t>New Reduced Load</t>
  </si>
  <si>
    <t>Initial MMW Loads</t>
  </si>
  <si>
    <t xml:space="preserve">PURPOSE AND LIMITATIONS:  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</si>
  <si>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</si>
  <si>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Total Baseline Load (1)</t>
  </si>
  <si>
    <t>Percent Reduction from Baseline Load</t>
  </si>
  <si>
    <t>(1) After existing BMPs have been accounted for</t>
  </si>
  <si>
    <t>Total Loads Removed from Baseline (2)</t>
  </si>
  <si>
    <t>(2) After proposed BMPs have been accounted for</t>
  </si>
  <si>
    <t>Stream Bank (pounds rounded to 1 decimal)</t>
  </si>
  <si>
    <t>Note: The sediment load is taken from Cell F40 in the MMW Output worksheet</t>
  </si>
  <si>
    <t>Step 9. Distribute the "Total Load Assigned to Developed Lands" from Step 5  to each Developed Land type based on "Impervious" surfaces and the percent of land area in the land use category:</t>
  </si>
  <si>
    <t>Load assigned to Total Developed Land</t>
  </si>
  <si>
    <t>Load assigned for Total Impervious Land</t>
  </si>
  <si>
    <t>This is A) 70% of the Stream Bank Total Nitrogen Load times the percent of developed lands in the watershed</t>
  </si>
  <si>
    <t>plus B) 30% of the Stream Bank Total Nitrogen Load:</t>
  </si>
  <si>
    <t>Load assigned for total impervious land area</t>
  </si>
  <si>
    <t>Step 9. Distribute the "Total Load Assigned to Developed Lands" from Step 5 based on "Impervious" surfaces and assign 40% based on the percent of land area in the land use category.</t>
  </si>
  <si>
    <t>This is A) 70% of the Stream Bank Sediment Load times the percent of developed lands in the watershed</t>
  </si>
  <si>
    <t>plus B) 30% of the Stream Bank Sediment Load:</t>
  </si>
  <si>
    <t>Load assigned to Total Developed Land Area</t>
  </si>
  <si>
    <t>This is A) 70% of the Stream Bank Total Phosphorus Load times the percent of developed lands in the</t>
  </si>
  <si>
    <t>watershed plus B) 30% of the Stream Bank Total Phosphorus Load:</t>
  </si>
  <si>
    <t>Step 9. Distribute the "Total Load Assigned to Developed Lands" from Step 5 to each Developed Land type based on "Impervious" surfaces and the percent of land area in each land use category.</t>
  </si>
  <si>
    <t>Load assigned to Total Impervious Land</t>
  </si>
  <si>
    <t>A) 75% x Stream Bank Sediment Load x Percent of Developed Lands</t>
  </si>
  <si>
    <t>B) 25% x Stream Bank Sediment Load</t>
  </si>
  <si>
    <t>A) 75% x Stream Bank TN Load x Percent of Developed Lands</t>
  </si>
  <si>
    <t>B) 25% x Stream Bank TN Load</t>
  </si>
  <si>
    <t>A) 75% x Stream Bank TP Load x Percent of Developed Lands</t>
  </si>
  <si>
    <t>B) 25% x Stream Bank TP Load</t>
  </si>
  <si>
    <t>MMW NLCD Land Cover C ategories (from "Analyze" results)</t>
  </si>
  <si>
    <t>TYPE</t>
  </si>
  <si>
    <t>AREA (km^2)</t>
  </si>
  <si>
    <t>Open Water</t>
  </si>
  <si>
    <t>Perennial Ice/Snow</t>
  </si>
  <si>
    <t>Developed, Open Space</t>
  </si>
  <si>
    <t>Developed, Low Intensity</t>
  </si>
  <si>
    <t>Developed, Medium Intensity</t>
  </si>
  <si>
    <t>Developed, High Intensity</t>
  </si>
  <si>
    <t>Barren Land (Rock/Sand/Clay)</t>
  </si>
  <si>
    <t>Deciduous Forest</t>
  </si>
  <si>
    <t>Evergreen Forest</t>
  </si>
  <si>
    <t>Mixed Forest</t>
  </si>
  <si>
    <t>Shrub/Scrub</t>
  </si>
  <si>
    <t>Grassland/Herbaceous</t>
  </si>
  <si>
    <t>Pasture/Hay</t>
  </si>
  <si>
    <t>Cultivated Crops</t>
  </si>
  <si>
    <t>Woody Wetlands</t>
  </si>
  <si>
    <t>Emergent Herbaceous Wetlands</t>
  </si>
  <si>
    <t>AREA (acres)</t>
  </si>
  <si>
    <t>Pollutant Load Conversion from Metric to Standard Units</t>
  </si>
  <si>
    <t>SOURCE</t>
  </si>
  <si>
    <t>Wooded Areas</t>
  </si>
  <si>
    <t>Wetlands</t>
  </si>
  <si>
    <t>Open Land</t>
  </si>
  <si>
    <t>Barren Areas</t>
  </si>
  <si>
    <t>Low-Density Mixed</t>
  </si>
  <si>
    <t>Medium-Density Mixed</t>
  </si>
  <si>
    <t>High-Density Mixed</t>
  </si>
  <si>
    <t>Other Upland Areas</t>
  </si>
  <si>
    <t>Stream Bank Erosion</t>
  </si>
  <si>
    <t>Subsurface Flow</t>
  </si>
  <si>
    <t>Point Sources</t>
  </si>
  <si>
    <t>SEDIMENT (kg)</t>
  </si>
  <si>
    <t>TOTAL N (kg)</t>
  </si>
  <si>
    <t>TOTAL P (kg)</t>
  </si>
  <si>
    <t>SEDIMENT (tons)</t>
  </si>
  <si>
    <t>Pollutant Load Conversion from Metric to Standard Units (from "Model" csv file)</t>
  </si>
  <si>
    <t>TOTAL N (lbs)</t>
  </si>
  <si>
    <t>TOTAL P (lbs)</t>
  </si>
  <si>
    <t>Totals</t>
  </si>
  <si>
    <t>MMW NLCD Land Cover Categories for Watershed (from "Analyze" csv file)</t>
  </si>
  <si>
    <t>Note: The information below is only used for allocation of "urban" loads within a larger watershed boundary</t>
  </si>
  <si>
    <t>MMW NLCD Land Cover Categories for Urban Area (from second, smaller "Analyze" csv file)</t>
  </si>
  <si>
    <t>Entire Watershed</t>
  </si>
  <si>
    <t>Urban Area</t>
  </si>
  <si>
    <t>(This section will be populated using loading rates from the "Land Use Loading Rate" tab and area information from the "MMW Output" tab)</t>
  </si>
  <si>
    <t>Developed by:</t>
  </si>
  <si>
    <t>Anthony Aufdenkampe, LImnoTech</t>
  </si>
  <si>
    <t>Barry Evans, Drexel University &amp; Penn State University</t>
  </si>
  <si>
    <t>Mike Hickman, Center for Watershed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</si>
</sst>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_(* #,##0_);_(* \(#,##0\);_(* &quot;-&quot;??_);_(@_)"/>
    <numFmt numFmtId="166" formatCode="#,##0.00000"/>
    <numFmt numFmtId="167" formatCode="_(* #,##0.0_);_(* \(#,##0.0\);_(* &quot;-&quot;??_);_(@_)"/>
    <numFmt numFmtId="168" formatCode="0.0000"/>
    <numFmt numFmtId="169" formatCode="0.000"/>
  </numFmts>
  <fonts count="6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i/>
      <sz val="10"/>
      <color theme="1"/>
      <name val="Arial"/>
      <family val="2"/>
    </font>
    <font>
      <sz val="10"/>
      <name val="Arial"/>
      <family val="2"/>
    </font>
    <font>
      <sz val="6"/>
      <color theme="1"/>
      <name val="Arial"/>
      <family val="2"/>
    </font>
    <font>
      <b/>
      <sz val="10"/>
      <name val="Arial"/>
      <family val="2"/>
    </font>
    <font>
      <b/>
      <sz val="12"/>
      <color theme="1"/>
      <name val="Arial"/>
      <family val="2"/>
    </font>
    <font>
      <b/>
      <sz val="14"/>
      <color theme="1"/>
      <name val="Arial"/>
      <family val="2"/>
    </font>
    <font>
      <u/>
      <sz val="10"/>
      <color theme="1"/>
      <name val="Arial"/>
      <family val="2"/>
    </font>
    <font>
      <sz val="10"/>
      <color rgb="FFC00000"/>
      <name val="Arial"/>
      <family val="2"/>
    </font>
    <font>
      <b/>
      <sz val="11"/>
      <color theme="1"/>
      <name val="Arial"/>
      <family val="2"/>
    </font>
    <font>
      <sz val="14"/>
      <color theme="1"/>
      <name val="Arial"/>
      <family val="2"/>
    </font>
    <font>
      <sz val="9"/>
      <color theme="1"/>
      <name val="Arial"/>
      <family val="2"/>
    </font>
    <font>
      <sz val="12"/>
      <color theme="1"/>
      <name val="Arial"/>
      <family val="2"/>
    </font>
    <font>
      <b/>
      <i/>
      <sz val="10"/>
      <color theme="1"/>
      <name val="Arial"/>
      <family val="2"/>
    </font>
    <font>
      <b/>
      <u/>
      <sz val="12"/>
      <color theme="1"/>
      <name val="Arial"/>
      <family val="2"/>
    </font>
    <font>
      <b/>
      <i/>
      <sz val="12"/>
      <color theme="1"/>
      <name val="Arial"/>
      <family val="2"/>
    </font>
    <font>
      <b/>
      <sz val="9"/>
      <color theme="1"/>
      <name val="Arial"/>
      <family val="2"/>
    </font>
    <font>
      <b/>
      <sz val="14"/>
      <color theme="1"/>
      <name val="Calibri"/>
      <family val="2"/>
      <scheme val="minor"/>
    </font>
    <font>
      <sz val="8.5"/>
      <color theme="1"/>
      <name val="Arial"/>
      <family val="2"/>
    </font>
    <font>
      <b/>
      <sz val="10"/>
      <color theme="1"/>
      <name val="Calibri"/>
      <family val="2"/>
    </font>
    <font>
      <sz val="9"/>
      <name val="Arial"/>
      <family val="2"/>
    </font>
    <font>
      <b/>
      <sz val="9.5"/>
      <name val="Arial"/>
      <family val="2"/>
    </font>
    <font>
      <sz val="9.5"/>
      <color theme="1"/>
      <name val="Arial"/>
      <family val="2"/>
    </font>
    <font>
      <sz val="8"/>
      <color theme="1"/>
      <name val="Arial"/>
      <family val="2"/>
    </font>
    <font>
      <sz val="7.5"/>
      <color theme="1"/>
      <name val="Arial"/>
      <family val="2"/>
    </font>
    <font>
      <i/>
      <sz val="11"/>
      <color theme="1"/>
      <name val="Calibri"/>
      <family val="2"/>
      <scheme val="minor"/>
    </font>
    <font>
      <b/>
      <i/>
      <sz val="12"/>
      <color theme="1"/>
      <name val="Calibri"/>
      <family val="2"/>
      <scheme val="minor"/>
    </font>
    <font>
      <b/>
      <i/>
      <sz val="11"/>
      <color theme="1"/>
      <name val="Calibri"/>
      <family val="2"/>
      <scheme val="minor"/>
    </font>
    <font>
      <sz val="8"/>
      <name val="Calibri"/>
      <family val="2"/>
      <scheme val="minor"/>
    </font>
    <font>
      <sz val="11"/>
      <color theme="1"/>
      <name val="Calibri"/>
      <family val="2"/>
    </font>
    <font>
      <b/>
      <sz val="11"/>
      <color rgb="FF000000"/>
      <name val="Calibri"/>
      <family val="2"/>
    </font>
    <font>
      <sz val="11"/>
      <color rgb="FFFF0000"/>
      <name val="Calibri"/>
      <family val="2"/>
    </font>
    <font>
      <i/>
      <sz val="11"/>
      <color rgb="FF000000"/>
      <name val="Calibri"/>
      <family val="2"/>
    </font>
    <font>
      <b/>
      <sz val="11"/>
      <name val="Calibri"/>
      <family val="2"/>
    </font>
    <font>
      <sz val="11"/>
      <name val="Calibri"/>
      <family val="2"/>
    </font>
    <font>
      <b/>
      <sz val="11"/>
      <color rgb="FFFF0000"/>
      <name val="Calibri"/>
      <family val="2"/>
    </font>
    <font>
      <b/>
      <sz val="11"/>
      <color rgb="FF008A3E"/>
      <name val="Calibri"/>
      <family val="2"/>
    </font>
    <font>
      <sz val="10"/>
      <color rgb="FFFF0000"/>
      <name val="Arial"/>
      <family val="2"/>
    </font>
    <font>
      <i/>
      <sz val="11"/>
      <color rgb="FFFF0000"/>
      <name val="Calibri"/>
      <family val="2"/>
      <scheme val="minor"/>
    </font>
    <font>
      <sz val="14"/>
      <color rgb="FF000000"/>
      <name val="Calibri"/>
      <family val="2"/>
    </font>
    <font>
      <sz val="12"/>
      <color rgb="FF000000"/>
      <name val="Calibri"/>
      <family val="2"/>
    </font>
    <font>
      <sz val="11"/>
      <color rgb="FF000000"/>
      <name val="Calibri"/>
      <family val="2"/>
    </font>
    <font>
      <i/>
      <sz val="11"/>
      <color theme="1"/>
      <name val="Calibri"/>
      <family val="2"/>
    </font>
    <font>
      <b/>
      <i/>
      <sz val="11"/>
      <color theme="1"/>
      <name val="Calibri"/>
      <family val="2"/>
    </font>
    <font>
      <i/>
      <sz val="11"/>
      <color theme="3" tint="0.39997558519241921"/>
      <name val="Calibri"/>
      <family val="2"/>
    </font>
    <font>
      <b/>
      <sz val="10"/>
      <color rgb="FFFF0000"/>
      <name val="Arial"/>
      <family val="2"/>
    </font>
    <font>
      <sz val="18"/>
      <color rgb="FFFF0000"/>
      <name val="Calibri"/>
      <family val="2"/>
      <scheme val="minor"/>
    </font>
    <font>
      <b/>
      <sz val="11"/>
      <color rgb="FFFF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rgb="FF000000"/>
        <bgColor rgb="FF000000"/>
      </patternFill>
    </fill>
    <fill>
      <patternFill patternType="solid">
        <fgColor rgb="FF92D050"/>
        <bgColor rgb="FF000000"/>
      </patternFill>
    </fill>
    <fill>
      <patternFill patternType="solid">
        <fgColor rgb="FFDCE6F1"/>
        <bgColor rgb="FF000000"/>
      </patternFill>
    </fill>
    <fill>
      <patternFill patternType="solid">
        <fgColor rgb="FF92D050"/>
        <bgColor indexed="64"/>
      </patternFill>
    </fill>
    <fill>
      <patternFill patternType="solid">
        <fgColor theme="4" tint="0.79998168889431442"/>
        <bgColor indexed="64"/>
      </patternFill>
    </fill>
  </fills>
  <borders count="7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thin">
        <color theme="1" tint="0.24994659260841701"/>
      </right>
      <top/>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style="thin">
        <color theme="1" tint="0.24994659260841701"/>
      </right>
      <top style="thin">
        <color theme="1" tint="0.24994659260841701"/>
      </top>
      <bottom/>
      <diagonal/>
    </border>
    <border>
      <left style="thin">
        <color theme="1" tint="0.24994659260841701"/>
      </left>
      <right style="thin">
        <color theme="1" tint="0.24994659260841701"/>
      </right>
      <top/>
      <bottom/>
      <diagonal/>
    </border>
    <border>
      <left/>
      <right/>
      <top/>
      <bottom style="thin">
        <color auto="1"/>
      </bottom>
      <diagonal/>
    </border>
    <border>
      <left/>
      <right/>
      <top style="thin">
        <color auto="1"/>
      </top>
      <bottom style="medium">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medium">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theme="1" tint="0.24994659260841701"/>
      </left>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style="thin">
        <color theme="1" tint="0.24994659260841701"/>
      </top>
      <bottom/>
      <diagonal/>
    </border>
    <border>
      <left/>
      <right style="thin">
        <color auto="1"/>
      </right>
      <top style="medium">
        <color auto="1"/>
      </top>
      <bottom style="thin">
        <color auto="1"/>
      </bottom>
      <diagonal/>
    </border>
    <border>
      <left/>
      <right style="medium">
        <color auto="1"/>
      </right>
      <top style="thin">
        <color auto="1"/>
      </top>
      <bottom style="medium">
        <color auto="1"/>
      </bottom>
      <diagonal/>
    </border>
    <border>
      <left/>
      <right style="thin">
        <color auto="1"/>
      </right>
      <top/>
      <bottom style="medium">
        <color auto="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bottom/>
      <diagonal/>
    </border>
    <border>
      <left style="dashDot">
        <color theme="1" tint="0.24994659260841701"/>
      </left>
      <right style="dashDot">
        <color theme="1" tint="0.24994659260841701"/>
      </right>
      <top/>
      <bottom style="dashDot">
        <color theme="1" tint="0.24994659260841701"/>
      </bottom>
      <diagonal/>
    </border>
    <border>
      <left style="dashDot">
        <color theme="1" tint="0.24994659260841701"/>
      </left>
      <right style="dashDot">
        <color theme="1" tint="0.24994659260841701"/>
      </right>
      <top style="thin">
        <color theme="1" tint="0.24994659260841701"/>
      </top>
      <bottom/>
      <diagonal/>
    </border>
    <border>
      <left style="dashDot">
        <color theme="1" tint="0.24994659260841701"/>
      </left>
      <right style="dashDot">
        <color theme="1" tint="0.24994659260841701"/>
      </right>
      <top style="thin">
        <color auto="1"/>
      </top>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auto="1"/>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21" fillId="0" borderId="0"/>
    <xf numFmtId="9" fontId="21" fillId="0" borderId="0" applyFont="0" applyFill="0" applyBorder="0" applyAlignment="0" applyProtection="0"/>
  </cellStyleXfs>
  <cellXfs count="442">
    <xf numFmtId="0" fontId="0" fillId="0" borderId="0" xfId="0"/>
    <xf numFmtId="0" fontId="18" fillId="0" borderId="0" xfId="0" applyFont="1"/>
    <xf numFmtId="4" fontId="18" fillId="0" borderId="13" xfId="0" applyNumberFormat="1" applyFont="1" applyFill="1" applyBorder="1"/>
    <xf numFmtId="4" fontId="18" fillId="0" borderId="14" xfId="0" applyNumberFormat="1" applyFont="1" applyFill="1" applyBorder="1"/>
    <xf numFmtId="0" fontId="18" fillId="0" borderId="0" xfId="0" applyFont="1" applyFill="1"/>
    <xf numFmtId="0" fontId="19" fillId="0" borderId="0" xfId="0" applyFont="1" applyAlignment="1">
      <alignment horizontal="right"/>
    </xf>
    <xf numFmtId="0" fontId="19" fillId="0" borderId="0" xfId="0" applyFont="1" applyFill="1" applyAlignment="1">
      <alignment horizontal="right"/>
    </xf>
    <xf numFmtId="164" fontId="18" fillId="0" borderId="0" xfId="0" applyNumberFormat="1" applyFont="1" applyFill="1" applyBorder="1"/>
    <xf numFmtId="0" fontId="19" fillId="0" borderId="0" xfId="0" applyFont="1" applyBorder="1" applyAlignment="1">
      <alignment horizontal="center"/>
    </xf>
    <xf numFmtId="0" fontId="18" fillId="0" borderId="0" xfId="0" applyFont="1" applyAlignment="1">
      <alignment wrapText="1"/>
    </xf>
    <xf numFmtId="164" fontId="21" fillId="0" borderId="0" xfId="0" applyNumberFormat="1" applyFont="1" applyFill="1" applyBorder="1"/>
    <xf numFmtId="4" fontId="21" fillId="0" borderId="0" xfId="0" applyNumberFormat="1" applyFont="1" applyFill="1" applyBorder="1"/>
    <xf numFmtId="0" fontId="18" fillId="0" borderId="0" xfId="0" applyFont="1" applyBorder="1" applyAlignment="1">
      <alignment wrapText="1"/>
    </xf>
    <xf numFmtId="0" fontId="18" fillId="0" borderId="0" xfId="0" applyFont="1" applyBorder="1"/>
    <xf numFmtId="0" fontId="19" fillId="0" borderId="20" xfId="0" applyFont="1" applyFill="1" applyBorder="1" applyAlignment="1">
      <alignment horizontal="center" wrapText="1"/>
    </xf>
    <xf numFmtId="0" fontId="19" fillId="0" borderId="21" xfId="0" applyFont="1" applyFill="1" applyBorder="1" applyAlignment="1">
      <alignment horizontal="center" wrapText="1"/>
    </xf>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21" xfId="0" applyFont="1" applyFill="1" applyBorder="1" applyAlignment="1">
      <alignment horizontal="center" vertical="center" wrapText="1"/>
    </xf>
    <xf numFmtId="0" fontId="20" fillId="0" borderId="15" xfId="0" applyFont="1" applyFill="1" applyBorder="1" applyAlignment="1">
      <alignment vertical="center" wrapText="1"/>
    </xf>
    <xf numFmtId="0" fontId="20" fillId="0" borderId="23" xfId="0" applyFont="1" applyFill="1" applyBorder="1" applyAlignment="1">
      <alignment vertical="center" wrapText="1"/>
    </xf>
    <xf numFmtId="0" fontId="20" fillId="0" borderId="2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18" fillId="0" borderId="20" xfId="0" applyFont="1" applyBorder="1"/>
    <xf numFmtId="0" fontId="18" fillId="0" borderId="25" xfId="0" applyFont="1" applyBorder="1"/>
    <xf numFmtId="0" fontId="18" fillId="0" borderId="28" xfId="0" applyFont="1" applyFill="1" applyBorder="1"/>
    <xf numFmtId="0" fontId="19" fillId="0" borderId="15" xfId="0" applyFont="1" applyFill="1" applyBorder="1" applyAlignment="1">
      <alignment wrapText="1"/>
    </xf>
    <xf numFmtId="164" fontId="18" fillId="0" borderId="19" xfId="0" applyNumberFormat="1" applyFont="1" applyFill="1" applyBorder="1"/>
    <xf numFmtId="164" fontId="18" fillId="0" borderId="20" xfId="0" applyNumberFormat="1" applyFont="1" applyFill="1" applyBorder="1"/>
    <xf numFmtId="0" fontId="18" fillId="0" borderId="26" xfId="0" applyFont="1" applyBorder="1"/>
    <xf numFmtId="0" fontId="18" fillId="0" borderId="17" xfId="0" applyFont="1" applyBorder="1" applyAlignment="1">
      <alignment horizontal="center" wrapText="1"/>
    </xf>
    <xf numFmtId="4" fontId="21" fillId="34" borderId="25" xfId="0" applyNumberFormat="1" applyFont="1" applyFill="1" applyBorder="1" applyAlignment="1">
      <alignment horizontal="right" indent="1"/>
    </xf>
    <xf numFmtId="4" fontId="21" fillId="0" borderId="0" xfId="0" applyNumberFormat="1" applyFont="1" applyBorder="1" applyAlignment="1">
      <alignment horizontal="right" indent="1"/>
    </xf>
    <xf numFmtId="0" fontId="22" fillId="0" borderId="20" xfId="0" quotePrefix="1" applyFont="1" applyBorder="1" applyAlignment="1">
      <alignment vertical="center" wrapText="1"/>
    </xf>
    <xf numFmtId="0" fontId="20" fillId="0" borderId="19" xfId="0" applyFont="1" applyFill="1" applyBorder="1" applyAlignment="1">
      <alignment vertical="center" wrapText="1"/>
    </xf>
    <xf numFmtId="164" fontId="21" fillId="0" borderId="23" xfId="0" applyNumberFormat="1" applyFont="1" applyBorder="1"/>
    <xf numFmtId="164" fontId="21" fillId="34" borderId="23" xfId="0" applyNumberFormat="1" applyFont="1" applyFill="1" applyBorder="1"/>
    <xf numFmtId="0" fontId="19" fillId="0" borderId="0" xfId="0" applyFont="1"/>
    <xf numFmtId="0" fontId="24" fillId="0" borderId="0" xfId="0" applyFont="1"/>
    <xf numFmtId="0" fontId="27" fillId="0" borderId="0" xfId="0" applyFont="1"/>
    <xf numFmtId="3" fontId="18" fillId="0" borderId="0" xfId="0" applyNumberFormat="1" applyFont="1"/>
    <xf numFmtId="4" fontId="27" fillId="0" borderId="0" xfId="0" applyNumberFormat="1" applyFont="1" applyFill="1" applyBorder="1" applyAlignment="1">
      <alignment wrapText="1"/>
    </xf>
    <xf numFmtId="3" fontId="27" fillId="0" borderId="0" xfId="0" applyNumberFormat="1" applyFont="1"/>
    <xf numFmtId="4" fontId="19" fillId="0" borderId="0" xfId="0" applyNumberFormat="1" applyFont="1" applyFill="1" applyBorder="1" applyAlignment="1">
      <alignment wrapText="1"/>
    </xf>
    <xf numFmtId="0" fontId="18" fillId="0" borderId="29" xfId="0" applyFont="1" applyBorder="1"/>
    <xf numFmtId="9" fontId="18" fillId="0" borderId="0" xfId="0" applyNumberFormat="1" applyFont="1"/>
    <xf numFmtId="9" fontId="18" fillId="0" borderId="0" xfId="43" applyFont="1"/>
    <xf numFmtId="0" fontId="18" fillId="0" borderId="0" xfId="0" quotePrefix="1" applyFont="1"/>
    <xf numFmtId="165" fontId="18" fillId="0" borderId="0" xfId="42" applyNumberFormat="1" applyFont="1"/>
    <xf numFmtId="165" fontId="18" fillId="0" borderId="0" xfId="0" applyNumberFormat="1" applyFont="1"/>
    <xf numFmtId="165" fontId="27" fillId="0" borderId="0" xfId="0" applyNumberFormat="1" applyFont="1"/>
    <xf numFmtId="0" fontId="24" fillId="0" borderId="0" xfId="0" applyFont="1" applyAlignment="1">
      <alignment horizontal="left"/>
    </xf>
    <xf numFmtId="0" fontId="19" fillId="0" borderId="29" xfId="0" applyFont="1" applyBorder="1"/>
    <xf numFmtId="4" fontId="21" fillId="0" borderId="23" xfId="0" applyNumberFormat="1" applyFont="1" applyBorder="1"/>
    <xf numFmtId="4" fontId="21" fillId="34" borderId="23" xfId="0" applyNumberFormat="1" applyFont="1" applyFill="1" applyBorder="1"/>
    <xf numFmtId="0" fontId="21" fillId="0" borderId="0" xfId="0" applyFont="1"/>
    <xf numFmtId="4" fontId="19" fillId="0" borderId="29" xfId="0" applyNumberFormat="1" applyFont="1" applyBorder="1" applyAlignment="1">
      <alignment wrapText="1"/>
    </xf>
    <xf numFmtId="4" fontId="19" fillId="0" borderId="29" xfId="0" applyNumberFormat="1" applyFont="1" applyBorder="1" applyAlignment="1">
      <alignment horizontal="right" wrapText="1"/>
    </xf>
    <xf numFmtId="4" fontId="21" fillId="0" borderId="0" xfId="0" applyNumberFormat="1" applyFont="1" applyFill="1" applyBorder="1" applyAlignment="1">
      <alignment wrapText="1"/>
    </xf>
    <xf numFmtId="0" fontId="18" fillId="0" borderId="0" xfId="0" applyFont="1" applyAlignment="1">
      <alignment horizontal="left" wrapText="1"/>
    </xf>
    <xf numFmtId="0" fontId="18" fillId="0" borderId="0" xfId="0" applyFont="1" applyAlignment="1">
      <alignment horizontal="left" indent="1"/>
    </xf>
    <xf numFmtId="0" fontId="21" fillId="0" borderId="0" xfId="0" applyFont="1" applyFill="1" applyBorder="1"/>
    <xf numFmtId="9" fontId="18" fillId="0" borderId="0" xfId="43" applyFont="1" applyAlignment="1">
      <alignment horizontal="right" indent="1"/>
    </xf>
    <xf numFmtId="3" fontId="21" fillId="0" borderId="0" xfId="0" applyNumberFormat="1" applyFont="1" applyAlignment="1">
      <alignment horizontal="right" indent="2"/>
    </xf>
    <xf numFmtId="0" fontId="27" fillId="0" borderId="0" xfId="0" applyFont="1" applyBorder="1" applyAlignment="1">
      <alignment wrapText="1"/>
    </xf>
    <xf numFmtId="0" fontId="20" fillId="0" borderId="29" xfId="0" applyFont="1" applyBorder="1" applyAlignment="1">
      <alignment horizontal="center"/>
    </xf>
    <xf numFmtId="0" fontId="21" fillId="0" borderId="29" xfId="0" applyFont="1" applyBorder="1"/>
    <xf numFmtId="0" fontId="19" fillId="0" borderId="0" xfId="0" applyFont="1" applyAlignment="1">
      <alignment wrapText="1"/>
    </xf>
    <xf numFmtId="0" fontId="18" fillId="0" borderId="0" xfId="0" applyFont="1" applyAlignment="1">
      <alignment vertical="top" wrapText="1"/>
    </xf>
    <xf numFmtId="0" fontId="19" fillId="0" borderId="29" xfId="0" applyFont="1" applyBorder="1" applyAlignment="1">
      <alignment horizontal="center" wrapText="1"/>
    </xf>
    <xf numFmtId="164" fontId="21" fillId="34" borderId="23" xfId="0" quotePrefix="1" applyNumberFormat="1" applyFont="1" applyFill="1" applyBorder="1"/>
    <xf numFmtId="4" fontId="21" fillId="0" borderId="0" xfId="0" quotePrefix="1" applyNumberFormat="1" applyFont="1" applyFill="1" applyBorder="1" applyAlignment="1">
      <alignment wrapText="1"/>
    </xf>
    <xf numFmtId="164" fontId="21" fillId="0" borderId="23" xfId="0" quotePrefix="1" applyNumberFormat="1" applyFont="1" applyBorder="1"/>
    <xf numFmtId="4" fontId="21" fillId="0" borderId="0" xfId="0" applyNumberFormat="1" applyFont="1" applyBorder="1"/>
    <xf numFmtId="166" fontId="18" fillId="0" borderId="0" xfId="0" applyNumberFormat="1" applyFont="1"/>
    <xf numFmtId="4" fontId="21" fillId="34" borderId="0" xfId="0" applyNumberFormat="1" applyFont="1" applyFill="1" applyBorder="1" applyAlignment="1">
      <alignment horizontal="right" indent="2"/>
    </xf>
    <xf numFmtId="4" fontId="21" fillId="0" borderId="0" xfId="0" applyNumberFormat="1" applyFont="1" applyBorder="1" applyAlignment="1">
      <alignment horizontal="right" indent="2"/>
    </xf>
    <xf numFmtId="4" fontId="21" fillId="0" borderId="29" xfId="0" applyNumberFormat="1" applyFont="1" applyBorder="1" applyAlignment="1">
      <alignment horizontal="right" indent="2"/>
    </xf>
    <xf numFmtId="4" fontId="21" fillId="34" borderId="0" xfId="0" applyNumberFormat="1" applyFont="1" applyFill="1" applyBorder="1" applyAlignment="1">
      <alignment horizontal="right" indent="1"/>
    </xf>
    <xf numFmtId="4" fontId="21" fillId="0" borderId="17" xfId="0" applyNumberFormat="1" applyFont="1" applyBorder="1" applyAlignment="1">
      <alignment horizontal="right" indent="1"/>
    </xf>
    <xf numFmtId="0" fontId="26" fillId="0" borderId="0" xfId="0" applyFont="1"/>
    <xf numFmtId="0" fontId="28" fillId="0" borderId="0" xfId="0" quotePrefix="1" applyFont="1"/>
    <xf numFmtId="4" fontId="21" fillId="34" borderId="23" xfId="0" applyNumberFormat="1" applyFont="1" applyFill="1" applyBorder="1" applyAlignment="1">
      <alignment horizontal="right" indent="1"/>
    </xf>
    <xf numFmtId="4" fontId="21" fillId="0" borderId="23" xfId="0" applyNumberFormat="1" applyFont="1" applyBorder="1" applyAlignment="1">
      <alignment horizontal="right" indent="1"/>
    </xf>
    <xf numFmtId="0" fontId="18" fillId="0" borderId="0" xfId="0" applyFont="1" applyAlignment="1">
      <alignment vertical="center"/>
    </xf>
    <xf numFmtId="164" fontId="18" fillId="0" borderId="25" xfId="0" applyNumberFormat="1" applyFont="1" applyFill="1" applyBorder="1" applyAlignment="1">
      <alignment vertical="center"/>
    </xf>
    <xf numFmtId="0" fontId="29" fillId="0" borderId="0" xfId="0" applyFont="1"/>
    <xf numFmtId="2" fontId="18" fillId="0" borderId="0" xfId="0" applyNumberFormat="1" applyFont="1"/>
    <xf numFmtId="2" fontId="19" fillId="0" borderId="0" xfId="0" applyNumberFormat="1" applyFont="1"/>
    <xf numFmtId="4" fontId="21" fillId="0" borderId="23" xfId="0" applyNumberFormat="1" applyFont="1" applyFill="1" applyBorder="1"/>
    <xf numFmtId="0" fontId="31" fillId="0" borderId="0" xfId="0" applyFont="1"/>
    <xf numFmtId="0" fontId="30" fillId="0" borderId="0" xfId="0" applyFont="1"/>
    <xf numFmtId="0" fontId="25" fillId="0" borderId="0" xfId="0" applyFont="1"/>
    <xf numFmtId="0" fontId="25" fillId="0" borderId="0" xfId="0" applyFont="1" applyFill="1"/>
    <xf numFmtId="0" fontId="32" fillId="0" borderId="0" xfId="0" applyFont="1"/>
    <xf numFmtId="4" fontId="21" fillId="34" borderId="0" xfId="0" applyNumberFormat="1" applyFont="1" applyFill="1" applyBorder="1"/>
    <xf numFmtId="4" fontId="21" fillId="0" borderId="0" xfId="0" applyNumberFormat="1" applyFont="1"/>
    <xf numFmtId="167" fontId="18" fillId="0" borderId="0" xfId="0" applyNumberFormat="1" applyFont="1"/>
    <xf numFmtId="43" fontId="18" fillId="0" borderId="0" xfId="42" applyNumberFormat="1" applyFont="1" applyAlignment="1">
      <alignment horizontal="right"/>
    </xf>
    <xf numFmtId="43" fontId="18" fillId="0" borderId="0" xfId="0" applyNumberFormat="1" applyFont="1"/>
    <xf numFmtId="43" fontId="18" fillId="0" borderId="0" xfId="42" applyNumberFormat="1" applyFont="1"/>
    <xf numFmtId="43" fontId="21" fillId="0" borderId="0" xfId="42" applyNumberFormat="1" applyFont="1"/>
    <xf numFmtId="4" fontId="18" fillId="0" borderId="0" xfId="0" applyNumberFormat="1" applyFont="1"/>
    <xf numFmtId="43" fontId="18" fillId="0" borderId="29" xfId="0" applyNumberFormat="1" applyFont="1" applyBorder="1"/>
    <xf numFmtId="0" fontId="18" fillId="0" borderId="0" xfId="0" applyFont="1" applyAlignment="1">
      <alignment horizontal="right"/>
    </xf>
    <xf numFmtId="0" fontId="18" fillId="0" borderId="20" xfId="0" applyFont="1" applyBorder="1" applyAlignment="1">
      <alignment horizontal="right"/>
    </xf>
    <xf numFmtId="0" fontId="18" fillId="0" borderId="20" xfId="0" applyFont="1" applyBorder="1" applyAlignment="1">
      <alignment horizontal="center"/>
    </xf>
    <xf numFmtId="0" fontId="16" fillId="0" borderId="0" xfId="0" applyFont="1"/>
    <xf numFmtId="0" fontId="16" fillId="0" borderId="0" xfId="0" applyFont="1" applyAlignment="1"/>
    <xf numFmtId="0" fontId="0" fillId="0" borderId="0" xfId="0" applyAlignment="1">
      <alignment wrapText="1"/>
    </xf>
    <xf numFmtId="0" fontId="0" fillId="0" borderId="0" xfId="0" applyAlignment="1"/>
    <xf numFmtId="0" fontId="16" fillId="0" borderId="0" xfId="0" applyFont="1" applyAlignment="1">
      <alignment wrapText="1"/>
    </xf>
    <xf numFmtId="0" fontId="36" fillId="0" borderId="0" xfId="0" applyFont="1" applyAlignment="1">
      <alignment horizontal="left" wrapText="1"/>
    </xf>
    <xf numFmtId="0" fontId="19" fillId="0" borderId="23" xfId="0" applyFont="1" applyFill="1" applyBorder="1" applyAlignment="1">
      <alignment wrapText="1"/>
    </xf>
    <xf numFmtId="0" fontId="19" fillId="0" borderId="24" xfId="0" applyFont="1" applyFill="1" applyBorder="1" applyAlignment="1">
      <alignment horizontal="center" wrapText="1"/>
    </xf>
    <xf numFmtId="0" fontId="19" fillId="0" borderId="17" xfId="0" applyFont="1" applyFill="1" applyBorder="1" applyAlignment="1">
      <alignment horizontal="center" wrapText="1"/>
    </xf>
    <xf numFmtId="0" fontId="19" fillId="0" borderId="18" xfId="0" applyFont="1" applyFill="1" applyBorder="1" applyAlignment="1">
      <alignment horizontal="center" wrapText="1"/>
    </xf>
    <xf numFmtId="0" fontId="24" fillId="0" borderId="0" xfId="0" applyFont="1" applyAlignment="1">
      <alignment wrapText="1"/>
    </xf>
    <xf numFmtId="0" fontId="21" fillId="0" borderId="0" xfId="0" quotePrefix="1" applyFont="1"/>
    <xf numFmtId="4" fontId="21" fillId="34" borderId="16" xfId="0" applyNumberFormat="1" applyFont="1" applyFill="1" applyBorder="1"/>
    <xf numFmtId="4" fontId="21" fillId="34" borderId="27" xfId="0" applyNumberFormat="1" applyFont="1" applyFill="1" applyBorder="1" applyAlignment="1">
      <alignment vertical="center"/>
    </xf>
    <xf numFmtId="164" fontId="21" fillId="34" borderId="25" xfId="0" applyNumberFormat="1" applyFont="1" applyFill="1" applyBorder="1" applyAlignment="1">
      <alignment horizontal="right" vertical="center"/>
    </xf>
    <xf numFmtId="4" fontId="21" fillId="34" borderId="25" xfId="0" applyNumberFormat="1" applyFont="1" applyFill="1" applyBorder="1" applyAlignment="1">
      <alignment horizontal="right" vertical="center"/>
    </xf>
    <xf numFmtId="4" fontId="21" fillId="34" borderId="26" xfId="0" applyNumberFormat="1" applyFont="1" applyFill="1" applyBorder="1" applyAlignment="1">
      <alignment horizontal="right" vertical="center"/>
    </xf>
    <xf numFmtId="4" fontId="21" fillId="0" borderId="28" xfId="0" applyNumberFormat="1" applyFont="1" applyBorder="1" applyAlignment="1">
      <alignment vertical="center"/>
    </xf>
    <xf numFmtId="164" fontId="21" fillId="0" borderId="0" xfId="0" applyNumberFormat="1" applyFont="1" applyBorder="1" applyAlignment="1">
      <alignment horizontal="right" vertical="center"/>
    </xf>
    <xf numFmtId="4" fontId="21" fillId="0" borderId="0" xfId="0" applyNumberFormat="1" applyFont="1" applyBorder="1" applyAlignment="1">
      <alignment horizontal="right" vertical="center"/>
    </xf>
    <xf numFmtId="4" fontId="21" fillId="0" borderId="16" xfId="0" applyNumberFormat="1" applyFont="1" applyBorder="1" applyAlignment="1">
      <alignment horizontal="right" vertical="center"/>
    </xf>
    <xf numFmtId="4" fontId="21" fillId="0" borderId="29" xfId="0" applyNumberFormat="1" applyFont="1" applyBorder="1" applyAlignment="1">
      <alignment horizontal="right" indent="1"/>
    </xf>
    <xf numFmtId="4" fontId="21" fillId="0" borderId="0" xfId="0" applyNumberFormat="1" applyFont="1" applyBorder="1" applyAlignment="1">
      <alignment horizontal="center"/>
    </xf>
    <xf numFmtId="0" fontId="19" fillId="0" borderId="16" xfId="0" applyFont="1" applyBorder="1" applyAlignment="1">
      <alignment vertical="center" textRotation="90"/>
    </xf>
    <xf numFmtId="4" fontId="21" fillId="34" borderId="23" xfId="0" applyNumberFormat="1" applyFont="1" applyFill="1" applyBorder="1" applyAlignment="1">
      <alignment vertical="center"/>
    </xf>
    <xf numFmtId="0" fontId="18" fillId="0" borderId="0" xfId="0" applyFont="1" applyAlignment="1">
      <alignment vertical="center" wrapText="1"/>
    </xf>
    <xf numFmtId="0" fontId="30" fillId="0" borderId="31" xfId="0" applyFont="1" applyBorder="1" applyAlignment="1">
      <alignment vertical="top" wrapText="1"/>
    </xf>
    <xf numFmtId="0" fontId="30" fillId="0" borderId="0" xfId="0" applyFont="1" applyBorder="1" applyAlignment="1">
      <alignment vertical="top" wrapText="1"/>
    </xf>
    <xf numFmtId="4" fontId="21" fillId="34" borderId="23" xfId="0" applyNumberFormat="1" applyFont="1" applyFill="1" applyBorder="1" applyAlignment="1">
      <alignment horizontal="center"/>
    </xf>
    <xf numFmtId="4" fontId="21" fillId="0" borderId="23" xfId="0" applyNumberFormat="1" applyFont="1" applyBorder="1" applyAlignment="1">
      <alignment horizontal="center"/>
    </xf>
    <xf numFmtId="4" fontId="21" fillId="0" borderId="44" xfId="0" applyNumberFormat="1" applyFont="1" applyBorder="1" applyAlignment="1">
      <alignment vertical="center"/>
    </xf>
    <xf numFmtId="4" fontId="21" fillId="34" borderId="16" xfId="0" applyNumberFormat="1" applyFont="1" applyFill="1" applyBorder="1" applyAlignment="1">
      <alignment horizontal="left" vertical="center"/>
    </xf>
    <xf numFmtId="164" fontId="21" fillId="34" borderId="23" xfId="0" quotePrefix="1" applyNumberFormat="1" applyFont="1" applyFill="1" applyBorder="1" applyAlignment="1">
      <alignment horizontal="left" vertical="center"/>
    </xf>
    <xf numFmtId="4" fontId="21" fillId="0" borderId="0" xfId="0" quotePrefix="1" applyNumberFormat="1" applyFont="1" applyFill="1" applyBorder="1" applyAlignment="1">
      <alignment horizontal="left" vertical="center" wrapText="1"/>
    </xf>
    <xf numFmtId="164" fontId="21" fillId="0" borderId="23" xfId="0" quotePrefix="1" applyNumberFormat="1" applyFont="1" applyBorder="1" applyAlignment="1">
      <alignment horizontal="left" vertical="center"/>
    </xf>
    <xf numFmtId="164" fontId="21" fillId="0" borderId="23" xfId="0" applyNumberFormat="1" applyFont="1" applyBorder="1" applyAlignment="1">
      <alignment horizontal="left" vertical="center"/>
    </xf>
    <xf numFmtId="4" fontId="21" fillId="34" borderId="23" xfId="0" applyNumberFormat="1" applyFont="1" applyFill="1" applyBorder="1" applyAlignment="1">
      <alignment horizontal="right" vertical="center" indent="1"/>
    </xf>
    <xf numFmtId="4" fontId="21" fillId="0" borderId="23" xfId="0" applyNumberFormat="1" applyFont="1" applyBorder="1" applyAlignment="1">
      <alignment horizontal="right" vertical="center" indent="1"/>
    </xf>
    <xf numFmtId="164" fontId="21" fillId="0" borderId="23" xfId="0" applyNumberFormat="1" applyFont="1" applyBorder="1" applyAlignment="1">
      <alignment horizontal="right" vertical="center" indent="1"/>
    </xf>
    <xf numFmtId="3" fontId="18" fillId="0" borderId="0" xfId="0" applyNumberFormat="1" applyFont="1" applyAlignment="1">
      <alignment horizontal="right" indent="1"/>
    </xf>
    <xf numFmtId="4" fontId="19" fillId="0" borderId="0" xfId="0" applyNumberFormat="1" applyFont="1" applyAlignment="1">
      <alignment horizontal="right" indent="1"/>
    </xf>
    <xf numFmtId="4" fontId="21" fillId="0" borderId="16" xfId="0" applyNumberFormat="1" applyFont="1" applyBorder="1"/>
    <xf numFmtId="4" fontId="21" fillId="34" borderId="45" xfId="0" applyNumberFormat="1" applyFont="1" applyFill="1" applyBorder="1"/>
    <xf numFmtId="0" fontId="18" fillId="0" borderId="0" xfId="0" quotePrefix="1" applyFont="1" applyAlignment="1">
      <alignment wrapText="1"/>
    </xf>
    <xf numFmtId="0" fontId="18" fillId="0" borderId="10" xfId="0" applyFont="1" applyBorder="1" applyAlignment="1">
      <alignment wrapText="1"/>
    </xf>
    <xf numFmtId="43" fontId="18" fillId="0" borderId="10" xfId="42" applyNumberFormat="1" applyFont="1" applyBorder="1"/>
    <xf numFmtId="0" fontId="18" fillId="0" borderId="10" xfId="0" applyFont="1" applyBorder="1"/>
    <xf numFmtId="0" fontId="21" fillId="0" borderId="0" xfId="0" applyFont="1" applyAlignment="1">
      <alignment wrapText="1"/>
    </xf>
    <xf numFmtId="9" fontId="21" fillId="34" borderId="23" xfId="43" applyFont="1" applyFill="1" applyBorder="1" applyAlignment="1">
      <alignment horizontal="right" indent="2"/>
    </xf>
    <xf numFmtId="9" fontId="21" fillId="0" borderId="23" xfId="43" applyFont="1" applyBorder="1" applyAlignment="1">
      <alignment horizontal="right" indent="2"/>
    </xf>
    <xf numFmtId="9" fontId="21" fillId="34" borderId="23" xfId="43" applyFont="1" applyFill="1" applyBorder="1" applyAlignment="1">
      <alignment horizontal="right" indent="4"/>
    </xf>
    <xf numFmtId="9" fontId="21" fillId="0" borderId="23" xfId="43" applyFont="1" applyBorder="1" applyAlignment="1">
      <alignment horizontal="right" indent="4"/>
    </xf>
    <xf numFmtId="4" fontId="21" fillId="34" borderId="23" xfId="0" applyNumberFormat="1" applyFont="1" applyFill="1" applyBorder="1" applyAlignment="1">
      <alignment horizontal="right" indent="2"/>
    </xf>
    <xf numFmtId="4" fontId="21" fillId="0" borderId="23" xfId="0" applyNumberFormat="1" applyFont="1" applyBorder="1" applyAlignment="1">
      <alignment horizontal="right" indent="2"/>
    </xf>
    <xf numFmtId="4" fontId="18" fillId="0" borderId="0" xfId="0" applyNumberFormat="1" applyFont="1" applyAlignment="1">
      <alignment horizontal="right" indent="2"/>
    </xf>
    <xf numFmtId="4" fontId="21" fillId="34" borderId="10" xfId="0" applyNumberFormat="1" applyFont="1" applyFill="1" applyBorder="1"/>
    <xf numFmtId="4" fontId="21" fillId="34" borderId="46" xfId="0" applyNumberFormat="1" applyFont="1" applyFill="1" applyBorder="1" applyAlignment="1">
      <alignment horizontal="right" indent="2"/>
    </xf>
    <xf numFmtId="4" fontId="21" fillId="34" borderId="23" xfId="0" quotePrefix="1" applyNumberFormat="1" applyFont="1" applyFill="1" applyBorder="1"/>
    <xf numFmtId="4" fontId="21" fillId="0" borderId="23" xfId="0" quotePrefix="1" applyNumberFormat="1" applyFont="1" applyBorder="1"/>
    <xf numFmtId="0" fontId="21" fillId="0" borderId="0" xfId="0" applyFont="1" applyBorder="1" applyAlignment="1">
      <alignment wrapText="1"/>
    </xf>
    <xf numFmtId="0" fontId="18" fillId="0" borderId="29" xfId="0" applyFont="1" applyBorder="1" applyAlignment="1">
      <alignment horizontal="center" wrapText="1"/>
    </xf>
    <xf numFmtId="4" fontId="40" fillId="34" borderId="16" xfId="0" applyNumberFormat="1" applyFont="1" applyFill="1" applyBorder="1"/>
    <xf numFmtId="4" fontId="40" fillId="0" borderId="16" xfId="0" applyNumberFormat="1" applyFont="1" applyBorder="1"/>
    <xf numFmtId="0" fontId="41" fillId="0" borderId="0" xfId="0" applyFont="1"/>
    <xf numFmtId="4" fontId="21" fillId="0" borderId="44" xfId="0" applyNumberFormat="1" applyFont="1" applyBorder="1" applyAlignment="1">
      <alignment horizontal="right" vertical="center" indent="1"/>
    </xf>
    <xf numFmtId="0" fontId="19" fillId="0" borderId="0" xfId="0" applyFont="1" applyAlignment="1">
      <alignment vertical="top"/>
    </xf>
    <xf numFmtId="4" fontId="23" fillId="34" borderId="23" xfId="0" applyNumberFormat="1" applyFont="1" applyFill="1" applyBorder="1" applyAlignment="1">
      <alignment horizontal="right" vertical="center" indent="1"/>
    </xf>
    <xf numFmtId="164" fontId="23" fillId="34" borderId="23" xfId="0" applyNumberFormat="1" applyFont="1" applyFill="1" applyBorder="1" applyAlignment="1">
      <alignment horizontal="left" vertical="center"/>
    </xf>
    <xf numFmtId="4" fontId="21" fillId="0" borderId="0" xfId="0" applyNumberFormat="1" applyFont="1" applyAlignment="1">
      <alignment horizontal="right" indent="2"/>
    </xf>
    <xf numFmtId="9" fontId="21" fillId="34" borderId="47" xfId="43" applyFont="1" applyFill="1" applyBorder="1" applyAlignment="1">
      <alignment horizontal="right" indent="2"/>
    </xf>
    <xf numFmtId="9" fontId="18" fillId="0" borderId="0" xfId="43" applyFont="1" applyAlignment="1">
      <alignment horizontal="right" indent="2"/>
    </xf>
    <xf numFmtId="164" fontId="21" fillId="34" borderId="0" xfId="0" applyNumberFormat="1" applyFont="1" applyFill="1" applyBorder="1"/>
    <xf numFmtId="164" fontId="21" fillId="0" borderId="0" xfId="0" applyNumberFormat="1" applyFont="1" applyBorder="1"/>
    <xf numFmtId="4" fontId="21" fillId="34" borderId="46" xfId="0" applyNumberFormat="1" applyFont="1" applyFill="1" applyBorder="1"/>
    <xf numFmtId="9" fontId="21" fillId="34" borderId="47" xfId="43" applyFont="1" applyFill="1" applyBorder="1" applyAlignment="1">
      <alignment horizontal="right" indent="4"/>
    </xf>
    <xf numFmtId="9" fontId="18" fillId="0" borderId="0" xfId="0" applyNumberFormat="1" applyFont="1" applyAlignment="1">
      <alignment horizontal="right" indent="4"/>
    </xf>
    <xf numFmtId="0" fontId="34" fillId="0" borderId="0" xfId="0" applyFont="1"/>
    <xf numFmtId="0" fontId="18" fillId="0" borderId="0" xfId="0" applyFont="1" applyAlignment="1"/>
    <xf numFmtId="0" fontId="18" fillId="0" borderId="27" xfId="0" applyFont="1" applyBorder="1"/>
    <xf numFmtId="0" fontId="19" fillId="0" borderId="49" xfId="0" applyFont="1" applyBorder="1" applyAlignment="1">
      <alignment horizontal="center" wrapText="1"/>
    </xf>
    <xf numFmtId="4" fontId="23" fillId="0" borderId="13" xfId="0" applyNumberFormat="1" applyFont="1" applyBorder="1" applyAlignment="1">
      <alignment horizontal="right" indent="2"/>
    </xf>
    <xf numFmtId="4" fontId="23" fillId="34" borderId="13" xfId="0" applyNumberFormat="1" applyFont="1" applyFill="1" applyBorder="1" applyAlignment="1">
      <alignment horizontal="right" indent="2"/>
    </xf>
    <xf numFmtId="4" fontId="23" fillId="0" borderId="14" xfId="0" applyNumberFormat="1" applyFont="1" applyBorder="1" applyAlignment="1">
      <alignment horizontal="right" indent="1"/>
    </xf>
    <xf numFmtId="4" fontId="23" fillId="0" borderId="13" xfId="0" applyNumberFormat="1" applyFont="1" applyBorder="1" applyAlignment="1">
      <alignment horizontal="right" indent="1"/>
    </xf>
    <xf numFmtId="4" fontId="23" fillId="0" borderId="14" xfId="0" applyNumberFormat="1" applyFont="1" applyBorder="1" applyAlignment="1">
      <alignment horizontal="right" indent="2"/>
    </xf>
    <xf numFmtId="4" fontId="23" fillId="34" borderId="13" xfId="0" applyNumberFormat="1" applyFont="1" applyFill="1" applyBorder="1" applyAlignment="1">
      <alignment horizontal="right" indent="3"/>
    </xf>
    <xf numFmtId="0" fontId="18" fillId="0" borderId="50" xfId="0" applyFont="1" applyBorder="1" applyAlignment="1">
      <alignment horizontal="center"/>
    </xf>
    <xf numFmtId="4" fontId="23" fillId="34" borderId="13" xfId="0" applyNumberFormat="1" applyFont="1" applyFill="1" applyBorder="1" applyAlignment="1">
      <alignment horizontal="right" indent="1"/>
    </xf>
    <xf numFmtId="4" fontId="23" fillId="0" borderId="13" xfId="0" applyNumberFormat="1" applyFont="1" applyBorder="1" applyAlignment="1">
      <alignment horizontal="right" indent="3"/>
    </xf>
    <xf numFmtId="0" fontId="22" fillId="0" borderId="50" xfId="0" quotePrefix="1" applyFont="1" applyBorder="1" applyAlignment="1">
      <alignment vertical="center" wrapText="1"/>
    </xf>
    <xf numFmtId="4" fontId="23" fillId="34" borderId="51" xfId="0" applyNumberFormat="1" applyFont="1" applyFill="1" applyBorder="1" applyAlignment="1">
      <alignment horizontal="right" indent="3"/>
    </xf>
    <xf numFmtId="4" fontId="21" fillId="34" borderId="26" xfId="0" applyNumberFormat="1" applyFont="1" applyFill="1" applyBorder="1"/>
    <xf numFmtId="0" fontId="20" fillId="0" borderId="48" xfId="0" applyFont="1" applyFill="1" applyBorder="1" applyAlignment="1">
      <alignment horizontal="left" vertical="center" wrapText="1" indent="1"/>
    </xf>
    <xf numFmtId="43" fontId="37" fillId="33" borderId="10" xfId="42" applyFont="1" applyFill="1" applyBorder="1"/>
    <xf numFmtId="0" fontId="19" fillId="0" borderId="40" xfId="0" applyFont="1" applyFill="1" applyBorder="1" applyAlignment="1">
      <alignment horizontal="center" vertical="center" wrapText="1"/>
    </xf>
    <xf numFmtId="4" fontId="18" fillId="0" borderId="54" xfId="0" applyNumberFormat="1" applyFont="1" applyFill="1" applyBorder="1"/>
    <xf numFmtId="0" fontId="19" fillId="0" borderId="39" xfId="0" applyFont="1" applyFill="1" applyBorder="1" applyAlignment="1">
      <alignment horizontal="center" vertical="center" wrapText="1"/>
    </xf>
    <xf numFmtId="4" fontId="18" fillId="0" borderId="43" xfId="0" applyNumberFormat="1" applyFont="1" applyFill="1" applyBorder="1" applyAlignment="1">
      <alignment horizontal="left" indent="1"/>
    </xf>
    <xf numFmtId="0" fontId="19" fillId="0" borderId="52" xfId="0" applyFont="1" applyFill="1" applyBorder="1" applyAlignment="1">
      <alignment vertical="center" wrapText="1"/>
    </xf>
    <xf numFmtId="43" fontId="37" fillId="33" borderId="11" xfId="42" applyFont="1" applyFill="1" applyBorder="1"/>
    <xf numFmtId="0" fontId="19" fillId="0" borderId="41" xfId="0" applyFont="1" applyFill="1" applyBorder="1" applyAlignment="1">
      <alignment horizontal="left" vertical="center" wrapText="1" indent="1"/>
    </xf>
    <xf numFmtId="4" fontId="18" fillId="0" borderId="42" xfId="0" applyNumberFormat="1" applyFont="1" applyFill="1" applyBorder="1" applyAlignment="1">
      <alignment horizontal="left" indent="1"/>
    </xf>
    <xf numFmtId="4" fontId="23" fillId="0" borderId="14" xfId="0" applyNumberFormat="1" applyFont="1" applyBorder="1" applyAlignment="1">
      <alignment horizontal="right" indent="3"/>
    </xf>
    <xf numFmtId="43" fontId="37" fillId="33" borderId="12" xfId="42" applyFont="1" applyFill="1" applyBorder="1"/>
    <xf numFmtId="0" fontId="20" fillId="0" borderId="53" xfId="0" applyFont="1" applyFill="1" applyBorder="1" applyAlignment="1">
      <alignment horizontal="center" vertical="center" wrapText="1"/>
    </xf>
    <xf numFmtId="4" fontId="21" fillId="0" borderId="18" xfId="0" applyNumberFormat="1" applyFont="1" applyBorder="1"/>
    <xf numFmtId="0" fontId="0" fillId="0" borderId="0" xfId="0"/>
    <xf numFmtId="0" fontId="24" fillId="0" borderId="0" xfId="0" applyFont="1"/>
    <xf numFmtId="0" fontId="18" fillId="0" borderId="29" xfId="0" applyFont="1" applyBorder="1" applyAlignment="1">
      <alignment wrapText="1"/>
    </xf>
    <xf numFmtId="0" fontId="18" fillId="0" borderId="0" xfId="0" applyFont="1" applyAlignment="1">
      <alignment horizontal="left" wrapText="1"/>
    </xf>
    <xf numFmtId="4" fontId="23" fillId="34" borderId="23" xfId="0" applyNumberFormat="1" applyFont="1" applyFill="1" applyBorder="1"/>
    <xf numFmtId="4" fontId="23" fillId="0" borderId="23" xfId="0" applyNumberFormat="1" applyFont="1" applyBorder="1"/>
    <xf numFmtId="0" fontId="20" fillId="0" borderId="30" xfId="0" applyFont="1" applyFill="1" applyBorder="1" applyAlignment="1">
      <alignment horizontal="center" vertical="center" wrapText="1"/>
    </xf>
    <xf numFmtId="0" fontId="19" fillId="0" borderId="33" xfId="0" applyFont="1" applyFill="1" applyBorder="1" applyAlignment="1">
      <alignment vertical="center" wrapText="1"/>
    </xf>
    <xf numFmtId="4" fontId="18" fillId="0" borderId="34" xfId="0" applyNumberFormat="1" applyFont="1" applyFill="1" applyBorder="1"/>
    <xf numFmtId="0" fontId="32" fillId="0" borderId="0" xfId="0" applyFont="1"/>
    <xf numFmtId="0" fontId="16" fillId="0" borderId="0" xfId="0" applyFont="1"/>
    <xf numFmtId="0" fontId="0" fillId="0" borderId="0" xfId="0" applyAlignment="1">
      <alignment wrapText="1"/>
    </xf>
    <xf numFmtId="0" fontId="0" fillId="0" borderId="0" xfId="0" applyAlignment="1"/>
    <xf numFmtId="0" fontId="36" fillId="0" borderId="0" xfId="0" applyFont="1" applyAlignment="1">
      <alignment horizontal="left" wrapText="1"/>
    </xf>
    <xf numFmtId="43" fontId="37" fillId="33" borderId="0" xfId="42" applyFont="1" applyFill="1" applyBorder="1"/>
    <xf numFmtId="0" fontId="0" fillId="0" borderId="0" xfId="0" applyAlignment="1">
      <alignment vertical="top" wrapText="1"/>
    </xf>
    <xf numFmtId="0" fontId="21" fillId="0" borderId="0" xfId="0" applyFont="1" applyAlignment="1">
      <alignment horizontal="left" wrapText="1"/>
    </xf>
    <xf numFmtId="0" fontId="18" fillId="0" borderId="29" xfId="0" applyFont="1" applyBorder="1" applyAlignment="1">
      <alignment horizontal="center"/>
    </xf>
    <xf numFmtId="4" fontId="39" fillId="34" borderId="0" xfId="0" applyNumberFormat="1" applyFont="1" applyFill="1" applyBorder="1"/>
    <xf numFmtId="4" fontId="39" fillId="0" borderId="0" xfId="0" applyNumberFormat="1" applyFont="1" applyBorder="1"/>
    <xf numFmtId="0" fontId="33" fillId="0" borderId="0" xfId="0" applyFont="1" applyAlignment="1">
      <alignment vertical="center"/>
    </xf>
    <xf numFmtId="0" fontId="34" fillId="0" borderId="0" xfId="0" applyFont="1" applyAlignment="1">
      <alignment vertical="center"/>
    </xf>
    <xf numFmtId="0" fontId="18" fillId="0" borderId="0" xfId="0" applyFont="1" applyAlignment="1">
      <alignment horizontal="left" wrapText="1"/>
    </xf>
    <xf numFmtId="0" fontId="42" fillId="0" borderId="0" xfId="0" applyFont="1" applyBorder="1" applyAlignment="1">
      <alignment vertical="top" wrapText="1"/>
    </xf>
    <xf numFmtId="0" fontId="21" fillId="0" borderId="29" xfId="0" applyFont="1" applyBorder="1" applyAlignment="1">
      <alignment wrapText="1"/>
    </xf>
    <xf numFmtId="0" fontId="0" fillId="0" borderId="0" xfId="0" applyAlignment="1">
      <alignment horizontal="center" vertical="center"/>
    </xf>
    <xf numFmtId="0" fontId="36" fillId="0" borderId="0" xfId="0" applyFont="1" applyAlignment="1">
      <alignment horizontal="center" vertical="center"/>
    </xf>
    <xf numFmtId="0" fontId="16" fillId="0" borderId="0" xfId="0" applyFont="1" applyAlignment="1">
      <alignment horizontal="justify" vertical="center"/>
    </xf>
    <xf numFmtId="0" fontId="0" fillId="0" borderId="0" xfId="0" applyAlignment="1">
      <alignment horizontal="justify" vertical="center"/>
    </xf>
    <xf numFmtId="4" fontId="21" fillId="0" borderId="0" xfId="0" applyNumberFormat="1" applyFont="1" applyFill="1" applyBorder="1" applyAlignment="1">
      <alignment horizontal="right" indent="2"/>
    </xf>
    <xf numFmtId="0" fontId="18" fillId="0" borderId="55" xfId="0" applyFont="1" applyBorder="1" applyAlignment="1">
      <alignment horizontal="center" wrapText="1"/>
    </xf>
    <xf numFmtId="0" fontId="18" fillId="0" borderId="56" xfId="0" applyFont="1" applyBorder="1" applyAlignment="1">
      <alignment horizontal="center"/>
    </xf>
    <xf numFmtId="0" fontId="22" fillId="0" borderId="56" xfId="0" quotePrefix="1" applyFont="1" applyBorder="1" applyAlignment="1">
      <alignment vertical="center" wrapText="1"/>
    </xf>
    <xf numFmtId="4" fontId="21" fillId="34" borderId="57" xfId="0" applyNumberFormat="1" applyFont="1" applyFill="1" applyBorder="1" applyAlignment="1">
      <alignment horizontal="right" indent="1"/>
    </xf>
    <xf numFmtId="4" fontId="21" fillId="0" borderId="57" xfId="0" applyNumberFormat="1" applyFont="1" applyBorder="1" applyAlignment="1">
      <alignment horizontal="right" indent="1"/>
    </xf>
    <xf numFmtId="4" fontId="21" fillId="0" borderId="58" xfId="0" applyNumberFormat="1" applyFont="1" applyBorder="1" applyAlignment="1">
      <alignment horizontal="right" indent="1"/>
    </xf>
    <xf numFmtId="0" fontId="18" fillId="0" borderId="0" xfId="0" applyFont="1" applyFill="1" applyBorder="1" applyAlignment="1">
      <alignment horizontal="center" wrapText="1"/>
    </xf>
    <xf numFmtId="0" fontId="18" fillId="0" borderId="0" xfId="0" applyFont="1" applyFill="1" applyBorder="1" applyAlignment="1">
      <alignment horizontal="center"/>
    </xf>
    <xf numFmtId="0" fontId="18" fillId="0" borderId="0" xfId="0" applyFont="1" applyFill="1" applyBorder="1"/>
    <xf numFmtId="4" fontId="21" fillId="0" borderId="57" xfId="0" applyNumberFormat="1" applyFont="1" applyFill="1" applyBorder="1" applyAlignment="1">
      <alignment horizontal="right" indent="1"/>
    </xf>
    <xf numFmtId="0" fontId="22" fillId="0" borderId="59" xfId="0" quotePrefix="1" applyFont="1" applyBorder="1" applyAlignment="1">
      <alignment vertical="center" wrapText="1"/>
    </xf>
    <xf numFmtId="4" fontId="21" fillId="34" borderId="60" xfId="0" applyNumberFormat="1" applyFont="1" applyFill="1" applyBorder="1" applyAlignment="1">
      <alignment horizontal="right" indent="1"/>
    </xf>
    <xf numFmtId="4" fontId="21" fillId="34" borderId="37" xfId="0" applyNumberFormat="1" applyFont="1" applyFill="1" applyBorder="1"/>
    <xf numFmtId="4" fontId="21" fillId="34" borderId="61" xfId="0" applyNumberFormat="1" applyFont="1" applyFill="1" applyBorder="1" applyAlignment="1">
      <alignment horizontal="right" indent="1"/>
    </xf>
    <xf numFmtId="4" fontId="21" fillId="0" borderId="36" xfId="0" applyNumberFormat="1" applyFont="1" applyBorder="1"/>
    <xf numFmtId="4" fontId="21" fillId="0" borderId="62" xfId="0" applyNumberFormat="1" applyFont="1" applyBorder="1" applyAlignment="1">
      <alignment horizontal="right" indent="1"/>
    </xf>
    <xf numFmtId="4" fontId="21" fillId="34" borderId="36" xfId="0" applyNumberFormat="1" applyFont="1" applyFill="1" applyBorder="1"/>
    <xf numFmtId="4" fontId="21" fillId="34" borderId="62" xfId="0" applyNumberFormat="1" applyFont="1" applyFill="1" applyBorder="1" applyAlignment="1">
      <alignment horizontal="right" indent="1"/>
    </xf>
    <xf numFmtId="4" fontId="21" fillId="0" borderId="38" xfId="0" applyNumberFormat="1" applyFont="1" applyBorder="1"/>
    <xf numFmtId="4" fontId="21" fillId="0" borderId="63" xfId="0" applyNumberFormat="1" applyFont="1" applyBorder="1" applyAlignment="1">
      <alignment horizontal="right" indent="1"/>
    </xf>
    <xf numFmtId="0" fontId="0" fillId="0" borderId="0" xfId="0"/>
    <xf numFmtId="0" fontId="16" fillId="0" borderId="0" xfId="0" applyFont="1" applyAlignment="1">
      <alignment horizontal="justify" vertical="center"/>
    </xf>
    <xf numFmtId="0" fontId="45" fillId="0" borderId="0" xfId="0" applyFont="1" applyAlignment="1">
      <alignment horizontal="center" vertical="center"/>
    </xf>
    <xf numFmtId="0" fontId="0" fillId="0" borderId="0" xfId="0"/>
    <xf numFmtId="0" fontId="44" fillId="0" borderId="0" xfId="0" applyFont="1" applyAlignment="1">
      <alignment horizontal="center" vertical="center"/>
    </xf>
    <xf numFmtId="0" fontId="45" fillId="0" borderId="0" xfId="0" applyFont="1" applyAlignment="1">
      <alignment horizontal="center" vertical="center"/>
    </xf>
    <xf numFmtId="0" fontId="44" fillId="0" borderId="0" xfId="0" applyFont="1" applyAlignment="1">
      <alignment horizontal="center"/>
    </xf>
    <xf numFmtId="0" fontId="45" fillId="0" borderId="0" xfId="0" applyFont="1"/>
    <xf numFmtId="0" fontId="46" fillId="0" borderId="0" xfId="0" applyFont="1" applyAlignment="1">
      <alignment horizontal="center" vertical="center"/>
    </xf>
    <xf numFmtId="4" fontId="48" fillId="0" borderId="0" xfId="0" applyNumberFormat="1" applyFont="1" applyFill="1" applyBorder="1" applyAlignment="1">
      <alignment wrapText="1"/>
    </xf>
    <xf numFmtId="4" fontId="48" fillId="0" borderId="0" xfId="0" applyNumberFormat="1" applyFont="1" applyFill="1" applyBorder="1" applyAlignment="1">
      <alignment horizontal="right" wrapText="1"/>
    </xf>
    <xf numFmtId="4" fontId="48" fillId="35" borderId="0" xfId="0" applyNumberFormat="1" applyFont="1" applyFill="1" applyBorder="1" applyAlignment="1">
      <alignment wrapText="1"/>
    </xf>
    <xf numFmtId="4" fontId="49" fillId="36" borderId="0" xfId="0" applyNumberFormat="1" applyFont="1" applyFill="1" applyBorder="1" applyAlignment="1">
      <alignment wrapText="1"/>
    </xf>
    <xf numFmtId="4" fontId="49" fillId="0" borderId="42" xfId="0" applyNumberFormat="1" applyFont="1" applyFill="1" applyBorder="1" applyAlignment="1">
      <alignment wrapText="1"/>
    </xf>
    <xf numFmtId="4" fontId="49" fillId="0" borderId="0" xfId="0" applyNumberFormat="1" applyFont="1" applyFill="1" applyBorder="1" applyAlignment="1">
      <alignment horizontal="right" wrapText="1"/>
    </xf>
    <xf numFmtId="4" fontId="49" fillId="0" borderId="64" xfId="0" applyNumberFormat="1" applyFont="1" applyFill="1" applyBorder="1" applyAlignment="1">
      <alignment horizontal="center" wrapText="1"/>
    </xf>
    <xf numFmtId="4" fontId="50" fillId="0" borderId="0" xfId="0" applyNumberFormat="1" applyFont="1" applyFill="1" applyBorder="1" applyAlignment="1">
      <alignment wrapText="1"/>
    </xf>
    <xf numFmtId="4" fontId="48" fillId="0" borderId="65" xfId="0" applyNumberFormat="1" applyFont="1" applyFill="1" applyBorder="1" applyAlignment="1">
      <alignment wrapText="1"/>
    </xf>
    <xf numFmtId="4" fontId="48" fillId="0" borderId="31" xfId="0" applyNumberFormat="1" applyFont="1" applyFill="1" applyBorder="1" applyAlignment="1">
      <alignment wrapText="1"/>
    </xf>
    <xf numFmtId="4" fontId="48" fillId="0" borderId="42" xfId="0" applyNumberFormat="1" applyFont="1" applyFill="1" applyBorder="1" applyAlignment="1">
      <alignment wrapText="1"/>
    </xf>
    <xf numFmtId="4" fontId="48" fillId="0" borderId="67" xfId="0" applyNumberFormat="1" applyFont="1" applyFill="1" applyBorder="1" applyAlignment="1">
      <alignment wrapText="1"/>
    </xf>
    <xf numFmtId="4" fontId="48" fillId="0" borderId="29" xfId="0" applyNumberFormat="1" applyFont="1" applyFill="1" applyBorder="1" applyAlignment="1">
      <alignment wrapText="1"/>
    </xf>
    <xf numFmtId="4" fontId="48" fillId="35" borderId="0" xfId="0" applyNumberFormat="1" applyFont="1" applyFill="1" applyBorder="1" applyAlignment="1">
      <alignment vertical="center" wrapText="1"/>
    </xf>
    <xf numFmtId="4" fontId="48" fillId="0" borderId="0" xfId="0" applyNumberFormat="1" applyFont="1" applyFill="1" applyBorder="1" applyAlignment="1">
      <alignment vertical="center" wrapText="1"/>
    </xf>
    <xf numFmtId="4" fontId="49" fillId="0" borderId="70" xfId="0" applyNumberFormat="1" applyFont="1" applyFill="1" applyBorder="1" applyAlignment="1">
      <alignment vertical="center" wrapText="1"/>
    </xf>
    <xf numFmtId="4" fontId="49" fillId="36" borderId="0" xfId="0" applyNumberFormat="1" applyFont="1" applyFill="1" applyBorder="1" applyAlignment="1">
      <alignment vertical="center" wrapText="1"/>
    </xf>
    <xf numFmtId="4" fontId="48" fillId="0" borderId="0" xfId="0" applyNumberFormat="1" applyFont="1" applyFill="1" applyBorder="1" applyAlignment="1">
      <alignment horizontal="right" vertical="center" wrapText="1"/>
    </xf>
    <xf numFmtId="4" fontId="48" fillId="0" borderId="0" xfId="0" applyNumberFormat="1" applyFont="1" applyFill="1" applyBorder="1" applyAlignment="1">
      <alignment horizontal="center" vertical="center" wrapText="1"/>
    </xf>
    <xf numFmtId="4" fontId="48" fillId="37" borderId="73" xfId="0" applyNumberFormat="1" applyFont="1" applyFill="1" applyBorder="1" applyAlignment="1">
      <alignment vertical="center" wrapText="1"/>
    </xf>
    <xf numFmtId="4" fontId="48" fillId="37" borderId="72" xfId="0" applyNumberFormat="1" applyFont="1" applyFill="1" applyBorder="1" applyAlignment="1">
      <alignment vertical="center" wrapText="1"/>
    </xf>
    <xf numFmtId="4" fontId="50" fillId="0" borderId="0" xfId="0" applyNumberFormat="1" applyFont="1" applyFill="1" applyBorder="1" applyAlignment="1">
      <alignment horizontal="right" vertical="center" wrapText="1"/>
    </xf>
    <xf numFmtId="4" fontId="50" fillId="0" borderId="0" xfId="0" applyNumberFormat="1" applyFont="1" applyFill="1" applyBorder="1" applyAlignment="1">
      <alignment vertical="center" wrapText="1"/>
    </xf>
    <xf numFmtId="4" fontId="48" fillId="37" borderId="13" xfId="0" applyNumberFormat="1" applyFont="1" applyFill="1" applyBorder="1" applyAlignment="1">
      <alignment wrapText="1"/>
    </xf>
    <xf numFmtId="4" fontId="48" fillId="37" borderId="11" xfId="0" applyNumberFormat="1" applyFont="1" applyFill="1" applyBorder="1" applyAlignment="1">
      <alignment wrapText="1"/>
    </xf>
    <xf numFmtId="2" fontId="48" fillId="0" borderId="0" xfId="0" applyNumberFormat="1" applyFont="1" applyFill="1" applyBorder="1" applyAlignment="1">
      <alignment wrapText="1"/>
    </xf>
    <xf numFmtId="4" fontId="51" fillId="0" borderId="0" xfId="0" applyNumberFormat="1" applyFont="1" applyFill="1" applyBorder="1" applyAlignment="1">
      <alignment wrapText="1"/>
    </xf>
    <xf numFmtId="2" fontId="50" fillId="0" borderId="0" xfId="0" applyNumberFormat="1" applyFont="1" applyFill="1" applyBorder="1" applyAlignment="1">
      <alignment wrapText="1"/>
    </xf>
    <xf numFmtId="4" fontId="52" fillId="36" borderId="0" xfId="0" applyNumberFormat="1" applyFont="1" applyFill="1" applyBorder="1" applyAlignment="1">
      <alignment wrapText="1"/>
    </xf>
    <xf numFmtId="4" fontId="53" fillId="0" borderId="0" xfId="0" applyNumberFormat="1" applyFont="1" applyFill="1" applyBorder="1" applyAlignment="1">
      <alignment wrapText="1"/>
    </xf>
    <xf numFmtId="2" fontId="53" fillId="0" borderId="0" xfId="0" applyNumberFormat="1" applyFont="1" applyFill="1" applyBorder="1" applyAlignment="1">
      <alignment wrapText="1"/>
    </xf>
    <xf numFmtId="4" fontId="54" fillId="0" borderId="0" xfId="0" applyNumberFormat="1" applyFont="1" applyFill="1" applyBorder="1" applyAlignment="1">
      <alignment wrapText="1"/>
    </xf>
    <xf numFmtId="2" fontId="54" fillId="0" borderId="0" xfId="0" applyNumberFormat="1" applyFont="1" applyFill="1" applyBorder="1" applyAlignment="1">
      <alignment wrapText="1"/>
    </xf>
    <xf numFmtId="4" fontId="55" fillId="0" borderId="0" xfId="0" applyNumberFormat="1" applyFont="1" applyFill="1" applyBorder="1" applyAlignment="1">
      <alignment wrapText="1"/>
    </xf>
    <xf numFmtId="0" fontId="58" fillId="0" borderId="0" xfId="0" applyFont="1" applyFill="1" applyBorder="1"/>
    <xf numFmtId="0" fontId="48" fillId="0" borderId="0" xfId="0" applyFont="1" applyFill="1" applyBorder="1"/>
    <xf numFmtId="0" fontId="49" fillId="0" borderId="0" xfId="0" applyFont="1" applyFill="1" applyBorder="1"/>
    <xf numFmtId="0" fontId="59" fillId="0" borderId="0" xfId="0" applyFont="1" applyFill="1" applyBorder="1"/>
    <xf numFmtId="0" fontId="51" fillId="0" borderId="0" xfId="0" applyFont="1" applyFill="1" applyBorder="1"/>
    <xf numFmtId="4" fontId="48" fillId="0" borderId="0" xfId="0" applyNumberFormat="1" applyFont="1" applyFill="1" applyBorder="1" applyAlignment="1">
      <alignment wrapText="1"/>
    </xf>
    <xf numFmtId="4" fontId="48" fillId="0" borderId="0" xfId="0" applyNumberFormat="1" applyFont="1" applyFill="1" applyBorder="1" applyAlignment="1">
      <alignment vertical="center" wrapText="1"/>
    </xf>
    <xf numFmtId="0" fontId="19" fillId="0" borderId="0" xfId="0" applyFont="1" applyBorder="1" applyAlignment="1">
      <alignment horizontal="center" vertical="center" textRotation="90"/>
    </xf>
    <xf numFmtId="4" fontId="21" fillId="34" borderId="0" xfId="0" applyNumberFormat="1" applyFont="1" applyFill="1" applyBorder="1" applyAlignment="1">
      <alignment vertical="center"/>
    </xf>
    <xf numFmtId="164" fontId="21" fillId="34" borderId="0" xfId="0" applyNumberFormat="1" applyFont="1" applyFill="1" applyBorder="1" applyAlignment="1">
      <alignment horizontal="right" vertical="center"/>
    </xf>
    <xf numFmtId="4" fontId="21" fillId="34" borderId="0" xfId="0" applyNumberFormat="1" applyFont="1" applyFill="1" applyBorder="1" applyAlignment="1">
      <alignment horizontal="right" vertical="center"/>
    </xf>
    <xf numFmtId="0" fontId="19" fillId="0" borderId="0" xfId="0" applyFont="1" applyFill="1" applyBorder="1" applyAlignment="1">
      <alignment horizontal="center" vertical="center" textRotation="90"/>
    </xf>
    <xf numFmtId="4" fontId="21" fillId="0" borderId="0" xfId="0" applyNumberFormat="1" applyFont="1" applyFill="1" applyBorder="1" applyAlignment="1">
      <alignment vertical="center"/>
    </xf>
    <xf numFmtId="164" fontId="21" fillId="0" borderId="0" xfId="0" applyNumberFormat="1" applyFont="1" applyFill="1" applyBorder="1" applyAlignment="1">
      <alignment horizontal="right" vertical="center"/>
    </xf>
    <xf numFmtId="4" fontId="21" fillId="0" borderId="0" xfId="0" applyNumberFormat="1" applyFont="1" applyFill="1" applyBorder="1" applyAlignment="1">
      <alignment horizontal="right" vertical="center"/>
    </xf>
    <xf numFmtId="4" fontId="21" fillId="0" borderId="36" xfId="0" applyNumberFormat="1" applyFont="1" applyFill="1" applyBorder="1" applyAlignment="1">
      <alignment vertical="center"/>
    </xf>
    <xf numFmtId="164" fontId="21" fillId="34" borderId="36" xfId="0" applyNumberFormat="1" applyFont="1" applyFill="1" applyBorder="1" applyAlignment="1">
      <alignment horizontal="right" vertical="center"/>
    </xf>
    <xf numFmtId="164" fontId="21" fillId="0" borderId="36" xfId="0" applyNumberFormat="1" applyFont="1" applyFill="1" applyBorder="1" applyAlignment="1">
      <alignment horizontal="right" vertical="center"/>
    </xf>
    <xf numFmtId="4" fontId="21" fillId="34" borderId="34" xfId="0" applyNumberFormat="1" applyFont="1" applyFill="1" applyBorder="1" applyAlignment="1">
      <alignment horizontal="right" vertical="center"/>
    </xf>
    <xf numFmtId="4" fontId="21" fillId="0" borderId="34" xfId="0" applyNumberFormat="1" applyFont="1" applyFill="1" applyBorder="1" applyAlignment="1">
      <alignment horizontal="right" vertical="center"/>
    </xf>
    <xf numFmtId="4" fontId="21" fillId="0" borderId="38" xfId="0" applyNumberFormat="1" applyFont="1" applyFill="1" applyBorder="1" applyAlignment="1">
      <alignment vertical="center"/>
    </xf>
    <xf numFmtId="164" fontId="21" fillId="0" borderId="38" xfId="0" applyNumberFormat="1" applyFont="1" applyFill="1" applyBorder="1" applyAlignment="1">
      <alignment horizontal="right" vertical="center"/>
    </xf>
    <xf numFmtId="164" fontId="21" fillId="0" borderId="29" xfId="0" applyNumberFormat="1" applyFont="1" applyFill="1" applyBorder="1" applyAlignment="1">
      <alignment horizontal="right" vertical="center"/>
    </xf>
    <xf numFmtId="4" fontId="21" fillId="0" borderId="29" xfId="0" applyNumberFormat="1" applyFont="1" applyFill="1" applyBorder="1" applyAlignment="1">
      <alignment horizontal="right" vertical="center"/>
    </xf>
    <xf numFmtId="4" fontId="21" fillId="0" borderId="35" xfId="0" applyNumberFormat="1" applyFont="1" applyFill="1" applyBorder="1" applyAlignment="1">
      <alignment horizontal="right" vertical="center"/>
    </xf>
    <xf numFmtId="4" fontId="21" fillId="39" borderId="36" xfId="0" applyNumberFormat="1" applyFont="1" applyFill="1" applyBorder="1" applyAlignment="1">
      <alignment vertical="center"/>
    </xf>
    <xf numFmtId="164" fontId="21" fillId="39" borderId="36" xfId="0" applyNumberFormat="1" applyFont="1" applyFill="1" applyBorder="1" applyAlignment="1">
      <alignment horizontal="right" vertical="center"/>
    </xf>
    <xf numFmtId="164" fontId="21" fillId="39" borderId="0" xfId="0" applyNumberFormat="1" applyFont="1" applyFill="1" applyBorder="1" applyAlignment="1">
      <alignment horizontal="right" vertical="center"/>
    </xf>
    <xf numFmtId="4" fontId="21" fillId="39" borderId="0" xfId="0" applyNumberFormat="1" applyFont="1" applyFill="1" applyBorder="1" applyAlignment="1">
      <alignment horizontal="right" vertical="center"/>
    </xf>
    <xf numFmtId="4" fontId="60" fillId="0" borderId="42" xfId="0" applyNumberFormat="1" applyFont="1" applyFill="1" applyBorder="1" applyAlignment="1">
      <alignment vertical="center" wrapText="1"/>
    </xf>
    <xf numFmtId="4" fontId="49" fillId="0" borderId="29" xfId="0" applyNumberFormat="1" applyFont="1" applyFill="1" applyBorder="1" applyAlignment="1">
      <alignment horizontal="right" wrapText="1"/>
    </xf>
    <xf numFmtId="164" fontId="48" fillId="0" borderId="31" xfId="0" applyNumberFormat="1" applyFont="1" applyFill="1" applyBorder="1" applyAlignment="1">
      <alignment wrapText="1"/>
    </xf>
    <xf numFmtId="164" fontId="48" fillId="0" borderId="0" xfId="0" applyNumberFormat="1" applyFont="1" applyFill="1" applyBorder="1" applyAlignment="1">
      <alignment wrapText="1"/>
    </xf>
    <xf numFmtId="164" fontId="48" fillId="0" borderId="31" xfId="0" applyNumberFormat="1" applyFont="1" applyFill="1" applyBorder="1" applyAlignment="1">
      <alignment horizontal="right" wrapText="1"/>
    </xf>
    <xf numFmtId="164" fontId="48" fillId="0" borderId="0" xfId="0" applyNumberFormat="1" applyFont="1" applyFill="1" applyBorder="1" applyAlignment="1">
      <alignment horizontal="right" wrapText="1"/>
    </xf>
    <xf numFmtId="164" fontId="48" fillId="0" borderId="0" xfId="0" applyNumberFormat="1" applyFont="1" applyFill="1" applyBorder="1" applyAlignment="1">
      <alignment horizontal="right" vertical="center" wrapText="1"/>
    </xf>
    <xf numFmtId="164" fontId="49" fillId="0" borderId="71" xfId="0" applyNumberFormat="1" applyFont="1" applyFill="1" applyBorder="1" applyAlignment="1">
      <alignment horizontal="right" vertical="center" wrapText="1"/>
    </xf>
    <xf numFmtId="164" fontId="48" fillId="0" borderId="32" xfId="0" applyNumberFormat="1" applyFont="1" applyFill="1" applyBorder="1" applyAlignment="1">
      <alignment wrapText="1"/>
    </xf>
    <xf numFmtId="164" fontId="48" fillId="0" borderId="34" xfId="0" applyNumberFormat="1" applyFont="1" applyFill="1" applyBorder="1" applyAlignment="1">
      <alignment wrapText="1"/>
    </xf>
    <xf numFmtId="164" fontId="49" fillId="0" borderId="73" xfId="0" applyNumberFormat="1" applyFont="1" applyFill="1" applyBorder="1" applyAlignment="1">
      <alignment horizontal="right" vertical="center" wrapText="1"/>
    </xf>
    <xf numFmtId="4" fontId="49" fillId="0" borderId="74" xfId="0" applyNumberFormat="1" applyFont="1" applyFill="1" applyBorder="1" applyAlignment="1">
      <alignment vertical="center" wrapText="1"/>
    </xf>
    <xf numFmtId="4" fontId="49" fillId="0" borderId="68" xfId="0" applyNumberFormat="1" applyFont="1" applyFill="1" applyBorder="1" applyAlignment="1">
      <alignment horizontal="right" wrapText="1"/>
    </xf>
    <xf numFmtId="164" fontId="48" fillId="0" borderId="35" xfId="0" applyNumberFormat="1" applyFont="1" applyFill="1" applyBorder="1" applyAlignment="1">
      <alignment wrapText="1"/>
    </xf>
    <xf numFmtId="164" fontId="49" fillId="0" borderId="75" xfId="0" applyNumberFormat="1" applyFont="1" applyFill="1" applyBorder="1" applyAlignment="1">
      <alignment horizontal="right" vertical="center" wrapText="1"/>
    </xf>
    <xf numFmtId="4" fontId="61" fillId="0" borderId="0" xfId="0" applyNumberFormat="1" applyFont="1" applyFill="1" applyBorder="1" applyAlignment="1">
      <alignment vertical="center" wrapText="1"/>
    </xf>
    <xf numFmtId="4" fontId="48" fillId="38" borderId="0" xfId="0" applyNumberFormat="1" applyFont="1" applyFill="1" applyBorder="1" applyAlignment="1">
      <alignment wrapText="1"/>
    </xf>
    <xf numFmtId="4" fontId="49" fillId="0" borderId="0" xfId="0" applyNumberFormat="1" applyFont="1" applyFill="1" applyBorder="1" applyAlignment="1">
      <alignment wrapText="1"/>
    </xf>
    <xf numFmtId="164" fontId="48" fillId="0" borderId="66" xfId="0" applyNumberFormat="1" applyFont="1" applyFill="1" applyBorder="1" applyAlignment="1">
      <alignment horizontal="right" wrapText="1"/>
    </xf>
    <xf numFmtId="164" fontId="48" fillId="0" borderId="13" xfId="0" applyNumberFormat="1" applyFont="1" applyFill="1" applyBorder="1" applyAlignment="1">
      <alignment horizontal="right" wrapText="1"/>
    </xf>
    <xf numFmtId="164" fontId="48" fillId="0" borderId="69" xfId="0" applyNumberFormat="1" applyFont="1" applyFill="1" applyBorder="1" applyAlignment="1">
      <alignment horizontal="right" wrapText="1"/>
    </xf>
    <xf numFmtId="164" fontId="48" fillId="0" borderId="13" xfId="0" applyNumberFormat="1" applyFont="1" applyFill="1" applyBorder="1" applyAlignment="1">
      <alignment horizontal="right" vertical="center" wrapText="1"/>
    </xf>
    <xf numFmtId="4" fontId="60" fillId="0" borderId="0" xfId="0" applyNumberFormat="1" applyFont="1" applyFill="1" applyBorder="1" applyAlignment="1">
      <alignment wrapText="1"/>
    </xf>
    <xf numFmtId="4" fontId="48" fillId="0" borderId="41" xfId="0" applyNumberFormat="1" applyFont="1" applyFill="1" applyBorder="1" applyAlignment="1">
      <alignment vertical="center" wrapText="1"/>
    </xf>
    <xf numFmtId="4" fontId="48" fillId="37" borderId="69" xfId="0" applyNumberFormat="1" applyFont="1" applyFill="1" applyBorder="1" applyAlignment="1">
      <alignment wrapText="1"/>
    </xf>
    <xf numFmtId="168" fontId="53" fillId="0" borderId="0" xfId="0" applyNumberFormat="1" applyFont="1" applyFill="1" applyBorder="1" applyAlignment="1">
      <alignment wrapText="1"/>
    </xf>
    <xf numFmtId="4" fontId="61" fillId="0" borderId="0" xfId="0" applyNumberFormat="1" applyFont="1" applyFill="1" applyBorder="1" applyAlignment="1">
      <alignment wrapText="1"/>
    </xf>
    <xf numFmtId="4" fontId="63" fillId="0" borderId="0" xfId="0" applyNumberFormat="1" applyFont="1" applyFill="1" applyBorder="1" applyAlignment="1">
      <alignment horizontal="right" wrapText="1"/>
    </xf>
    <xf numFmtId="4" fontId="48" fillId="0" borderId="0" xfId="0" applyNumberFormat="1" applyFont="1" applyFill="1" applyBorder="1" applyAlignment="1">
      <alignment wrapText="1"/>
    </xf>
    <xf numFmtId="4" fontId="48" fillId="0" borderId="0" xfId="0" applyNumberFormat="1" applyFont="1" applyFill="1" applyBorder="1" applyAlignment="1">
      <alignment vertical="center" wrapText="1"/>
    </xf>
    <xf numFmtId="0" fontId="16" fillId="38" borderId="0" xfId="0" applyFont="1" applyFill="1" applyAlignment="1">
      <alignment horizontal="center"/>
    </xf>
    <xf numFmtId="0" fontId="16" fillId="0" borderId="0" xfId="0" applyFont="1" applyFill="1" applyAlignment="1">
      <alignment horizontal="center"/>
    </xf>
    <xf numFmtId="0" fontId="44" fillId="0" borderId="0" xfId="0" applyFont="1"/>
    <xf numFmtId="2" fontId="0" fillId="0" borderId="0" xfId="0" applyNumberFormat="1"/>
    <xf numFmtId="1" fontId="0" fillId="0" borderId="0" xfId="0" applyNumberFormat="1"/>
    <xf numFmtId="0" fontId="20" fillId="33" borderId="0" xfId="0" applyFont="1" applyFill="1"/>
    <xf numFmtId="0" fontId="20" fillId="33" borderId="0" xfId="0" applyFont="1" applyFill="1" applyAlignment="1">
      <alignment horizontal="left"/>
    </xf>
    <xf numFmtId="169" fontId="48" fillId="0" borderId="0" xfId="0" applyNumberFormat="1" applyFont="1" applyFill="1" applyBorder="1" applyAlignment="1">
      <alignment wrapText="1"/>
    </xf>
    <xf numFmtId="0" fontId="56" fillId="0" borderId="0" xfId="0" applyFont="1" applyFill="1"/>
    <xf numFmtId="14" fontId="20" fillId="33" borderId="0" xfId="0" applyNumberFormat="1" applyFont="1" applyFill="1" applyAlignment="1">
      <alignment horizontal="left"/>
    </xf>
    <xf numFmtId="4" fontId="48" fillId="0" borderId="0" xfId="0" applyNumberFormat="1" applyFont="1" applyFill="1" applyBorder="1" applyAlignment="1">
      <alignment wrapText="1"/>
    </xf>
    <xf numFmtId="0" fontId="20" fillId="0" borderId="0" xfId="0" applyFont="1"/>
    <xf numFmtId="43" fontId="20" fillId="0" borderId="0" xfId="0" applyNumberFormat="1" applyFont="1"/>
    <xf numFmtId="0" fontId="20" fillId="0" borderId="0" xfId="0" applyFont="1" applyFill="1"/>
    <xf numFmtId="43" fontId="20" fillId="0" borderId="0" xfId="0" applyNumberFormat="1" applyFont="1" applyFill="1"/>
    <xf numFmtId="0" fontId="18" fillId="33" borderId="0" xfId="0" applyFont="1" applyFill="1"/>
    <xf numFmtId="4" fontId="18" fillId="33" borderId="0" xfId="0" applyNumberFormat="1" applyFont="1" applyFill="1"/>
    <xf numFmtId="0" fontId="64" fillId="0" borderId="0" xfId="0" applyFont="1"/>
    <xf numFmtId="0" fontId="14" fillId="0" borderId="0" xfId="0" applyFont="1"/>
    <xf numFmtId="0" fontId="66" fillId="0" borderId="0" xfId="0" applyFont="1"/>
    <xf numFmtId="0" fontId="0" fillId="0" borderId="0" xfId="0" applyAlignment="1">
      <alignment wrapText="1"/>
    </xf>
    <xf numFmtId="0" fontId="57" fillId="0" borderId="0" xfId="0" applyFont="1" applyAlignment="1">
      <alignment horizontal="left" vertical="center" wrapText="1"/>
    </xf>
    <xf numFmtId="0" fontId="14" fillId="0" borderId="0" xfId="0" applyFont="1" applyAlignment="1">
      <alignment horizontal="left" wrapText="1"/>
    </xf>
    <xf numFmtId="0" fontId="33" fillId="0" borderId="0" xfId="0" applyFont="1" applyAlignment="1"/>
    <xf numFmtId="0" fontId="0" fillId="0" borderId="0" xfId="0" applyAlignment="1"/>
    <xf numFmtId="0" fontId="18" fillId="0" borderId="0" xfId="0" applyFont="1" applyAlignment="1">
      <alignment horizontal="left"/>
    </xf>
    <xf numFmtId="0" fontId="24" fillId="0" borderId="0" xfId="0" applyFont="1" applyAlignment="1">
      <alignment horizontal="center" wrapText="1"/>
    </xf>
    <xf numFmtId="0" fontId="24" fillId="0" borderId="0" xfId="0" applyFont="1" applyAlignment="1">
      <alignment horizontal="center"/>
    </xf>
    <xf numFmtId="0" fontId="19" fillId="0" borderId="22" xfId="0" applyFont="1" applyBorder="1" applyAlignment="1">
      <alignment horizontal="center"/>
    </xf>
    <xf numFmtId="0" fontId="19" fillId="0" borderId="25" xfId="0" applyFont="1" applyBorder="1" applyAlignment="1">
      <alignment horizontal="center"/>
    </xf>
    <xf numFmtId="0" fontId="19" fillId="0" borderId="26" xfId="0" applyFont="1" applyBorder="1" applyAlignment="1">
      <alignment horizontal="center"/>
    </xf>
    <xf numFmtId="0" fontId="24" fillId="0" borderId="0" xfId="0" applyFont="1" applyFill="1" applyBorder="1" applyAlignment="1">
      <alignment horizontal="center" wrapText="1"/>
    </xf>
    <xf numFmtId="0" fontId="19" fillId="0" borderId="22" xfId="0" applyFont="1" applyBorder="1" applyAlignment="1">
      <alignment horizontal="center" vertical="center" textRotation="90"/>
    </xf>
    <xf numFmtId="0" fontId="19" fillId="0" borderId="23" xfId="0" applyFont="1" applyBorder="1" applyAlignment="1">
      <alignment horizontal="center" vertical="center" textRotation="90"/>
    </xf>
    <xf numFmtId="0" fontId="19" fillId="0" borderId="24" xfId="0" applyFont="1" applyBorder="1" applyAlignment="1">
      <alignment horizontal="center" vertical="center" textRotation="90"/>
    </xf>
    <xf numFmtId="0" fontId="19" fillId="0" borderId="27" xfId="0" applyFont="1" applyBorder="1" applyAlignment="1">
      <alignment horizontal="center" vertical="center" textRotation="90"/>
    </xf>
    <xf numFmtId="0" fontId="19" fillId="0" borderId="28" xfId="0" applyFont="1" applyBorder="1" applyAlignment="1">
      <alignment horizontal="center" vertical="center" textRotation="90"/>
    </xf>
    <xf numFmtId="0" fontId="18" fillId="0" borderId="0" xfId="0" applyFont="1" applyAlignment="1">
      <alignment horizontal="left" wrapText="1"/>
    </xf>
    <xf numFmtId="0" fontId="19" fillId="0" borderId="10" xfId="0" applyFont="1" applyBorder="1" applyAlignment="1">
      <alignment horizontal="center"/>
    </xf>
    <xf numFmtId="0" fontId="18" fillId="0" borderId="0" xfId="0" applyFont="1" applyAlignment="1">
      <alignment horizontal="left" vertical="top" wrapText="1"/>
    </xf>
    <xf numFmtId="0" fontId="34" fillId="0" borderId="0" xfId="0" applyFont="1" applyAlignment="1">
      <alignment horizontal="left" wrapText="1"/>
    </xf>
    <xf numFmtId="0" fontId="18" fillId="0" borderId="0" xfId="0" applyFont="1" applyBorder="1" applyAlignment="1">
      <alignment horizontal="left" vertical="center" wrapText="1" indent="2"/>
    </xf>
    <xf numFmtId="0" fontId="43" fillId="0" borderId="37" xfId="0" applyFont="1" applyBorder="1" applyAlignment="1">
      <alignment horizontal="left" vertical="top" wrapText="1"/>
    </xf>
    <xf numFmtId="0" fontId="43" fillId="0" borderId="32" xfId="0" applyFont="1" applyBorder="1" applyAlignment="1">
      <alignment horizontal="left" vertical="top" wrapText="1"/>
    </xf>
    <xf numFmtId="0" fontId="43" fillId="0" borderId="36" xfId="0" applyFont="1" applyBorder="1" applyAlignment="1">
      <alignment horizontal="left" vertical="top" wrapText="1"/>
    </xf>
    <xf numFmtId="0" fontId="43" fillId="0" borderId="34" xfId="0" applyFont="1" applyBorder="1" applyAlignment="1">
      <alignment horizontal="left" vertical="top" wrapText="1"/>
    </xf>
    <xf numFmtId="0" fontId="43" fillId="0" borderId="38" xfId="0" applyFont="1" applyBorder="1" applyAlignment="1">
      <alignment horizontal="left" vertical="top" wrapText="1"/>
    </xf>
    <xf numFmtId="0" fontId="43" fillId="0" borderId="35" xfId="0" applyFont="1" applyBorder="1" applyAlignment="1">
      <alignment horizontal="left" vertical="top" wrapText="1"/>
    </xf>
    <xf numFmtId="4" fontId="21" fillId="34" borderId="23" xfId="0" applyNumberFormat="1" applyFont="1" applyFill="1" applyBorder="1" applyAlignment="1">
      <alignment horizontal="center"/>
    </xf>
    <xf numFmtId="4" fontId="21" fillId="34" borderId="0" xfId="0" applyNumberFormat="1" applyFont="1" applyFill="1" applyBorder="1" applyAlignment="1">
      <alignment horizontal="center"/>
    </xf>
    <xf numFmtId="4" fontId="21" fillId="0" borderId="23" xfId="0" applyNumberFormat="1" applyFont="1" applyBorder="1" applyAlignment="1">
      <alignment horizontal="center"/>
    </xf>
    <xf numFmtId="4" fontId="21" fillId="0" borderId="0" xfId="0" applyNumberFormat="1" applyFont="1" applyBorder="1" applyAlignment="1">
      <alignment horizontal="center"/>
    </xf>
    <xf numFmtId="0" fontId="23" fillId="0" borderId="0" xfId="0" applyFont="1" applyBorder="1" applyAlignment="1">
      <alignment horizontal="center" wrapText="1"/>
    </xf>
    <xf numFmtId="0" fontId="19" fillId="0" borderId="0" xfId="0" applyFont="1" applyAlignment="1">
      <alignment horizontal="left" wrapText="1"/>
    </xf>
    <xf numFmtId="0" fontId="42" fillId="0" borderId="37" xfId="0" applyFont="1" applyBorder="1" applyAlignment="1">
      <alignment horizontal="left" vertical="top" wrapText="1"/>
    </xf>
    <xf numFmtId="0" fontId="42" fillId="0" borderId="31" xfId="0" applyFont="1" applyBorder="1" applyAlignment="1">
      <alignment horizontal="left" vertical="top" wrapText="1"/>
    </xf>
    <xf numFmtId="0" fontId="42" fillId="0" borderId="32" xfId="0" applyFont="1" applyBorder="1" applyAlignment="1">
      <alignment horizontal="left" vertical="top" wrapText="1"/>
    </xf>
    <xf numFmtId="0" fontId="42" fillId="0" borderId="36" xfId="0" applyFont="1" applyBorder="1" applyAlignment="1">
      <alignment horizontal="left" vertical="top" wrapText="1"/>
    </xf>
    <xf numFmtId="0" fontId="42" fillId="0" borderId="0" xfId="0" applyFont="1" applyBorder="1" applyAlignment="1">
      <alignment horizontal="left" vertical="top" wrapText="1"/>
    </xf>
    <xf numFmtId="0" fontId="42" fillId="0" borderId="34" xfId="0" applyFont="1" applyBorder="1" applyAlignment="1">
      <alignment horizontal="left" vertical="top" wrapText="1"/>
    </xf>
    <xf numFmtId="0" fontId="42" fillId="0" borderId="38" xfId="0" applyFont="1" applyBorder="1" applyAlignment="1">
      <alignment horizontal="left" vertical="top" wrapText="1"/>
    </xf>
    <xf numFmtId="0" fontId="42" fillId="0" borderId="29" xfId="0" applyFont="1" applyBorder="1" applyAlignment="1">
      <alignment horizontal="left" vertical="top" wrapText="1"/>
    </xf>
    <xf numFmtId="0" fontId="42" fillId="0" borderId="35" xfId="0" applyFont="1" applyBorder="1" applyAlignment="1">
      <alignment horizontal="left" vertical="top" wrapText="1"/>
    </xf>
    <xf numFmtId="0" fontId="35" fillId="0" borderId="22" xfId="0" applyFont="1" applyBorder="1" applyAlignment="1">
      <alignment horizontal="center" vertical="center" textRotation="90"/>
    </xf>
    <xf numFmtId="0" fontId="35" fillId="0" borderId="23" xfId="0" applyFont="1" applyBorder="1" applyAlignment="1">
      <alignment horizontal="center" vertical="center" textRotation="90"/>
    </xf>
    <xf numFmtId="0" fontId="35" fillId="0" borderId="24" xfId="0" applyFont="1" applyBorder="1" applyAlignment="1">
      <alignment horizontal="center" vertical="center" textRotation="90"/>
    </xf>
    <xf numFmtId="0" fontId="59" fillId="0" borderId="0" xfId="0" applyFont="1" applyFill="1" applyBorder="1" applyAlignment="1">
      <alignment wrapText="1"/>
    </xf>
    <xf numFmtId="4" fontId="62" fillId="0" borderId="41" xfId="0" applyNumberFormat="1" applyFont="1" applyFill="1" applyBorder="1" applyAlignment="1">
      <alignment wrapText="1"/>
    </xf>
    <xf numFmtId="0" fontId="62" fillId="0" borderId="39" xfId="0" applyFont="1" applyFill="1" applyBorder="1" applyAlignment="1">
      <alignment wrapText="1"/>
    </xf>
    <xf numFmtId="0" fontId="62" fillId="0" borderId="40" xfId="0" applyFont="1" applyFill="1" applyBorder="1" applyAlignment="1">
      <alignment wrapText="1"/>
    </xf>
    <xf numFmtId="4" fontId="48" fillId="0" borderId="0" xfId="0" applyNumberFormat="1" applyFont="1" applyFill="1" applyBorder="1" applyAlignment="1">
      <alignment wrapText="1"/>
    </xf>
    <xf numFmtId="0" fontId="48" fillId="0" borderId="0" xfId="0" applyFont="1" applyFill="1" applyBorder="1" applyAlignment="1">
      <alignment wrapText="1"/>
    </xf>
    <xf numFmtId="4" fontId="48" fillId="0" borderId="0" xfId="0" applyNumberFormat="1" applyFont="1" applyFill="1" applyBorder="1" applyAlignment="1">
      <alignment vertical="center" wrapText="1"/>
    </xf>
    <xf numFmtId="0" fontId="48" fillId="0" borderId="0" xfId="0" applyFont="1" applyFill="1" applyBorder="1" applyAlignment="1">
      <alignment vertical="center" wrapText="1"/>
    </xf>
    <xf numFmtId="0" fontId="65" fillId="0" borderId="0" xfId="0" applyFont="1" applyAlignment="1">
      <alignment horizontal="center"/>
    </xf>
    <xf numFmtId="0" fontId="0" fillId="0" borderId="0" xfId="0" applyAlignment="1">
      <alignment horizontal="righ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te" xfId="15" builtinId="10" customBuiltin="1"/>
    <cellStyle name="Output" xfId="10" builtinId="21" customBuiltin="1"/>
    <cellStyle name="Percent" xfId="43" builtinId="5"/>
    <cellStyle name="Percent 2" xfId="45" xr:uid="{00000000-0005-0000-0000-00002A000000}"/>
    <cellStyle name="Title" xfId="1" builtinId="15" customBuiltin="1"/>
    <cellStyle name="Total" xfId="17" builtinId="25" customBuiltin="1"/>
    <cellStyle name="Warning Text" xfId="14" builtinId="11" customBuiltin="1"/>
  </cellStyles>
  <dxfs count="27">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border diagonalUp="0" diagonalDown="0" outline="0">
        <left style="thin">
          <color theme="1" tint="0.24994659260841701"/>
        </left>
        <right/>
        <top/>
        <bottom/>
      </border>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outline="0">
        <left style="medium">
          <color indexed="64"/>
        </left>
        <right/>
        <top/>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border diagonalUp="0" diagonalDown="0">
        <left/>
        <right style="medium">
          <color auto="1"/>
        </right>
        <top/>
        <bottom/>
        <vertical style="medium">
          <color auto="1"/>
        </vertical>
        <horizontal/>
      </border>
    </dxf>
    <dxf>
      <font>
        <b val="0"/>
        <i val="0"/>
        <strike val="0"/>
        <condense val="0"/>
        <extend val="0"/>
        <outline val="0"/>
        <shadow val="0"/>
        <u val="none"/>
        <vertAlign val="baseline"/>
        <sz val="10"/>
        <color theme="1"/>
        <name val="Arial"/>
        <scheme val="none"/>
      </font>
      <numFmt numFmtId="4" formatCode="#,##0.00"/>
      <fill>
        <patternFill patternType="none">
          <fgColor indexed="64"/>
          <bgColor indexed="65"/>
        </patternFill>
      </fill>
      <border diagonalUp="0" diagonalDown="0" outline="0">
        <left/>
        <right style="medium">
          <color indexed="64"/>
        </right>
        <top/>
        <bottom/>
      </border>
    </dxf>
    <dxf>
      <border diagonalUp="0" diagonalDown="0">
        <left style="thin">
          <color theme="1" tint="0.24994659260841701"/>
        </left>
        <right style="thin">
          <color theme="1" tint="0.24994659260841701"/>
        </right>
        <top/>
        <bottom style="thin">
          <color theme="1" tint="0.24994659260841701"/>
        </bottom>
      </border>
    </dxf>
    <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border diagonalUp="0" diagonalDown="0">
        <left style="medium">
          <color auto="1"/>
        </left>
        <right style="medium">
          <color auto="1"/>
        </right>
        <top/>
        <bottom/>
        <vertical style="medium">
          <color auto="1"/>
        </vertical>
        <horizontal style="medium">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14</xdr:col>
      <xdr:colOff>45720</xdr:colOff>
      <xdr:row>15</xdr:row>
      <xdr:rowOff>167640</xdr:rowOff>
    </xdr:from>
    <xdr:to>
      <xdr:col>14</xdr:col>
      <xdr:colOff>792480</xdr:colOff>
      <xdr:row>15</xdr:row>
      <xdr:rowOff>167640</xdr:rowOff>
    </xdr:to>
    <xdr:cxnSp macro="">
      <xdr:nvCxnSpPr>
        <xdr:cNvPr id="4" name="Straight Connector 3">
          <a:extLst>
            <a:ext uri="{FF2B5EF4-FFF2-40B4-BE49-F238E27FC236}">
              <a16:creationId xmlns:a16="http://schemas.microsoft.com/office/drawing/2014/main" id="{00000000-0008-0000-0200-000004000000}"/>
            </a:ext>
          </a:extLst>
        </xdr:cNvPr>
        <xdr:cNvCxnSpPr/>
      </xdr:nvCxnSpPr>
      <xdr:spPr>
        <a:xfrm>
          <a:off x="6598920" y="3147060"/>
          <a:ext cx="746760" cy="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45720</xdr:colOff>
      <xdr:row>15</xdr:row>
      <xdr:rowOff>167640</xdr:rowOff>
    </xdr:from>
    <xdr:to>
      <xdr:col>18</xdr:col>
      <xdr:colOff>792480</xdr:colOff>
      <xdr:row>15</xdr:row>
      <xdr:rowOff>167640</xdr:rowOff>
    </xdr:to>
    <xdr:cxnSp macro="">
      <xdr:nvCxnSpPr>
        <xdr:cNvPr id="5" name="Straight Connector 4">
          <a:extLst>
            <a:ext uri="{FF2B5EF4-FFF2-40B4-BE49-F238E27FC236}">
              <a16:creationId xmlns:a16="http://schemas.microsoft.com/office/drawing/2014/main" id="{00000000-0008-0000-0200-000005000000}"/>
            </a:ext>
          </a:extLst>
        </xdr:cNvPr>
        <xdr:cNvCxnSpPr/>
      </xdr:nvCxnSpPr>
      <xdr:spPr>
        <a:xfrm>
          <a:off x="5897880" y="3383280"/>
          <a:ext cx="746760" cy="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45720</xdr:colOff>
      <xdr:row>15</xdr:row>
      <xdr:rowOff>167640</xdr:rowOff>
    </xdr:from>
    <xdr:to>
      <xdr:col>23</xdr:col>
      <xdr:colOff>792480</xdr:colOff>
      <xdr:row>15</xdr:row>
      <xdr:rowOff>167640</xdr:rowOff>
    </xdr:to>
    <xdr:cxnSp macro="">
      <xdr:nvCxnSpPr>
        <xdr:cNvPr id="6" name="Straight Connector 5">
          <a:extLst>
            <a:ext uri="{FF2B5EF4-FFF2-40B4-BE49-F238E27FC236}">
              <a16:creationId xmlns:a16="http://schemas.microsoft.com/office/drawing/2014/main" id="{00000000-0008-0000-0200-000006000000}"/>
            </a:ext>
          </a:extLst>
        </xdr:cNvPr>
        <xdr:cNvCxnSpPr/>
      </xdr:nvCxnSpPr>
      <xdr:spPr>
        <a:xfrm>
          <a:off x="5897880" y="3383280"/>
          <a:ext cx="746760" cy="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45720</xdr:colOff>
      <xdr:row>15</xdr:row>
      <xdr:rowOff>167640</xdr:rowOff>
    </xdr:from>
    <xdr:to>
      <xdr:col>18</xdr:col>
      <xdr:colOff>792480</xdr:colOff>
      <xdr:row>15</xdr:row>
      <xdr:rowOff>167640</xdr:rowOff>
    </xdr:to>
    <xdr:cxnSp macro="">
      <xdr:nvCxnSpPr>
        <xdr:cNvPr id="7" name="Straight Connector 6">
          <a:extLst>
            <a:ext uri="{FF2B5EF4-FFF2-40B4-BE49-F238E27FC236}">
              <a16:creationId xmlns:a16="http://schemas.microsoft.com/office/drawing/2014/main" id="{00000000-0008-0000-0200-000007000000}"/>
            </a:ext>
          </a:extLst>
        </xdr:cNvPr>
        <xdr:cNvCxnSpPr/>
      </xdr:nvCxnSpPr>
      <xdr:spPr>
        <a:xfrm>
          <a:off x="5897880" y="3383280"/>
          <a:ext cx="701040" cy="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45720</xdr:colOff>
      <xdr:row>15</xdr:row>
      <xdr:rowOff>167640</xdr:rowOff>
    </xdr:from>
    <xdr:to>
      <xdr:col>23</xdr:col>
      <xdr:colOff>792480</xdr:colOff>
      <xdr:row>15</xdr:row>
      <xdr:rowOff>167640</xdr:rowOff>
    </xdr:to>
    <xdr:cxnSp macro="">
      <xdr:nvCxnSpPr>
        <xdr:cNvPr id="8" name="Straight Connector 7">
          <a:extLst>
            <a:ext uri="{FF2B5EF4-FFF2-40B4-BE49-F238E27FC236}">
              <a16:creationId xmlns:a16="http://schemas.microsoft.com/office/drawing/2014/main" id="{00000000-0008-0000-0200-000008000000}"/>
            </a:ext>
          </a:extLst>
        </xdr:cNvPr>
        <xdr:cNvCxnSpPr/>
      </xdr:nvCxnSpPr>
      <xdr:spPr>
        <a:xfrm>
          <a:off x="5897880" y="3383280"/>
          <a:ext cx="701040" cy="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158750</xdr:colOff>
      <xdr:row>4</xdr:row>
      <xdr:rowOff>19051</xdr:rowOff>
    </xdr:from>
    <xdr:to>
      <xdr:col>10</xdr:col>
      <xdr:colOff>369093</xdr:colOff>
      <xdr:row>36</xdr:row>
      <xdr:rowOff>516454</xdr:rowOff>
    </xdr:to>
    <xdr:pic>
      <xdr:nvPicPr>
        <xdr:cNvPr id="2" name="Picture 1" descr="Screen Clippi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5864"/>
          <a:ext cx="6282531" cy="6998215"/>
        </a:xfrm>
        <a:prstGeom prst="rect">
          <a:avLst/>
        </a:prstGeom>
      </xdr:spPr>
    </xdr:pic>
    <xdr:clientData/>
  </xdr:twoCellAnchor>
  <xdr:twoCellAnchor editAs="oneCell">
    <xdr:from>
      <xdr:col>0</xdr:col>
      <xdr:colOff>450850</xdr:colOff>
      <xdr:row>45</xdr:row>
      <xdr:rowOff>22225</xdr:rowOff>
    </xdr:from>
    <xdr:to>
      <xdr:col>11</xdr:col>
      <xdr:colOff>190500</xdr:colOff>
      <xdr:row>64</xdr:row>
      <xdr:rowOff>65839</xdr:rowOff>
    </xdr:to>
    <xdr:pic>
      <xdr:nvPicPr>
        <xdr:cNvPr id="3" name="Picture 2" descr="Screen Clippi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2023725"/>
          <a:ext cx="6969125" cy="3663114"/>
        </a:xfrm>
        <a:prstGeom prst="rect">
          <a:avLst/>
        </a:prstGeom>
      </xdr:spPr>
    </xdr:pic>
    <xdr:clientData/>
  </xdr:twoCellAnchor>
  <xdr:twoCellAnchor editAs="oneCell">
    <xdr:from>
      <xdr:col>0</xdr:col>
      <xdr:colOff>523875</xdr:colOff>
      <xdr:row>63</xdr:row>
      <xdr:rowOff>79375</xdr:rowOff>
    </xdr:from>
    <xdr:to>
      <xdr:col>11</xdr:col>
      <xdr:colOff>111125</xdr:colOff>
      <xdr:row>106</xdr:row>
      <xdr:rowOff>91993</xdr:rowOff>
    </xdr:to>
    <xdr:pic>
      <xdr:nvPicPr>
        <xdr:cNvPr id="4" name="Picture 3" descr="Screen Clippi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5509875"/>
          <a:ext cx="6816725" cy="820411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oadsTable" displayName="LoadsTable" ref="B17:M32" headerRowCount="0" totalsRowShown="0" headerRowDxfId="26" dataDxfId="25" tableBorderDxfId="24">
  <tableColumns count="12">
    <tableColumn id="1" xr3:uid="{00000000-0010-0000-0000-000001000000}" name="Column1" headerRowDxfId="23" dataDxfId="22"/>
    <tableColumn id="2" xr3:uid="{00000000-0010-0000-0000-000002000000}" name="Column2" headerRowDxfId="21" dataDxfId="20">
      <calculatedColumnFormula>+'MMW Output'!C22</calculatedColumnFormula>
    </tableColumn>
    <tableColumn id="3" xr3:uid="{00000000-0010-0000-0000-000003000000}" name="Column3" headerRowDxfId="19" dataDxfId="18">
      <calculatedColumnFormula>+'MMW Output'!#REF!</calculatedColumnFormula>
    </tableColumn>
    <tableColumn id="4" xr3:uid="{00000000-0010-0000-0000-000004000000}" name="Column4" headerRowDxfId="17" dataDxfId="16">
      <calculatedColumnFormula>+'MMW Output'!#REF!</calculatedColumnFormula>
    </tableColumn>
    <tableColumn id="5" xr3:uid="{00000000-0010-0000-0000-000005000000}" name="Column5" headerRowDxfId="15" dataDxfId="14"/>
    <tableColumn id="6" xr3:uid="{00000000-0010-0000-0000-000006000000}" name="Column6" headerRowDxfId="13" dataDxfId="12">
      <calculatedColumnFormula>+'MMW Output'!D22</calculatedColumnFormula>
    </tableColumn>
    <tableColumn id="7" xr3:uid="{00000000-0010-0000-0000-000007000000}" name="Column7" headerRowDxfId="11" dataDxfId="10">
      <calculatedColumnFormula>+'MMW Output'!#REF!</calculatedColumnFormula>
    </tableColumn>
    <tableColumn id="8" xr3:uid="{00000000-0010-0000-0000-000008000000}" name="Column8" headerRowDxfId="9" dataDxfId="8"/>
    <tableColumn id="9" xr3:uid="{00000000-0010-0000-0000-000009000000}" name="Column9" headerRowDxfId="7" dataDxfId="6">
      <calculatedColumnFormula>+'MMW Output'!E22</calculatedColumnFormula>
    </tableColumn>
    <tableColumn id="10" xr3:uid="{00000000-0010-0000-0000-00000A000000}" name="Column10" headerRowDxfId="5" dataDxfId="4">
      <calculatedColumnFormula>+'MMW Output'!#REF!</calculatedColumnFormula>
    </tableColumn>
    <tableColumn id="11" xr3:uid="{00000000-0010-0000-0000-00000B000000}" name="Column11" headerRowDxfId="3" dataDxfId="2"/>
    <tableColumn id="12" xr3:uid="{00000000-0010-0000-0000-00000C000000}" name="Column12" headerRowDxfId="1" dataDxfId="0">
      <calculatedColumnFormula>+'MMW Output'!F22</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7"/>
  <sheetViews>
    <sheetView zoomScale="120" zoomScaleNormal="120" workbookViewId="0">
      <selection activeCell="E17" sqref="E17"/>
    </sheetView>
  </sheetViews>
  <sheetFormatPr baseColWidth="10" defaultColWidth="9.1640625" defaultRowHeight="15"/>
  <cols>
    <col min="1" max="1" width="8" customWidth="1"/>
    <col min="6" max="8" width="9.1640625" style="241"/>
    <col min="9" max="9" width="12.5" style="241" customWidth="1"/>
    <col min="10" max="16384" width="9.1640625" style="241"/>
  </cols>
  <sheetData>
    <row r="2" spans="1:9" ht="19">
      <c r="E2" s="240" t="s">
        <v>189</v>
      </c>
    </row>
    <row r="3" spans="1:9" ht="144" customHeight="1">
      <c r="A3" s="386" t="s">
        <v>301</v>
      </c>
      <c r="B3" s="386"/>
      <c r="C3" s="386"/>
      <c r="D3" s="386"/>
      <c r="E3" s="386"/>
      <c r="F3" s="386"/>
      <c r="G3" s="386"/>
      <c r="H3" s="386"/>
      <c r="I3" s="386"/>
    </row>
    <row r="4" spans="1:9">
      <c r="E4" s="242"/>
    </row>
    <row r="5" spans="1:9">
      <c r="E5" s="239" t="s">
        <v>181</v>
      </c>
    </row>
    <row r="6" spans="1:9">
      <c r="E6" s="239"/>
    </row>
    <row r="7" spans="1:9" ht="63" customHeight="1">
      <c r="A7" s="387" t="s">
        <v>250</v>
      </c>
      <c r="B7" s="388"/>
      <c r="C7" s="388"/>
      <c r="D7" s="388"/>
      <c r="E7" s="388"/>
      <c r="F7" s="388"/>
      <c r="G7" s="388"/>
      <c r="H7" s="388"/>
      <c r="I7" s="388"/>
    </row>
    <row r="8" spans="1:9">
      <c r="E8" s="242"/>
    </row>
    <row r="9" spans="1:9">
      <c r="A9" s="241"/>
      <c r="B9" s="441" t="s">
        <v>377</v>
      </c>
      <c r="C9" s="267" t="s">
        <v>379</v>
      </c>
      <c r="D9" s="267"/>
      <c r="E9" s="268"/>
      <c r="F9" s="267"/>
      <c r="G9" s="267"/>
      <c r="H9" s="267"/>
      <c r="I9" s="267"/>
    </row>
    <row r="10" spans="1:9">
      <c r="A10" s="267"/>
      <c r="B10" s="267"/>
      <c r="C10" s="267" t="s">
        <v>378</v>
      </c>
      <c r="D10" s="267"/>
      <c r="E10" s="272"/>
      <c r="F10" s="267"/>
      <c r="G10" s="267"/>
      <c r="H10" s="267"/>
      <c r="I10" s="267"/>
    </row>
    <row r="11" spans="1:9" ht="16">
      <c r="A11" s="264"/>
      <c r="B11" s="264"/>
      <c r="C11" s="264" t="s">
        <v>380</v>
      </c>
      <c r="D11" s="264"/>
      <c r="E11" s="266"/>
      <c r="F11" s="265"/>
      <c r="G11" s="265"/>
      <c r="H11" s="265"/>
      <c r="I11" s="265"/>
    </row>
    <row r="12" spans="1:9">
      <c r="A12" s="267"/>
      <c r="B12" s="267"/>
      <c r="C12" s="267"/>
      <c r="D12" s="267"/>
      <c r="E12" s="268"/>
      <c r="F12" s="267"/>
      <c r="G12" s="267"/>
      <c r="H12" s="267"/>
      <c r="I12" s="267"/>
    </row>
    <row r="13" spans="1:9">
      <c r="A13" s="267"/>
      <c r="B13" s="267"/>
      <c r="C13" s="267"/>
      <c r="D13" s="267"/>
      <c r="E13" s="268"/>
      <c r="F13" s="267"/>
      <c r="G13" s="267"/>
      <c r="H13" s="267"/>
      <c r="I13" s="267"/>
    </row>
    <row r="14" spans="1:9" ht="16">
      <c r="A14" s="267"/>
      <c r="B14" s="267"/>
      <c r="C14" s="267"/>
      <c r="D14" s="267"/>
      <c r="E14" s="269"/>
      <c r="F14" s="267"/>
      <c r="G14" s="267"/>
      <c r="H14" s="267"/>
      <c r="I14" s="267"/>
    </row>
    <row r="15" spans="1:9">
      <c r="A15" s="267"/>
      <c r="B15" s="267"/>
      <c r="C15" s="267"/>
      <c r="D15" s="267"/>
      <c r="E15" s="270"/>
      <c r="F15" s="267"/>
      <c r="G15" s="267"/>
      <c r="H15" s="267"/>
      <c r="I15" s="267"/>
    </row>
    <row r="16" spans="1:9">
      <c r="A16" s="267"/>
      <c r="B16" s="267"/>
      <c r="C16" s="267"/>
      <c r="D16" s="267"/>
      <c r="E16" s="268"/>
      <c r="F16" s="267"/>
      <c r="G16" s="267"/>
      <c r="H16" s="267"/>
      <c r="I16" s="267"/>
    </row>
    <row r="17" spans="1:9" ht="16">
      <c r="A17" s="267"/>
      <c r="B17" s="267"/>
      <c r="C17" s="271"/>
      <c r="D17" s="267"/>
      <c r="E17" s="267"/>
      <c r="F17" s="267"/>
      <c r="G17" s="267"/>
      <c r="H17" s="267"/>
      <c r="I17" s="267"/>
    </row>
  </sheetData>
  <mergeCells count="2">
    <mergeCell ref="A3:I3"/>
    <mergeCell ref="A7:I7"/>
  </mergeCells>
  <phoneticPr fontId="47" type="noConversion"/>
  <pageMargins left="0.7" right="0.7" top="0.75" bottom="0.75" header="0.3" footer="0.3"/>
  <pageSetup orientation="portrait" r:id="rId1"/>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opLeftCell="B1" zoomScale="120" zoomScaleNormal="120" workbookViewId="0"/>
  </sheetViews>
  <sheetFormatPr baseColWidth="10" defaultColWidth="8.83203125"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zoomScale="120" zoomScaleNormal="120" workbookViewId="0"/>
  </sheetViews>
  <sheetFormatPr baseColWidth="10" defaultColWidth="8.83203125"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67"/>
  <sheetViews>
    <sheetView topLeftCell="B67" zoomScale="120" zoomScaleNormal="120" workbookViewId="0">
      <selection activeCell="J86" sqref="J86"/>
    </sheetView>
  </sheetViews>
  <sheetFormatPr baseColWidth="10" defaultColWidth="9.1640625" defaultRowHeight="15"/>
  <cols>
    <col min="1" max="1" width="20.5" style="273" customWidth="1"/>
    <col min="2" max="2" width="13" style="274" customWidth="1"/>
    <col min="3" max="3" width="16" style="274" customWidth="1"/>
    <col min="4" max="4" width="13.83203125" style="274" customWidth="1"/>
    <col min="5" max="5" width="14.83203125" style="274" customWidth="1"/>
    <col min="6" max="6" width="4.1640625" style="273" customWidth="1"/>
    <col min="7" max="7" width="18.5" style="274" customWidth="1"/>
    <col min="8" max="8" width="1.6640625" style="273" customWidth="1"/>
    <col min="9" max="9" width="31.83203125" style="273" customWidth="1"/>
    <col min="10" max="10" width="12.5" style="273" customWidth="1"/>
    <col min="11" max="12" width="12.5" style="312" customWidth="1"/>
    <col min="13" max="13" width="10" style="273" customWidth="1"/>
    <col min="14" max="14" width="60.5" style="273" customWidth="1"/>
    <col min="15" max="15" width="12.83203125" style="273" customWidth="1"/>
    <col min="16" max="16384" width="9.1640625" style="273"/>
  </cols>
  <sheetData>
    <row r="1" spans="1:14" ht="15.75" customHeight="1" thickBot="1">
      <c r="A1" s="433" t="s">
        <v>270</v>
      </c>
      <c r="B1" s="434"/>
      <c r="C1" s="434"/>
      <c r="D1" s="434"/>
      <c r="E1" s="435"/>
      <c r="H1" s="275"/>
      <c r="I1" s="276" t="s">
        <v>190</v>
      </c>
      <c r="J1" s="352" t="s">
        <v>4</v>
      </c>
      <c r="K1" s="352" t="s">
        <v>271</v>
      </c>
      <c r="L1" s="352" t="s">
        <v>272</v>
      </c>
    </row>
    <row r="2" spans="1:14" ht="21.75" customHeight="1">
      <c r="A2" s="277" t="s">
        <v>0</v>
      </c>
      <c r="B2" s="278" t="s">
        <v>51</v>
      </c>
      <c r="C2" s="337" t="s">
        <v>191</v>
      </c>
      <c r="D2" s="278" t="s">
        <v>192</v>
      </c>
      <c r="E2" s="348" t="s">
        <v>193</v>
      </c>
      <c r="G2" s="279" t="s">
        <v>194</v>
      </c>
      <c r="H2" s="275"/>
      <c r="I2" s="273" t="s">
        <v>195</v>
      </c>
      <c r="J2" s="376">
        <f>B4</f>
        <v>323.45679012345676</v>
      </c>
      <c r="N2" s="280" t="s">
        <v>196</v>
      </c>
    </row>
    <row r="3" spans="1:14" ht="17.25" customHeight="1">
      <c r="A3" s="281" t="s">
        <v>9</v>
      </c>
      <c r="B3" s="338">
        <f>+'MMW Output'!C22</f>
        <v>1180.2469135802469</v>
      </c>
      <c r="C3" s="338">
        <f>+'MMW Output'!D22</f>
        <v>169.19251650000001</v>
      </c>
      <c r="D3" s="338">
        <f>+'MMW Output'!E22</f>
        <v>1744.8164999999999</v>
      </c>
      <c r="E3" s="344">
        <f>+'MMW Output'!F22</f>
        <v>893.02499999999998</v>
      </c>
      <c r="F3" s="282"/>
      <c r="G3" s="354">
        <f t="shared" ref="G3:G18" si="0">C3*2000</f>
        <v>338385.033</v>
      </c>
      <c r="H3" s="275"/>
      <c r="I3" s="273" t="s">
        <v>197</v>
      </c>
      <c r="J3" s="376">
        <v>10000</v>
      </c>
    </row>
    <row r="4" spans="1:14">
      <c r="A4" s="283" t="s">
        <v>10</v>
      </c>
      <c r="B4" s="339">
        <f>+'MMW Output'!C23</f>
        <v>323.45679012345676</v>
      </c>
      <c r="C4" s="339">
        <f>+'MMW Output'!D23</f>
        <v>473.41140525000003</v>
      </c>
      <c r="D4" s="339">
        <f>+'MMW Output'!E23</f>
        <v>3426.3495000000003</v>
      </c>
      <c r="E4" s="345">
        <f>+'MMW Output'!F23</f>
        <v>1474.4835</v>
      </c>
      <c r="G4" s="355">
        <f t="shared" si="0"/>
        <v>946822.81050000002</v>
      </c>
      <c r="H4" s="275"/>
      <c r="I4" s="273" t="s">
        <v>273</v>
      </c>
      <c r="J4" s="273">
        <v>0.35</v>
      </c>
      <c r="K4" s="312">
        <v>0.28999999999999998</v>
      </c>
      <c r="L4" s="312">
        <v>0.5</v>
      </c>
    </row>
    <row r="5" spans="1:14">
      <c r="A5" s="283" t="s">
        <v>11</v>
      </c>
      <c r="B5" s="339">
        <f>+'MMW Output'!C24</f>
        <v>417.28395061728395</v>
      </c>
      <c r="C5" s="339">
        <f>+'MMW Output'!D24</f>
        <v>0.69060599999999994</v>
      </c>
      <c r="D5" s="339">
        <f>+'MMW Output'!E24</f>
        <v>59.975999999999999</v>
      </c>
      <c r="E5" s="345">
        <f>+'MMW Output'!F24</f>
        <v>4.8510000000000009</v>
      </c>
      <c r="G5" s="355">
        <f t="shared" si="0"/>
        <v>1381.212</v>
      </c>
      <c r="H5" s="275"/>
      <c r="I5" s="280" t="s">
        <v>280</v>
      </c>
      <c r="J5" s="280">
        <f>(J3/J2)*G4*J4</f>
        <v>10245201.022013359</v>
      </c>
      <c r="K5" s="280">
        <f>(J3/J2)*D4*K4</f>
        <v>30719.446471374049</v>
      </c>
      <c r="L5" s="280">
        <f>(J3/J2)*E4*L4</f>
        <v>22792.588454198474</v>
      </c>
    </row>
    <row r="6" spans="1:14" ht="18.75" customHeight="1">
      <c r="A6" s="283" t="s">
        <v>12</v>
      </c>
      <c r="B6" s="339">
        <f>+'MMW Output'!C25</f>
        <v>14.814814814814813</v>
      </c>
      <c r="C6" s="339">
        <f>+'MMW Output'!D25</f>
        <v>3.2854500000000002E-2</v>
      </c>
      <c r="D6" s="339">
        <f>+'MMW Output'!E25</f>
        <v>6.1739999999999995</v>
      </c>
      <c r="E6" s="345">
        <f>+'MMW Output'!F25</f>
        <v>0.44100000000000006</v>
      </c>
      <c r="G6" s="355">
        <f t="shared" si="0"/>
        <v>65.709000000000003</v>
      </c>
      <c r="H6" s="275"/>
    </row>
    <row r="7" spans="1:14">
      <c r="A7" s="283" t="s">
        <v>13</v>
      </c>
      <c r="B7" s="339">
        <f>+'MMW Output'!C26</f>
        <v>0</v>
      </c>
      <c r="C7" s="339">
        <f>+'MMW Output'!D26</f>
        <v>0</v>
      </c>
      <c r="D7" s="339">
        <f>+'MMW Output'!E26</f>
        <v>0</v>
      </c>
      <c r="E7" s="345">
        <f>+'MMW Output'!F26</f>
        <v>0</v>
      </c>
      <c r="G7" s="355">
        <f t="shared" si="0"/>
        <v>0</v>
      </c>
      <c r="H7" s="275"/>
      <c r="I7" s="276" t="s">
        <v>198</v>
      </c>
    </row>
    <row r="8" spans="1:14">
      <c r="A8" s="283" t="s">
        <v>14</v>
      </c>
      <c r="B8" s="339">
        <f>+'MMW Output'!C27</f>
        <v>0</v>
      </c>
      <c r="C8" s="339">
        <f>+'MMW Output'!D27</f>
        <v>0</v>
      </c>
      <c r="D8" s="339">
        <f>+'MMW Output'!E27</f>
        <v>0</v>
      </c>
      <c r="E8" s="345">
        <f>+'MMW Output'!F27</f>
        <v>0</v>
      </c>
      <c r="G8" s="355">
        <f t="shared" si="0"/>
        <v>0</v>
      </c>
      <c r="H8" s="275"/>
    </row>
    <row r="9" spans="1:14">
      <c r="A9" s="283" t="s">
        <v>15</v>
      </c>
      <c r="B9" s="339">
        <f>+'MMW Output'!C28</f>
        <v>111.1111111111111</v>
      </c>
      <c r="C9" s="339">
        <f>+'MMW Output'!D28</f>
        <v>5.4832837500000009</v>
      </c>
      <c r="D9" s="339">
        <f>+'MMW Output'!E28</f>
        <v>135.60750000000002</v>
      </c>
      <c r="E9" s="345">
        <f>+'MMW Output'!F28</f>
        <v>16.9785</v>
      </c>
      <c r="G9" s="355">
        <f t="shared" si="0"/>
        <v>10966.567500000001</v>
      </c>
      <c r="H9" s="275"/>
      <c r="I9" s="273" t="s">
        <v>195</v>
      </c>
      <c r="J9" s="376">
        <f>B4</f>
        <v>323.45679012345676</v>
      </c>
      <c r="N9" s="280" t="s">
        <v>199</v>
      </c>
    </row>
    <row r="10" spans="1:14" ht="15.75" customHeight="1">
      <c r="A10" s="283" t="s">
        <v>16</v>
      </c>
      <c r="B10" s="339">
        <f>+'MMW Output'!C29</f>
        <v>49.382716049382715</v>
      </c>
      <c r="C10" s="339">
        <f>+'MMW Output'!D29</f>
        <v>6.1740000000000003E-2</v>
      </c>
      <c r="D10" s="339">
        <f>+'MMW Output'!E29</f>
        <v>29.988</v>
      </c>
      <c r="E10" s="345">
        <f>+'MMW Output'!F29</f>
        <v>1.1025</v>
      </c>
      <c r="G10" s="355">
        <f t="shared" si="0"/>
        <v>123.48</v>
      </c>
      <c r="H10" s="275"/>
      <c r="I10" s="273" t="s">
        <v>197</v>
      </c>
      <c r="J10" s="273">
        <v>10000</v>
      </c>
    </row>
    <row r="11" spans="1:14">
      <c r="A11" s="283" t="s">
        <v>17</v>
      </c>
      <c r="B11" s="339">
        <f>+'MMW Output'!C30</f>
        <v>0</v>
      </c>
      <c r="C11" s="339">
        <f>+'MMW Output'!D30</f>
        <v>0</v>
      </c>
      <c r="D11" s="339">
        <f>+'MMW Output'!E30</f>
        <v>0</v>
      </c>
      <c r="E11" s="345">
        <f>+'MMW Output'!F30</f>
        <v>0</v>
      </c>
      <c r="G11" s="355">
        <f t="shared" si="0"/>
        <v>0</v>
      </c>
      <c r="H11" s="275"/>
      <c r="I11" s="273" t="s">
        <v>273</v>
      </c>
      <c r="J11" s="376">
        <v>0.3</v>
      </c>
      <c r="K11" s="312">
        <v>0.08</v>
      </c>
      <c r="L11" s="312">
        <v>0.22</v>
      </c>
    </row>
    <row r="12" spans="1:14">
      <c r="A12" s="284" t="s">
        <v>18</v>
      </c>
      <c r="B12" s="339">
        <f>+'MMW Output'!C31</f>
        <v>0</v>
      </c>
      <c r="C12" s="339">
        <f>+'MMW Output'!D31</f>
        <v>0</v>
      </c>
      <c r="D12" s="339">
        <f>+'MMW Output'!E31</f>
        <v>0</v>
      </c>
      <c r="E12" s="349">
        <f>+'MMW Output'!F31</f>
        <v>0</v>
      </c>
      <c r="F12" s="285"/>
      <c r="G12" s="356">
        <f t="shared" si="0"/>
        <v>0</v>
      </c>
      <c r="H12" s="275"/>
      <c r="I12" s="280" t="s">
        <v>280</v>
      </c>
      <c r="J12" s="280">
        <f>(J10/J9)*G4*J11</f>
        <v>8781600.8760114517</v>
      </c>
      <c r="K12" s="280">
        <f>(J10/J9)*D4*K11</f>
        <v>8474.3300610687038</v>
      </c>
      <c r="L12" s="280">
        <f>(J10/J9)*E4*L11</f>
        <v>10028.738919847328</v>
      </c>
    </row>
    <row r="13" spans="1:14" ht="19.5" customHeight="1">
      <c r="A13" s="281" t="s">
        <v>19</v>
      </c>
      <c r="B13" s="338">
        <f>+'MMW Output'!C32</f>
        <v>2000</v>
      </c>
      <c r="C13" s="338">
        <f>+'MMW Output'!D32</f>
        <v>9.8619727500000014</v>
      </c>
      <c r="D13" s="338">
        <f>+'MMW Output'!E32</f>
        <v>532.94849999999997</v>
      </c>
      <c r="E13" s="345">
        <f>+'MMW Output'!F32</f>
        <v>59.975999999999999</v>
      </c>
      <c r="F13" s="282"/>
      <c r="G13" s="354">
        <f t="shared" si="0"/>
        <v>19723.945500000002</v>
      </c>
      <c r="H13" s="275"/>
    </row>
    <row r="14" spans="1:14" ht="22.5" customHeight="1">
      <c r="A14" s="283" t="s">
        <v>20</v>
      </c>
      <c r="B14" s="339">
        <f>+'MMW Output'!C33</f>
        <v>293.82716049382714</v>
      </c>
      <c r="C14" s="339">
        <f>+'MMW Output'!D33</f>
        <v>7.9404254999999999</v>
      </c>
      <c r="D14" s="339">
        <f>+'MMW Output'!E33</f>
        <v>327.88349999999997</v>
      </c>
      <c r="E14" s="345">
        <f>+'MMW Output'!F33</f>
        <v>33.736499999999999</v>
      </c>
      <c r="G14" s="355">
        <f t="shared" si="0"/>
        <v>15880.851000000001</v>
      </c>
      <c r="H14" s="275"/>
      <c r="I14" s="276" t="s">
        <v>200</v>
      </c>
      <c r="N14" s="280" t="s">
        <v>201</v>
      </c>
    </row>
    <row r="15" spans="1:14" ht="15.75" customHeight="1">
      <c r="A15" s="283" t="s">
        <v>21</v>
      </c>
      <c r="B15" s="339">
        <f>+'MMW Output'!C34</f>
        <v>79.012345679012341</v>
      </c>
      <c r="C15" s="339">
        <f>+'MMW Output'!D34</f>
        <v>2.1564900000000002</v>
      </c>
      <c r="D15" s="339">
        <f>+'MMW Output'!E34</f>
        <v>89.081999999999994</v>
      </c>
      <c r="E15" s="345">
        <f>+'MMW Output'!F34</f>
        <v>9.261000000000001</v>
      </c>
      <c r="G15" s="355">
        <f t="shared" si="0"/>
        <v>4312.9800000000005</v>
      </c>
      <c r="H15" s="275"/>
      <c r="I15" s="273" t="s">
        <v>195</v>
      </c>
      <c r="J15" s="376">
        <f>B4</f>
        <v>323.45679012345676</v>
      </c>
      <c r="N15" s="280" t="s">
        <v>202</v>
      </c>
    </row>
    <row r="16" spans="1:14">
      <c r="A16" s="283" t="s">
        <v>22</v>
      </c>
      <c r="B16" s="339">
        <f>+'MMW Output'!C35</f>
        <v>0</v>
      </c>
      <c r="C16" s="339">
        <f>+'MMW Output'!D35</f>
        <v>0</v>
      </c>
      <c r="D16" s="339">
        <f>+'MMW Output'!E35</f>
        <v>0</v>
      </c>
      <c r="E16" s="345">
        <f>+'MMW Output'!F35</f>
        <v>0</v>
      </c>
      <c r="G16" s="355">
        <f t="shared" si="0"/>
        <v>0</v>
      </c>
      <c r="H16" s="275"/>
      <c r="I16" s="273" t="s">
        <v>203</v>
      </c>
      <c r="J16" s="376">
        <v>10</v>
      </c>
      <c r="N16" s="280" t="s">
        <v>204</v>
      </c>
    </row>
    <row r="17" spans="1:14">
      <c r="A17" s="283" t="s">
        <v>23</v>
      </c>
      <c r="B17" s="339">
        <f>+'MMW Output'!C36</f>
        <v>0</v>
      </c>
      <c r="C17" s="339">
        <f>+'MMW Output'!D36</f>
        <v>0</v>
      </c>
      <c r="D17" s="339">
        <f>+'MMW Output'!E36</f>
        <v>0</v>
      </c>
      <c r="E17" s="345">
        <f>+'MMW Output'!F36</f>
        <v>0</v>
      </c>
      <c r="G17" s="355">
        <f t="shared" si="0"/>
        <v>0</v>
      </c>
      <c r="H17" s="275"/>
      <c r="I17" s="273" t="s">
        <v>205</v>
      </c>
      <c r="J17" s="273">
        <f>(J16*5280*100)/43560</f>
        <v>121.21212121212122</v>
      </c>
    </row>
    <row r="18" spans="1:14">
      <c r="A18" s="284" t="s">
        <v>24</v>
      </c>
      <c r="B18" s="339">
        <f>+'MMW Output'!C37</f>
        <v>0</v>
      </c>
      <c r="C18" s="339">
        <f>+'MMW Output'!D37</f>
        <v>0</v>
      </c>
      <c r="D18" s="339">
        <f>+'MMW Output'!E37</f>
        <v>0</v>
      </c>
      <c r="E18" s="349">
        <f>+'MMW Output'!F37</f>
        <v>0</v>
      </c>
      <c r="F18" s="285"/>
      <c r="G18" s="356">
        <f t="shared" si="0"/>
        <v>0</v>
      </c>
      <c r="H18" s="275"/>
      <c r="I18" s="273" t="s">
        <v>197</v>
      </c>
      <c r="J18" s="273">
        <f>J17*2</f>
        <v>242.42424242424244</v>
      </c>
    </row>
    <row r="19" spans="1:14" ht="15" customHeight="1">
      <c r="A19" s="281" t="s">
        <v>25</v>
      </c>
      <c r="B19" s="340" t="s">
        <v>26</v>
      </c>
      <c r="C19" s="338">
        <f>+'MMW Output'!D38</f>
        <v>0</v>
      </c>
      <c r="D19" s="338">
        <f>+'MMW Output'!E38</f>
        <v>629.30700000000002</v>
      </c>
      <c r="E19" s="345">
        <f>+'MMW Output'!F38</f>
        <v>165.375</v>
      </c>
      <c r="F19" s="282"/>
      <c r="G19" s="354"/>
      <c r="H19" s="275"/>
      <c r="I19" s="273" t="s">
        <v>273</v>
      </c>
      <c r="J19" s="273">
        <v>0.54</v>
      </c>
      <c r="K19" s="312">
        <v>0.41</v>
      </c>
      <c r="L19" s="312">
        <v>0.4</v>
      </c>
    </row>
    <row r="20" spans="1:14" ht="15" customHeight="1">
      <c r="A20" s="283" t="s">
        <v>27</v>
      </c>
      <c r="B20" s="341" t="s">
        <v>26</v>
      </c>
      <c r="C20" s="339">
        <f>+'MMW Output'!D39</f>
        <v>0</v>
      </c>
      <c r="D20" s="339">
        <f>+'MMW Output'!E39</f>
        <v>0</v>
      </c>
      <c r="E20" s="345">
        <f>+'MMW Output'!F39</f>
        <v>0</v>
      </c>
      <c r="G20" s="355">
        <f>C20*2000</f>
        <v>0</v>
      </c>
      <c r="H20" s="275"/>
      <c r="I20" s="280" t="s">
        <v>280</v>
      </c>
      <c r="J20" s="280">
        <f>((J18/J15)*J19*G4)+(J17*(C31-C32))</f>
        <v>737608.07300353725</v>
      </c>
      <c r="K20" s="280">
        <f>((J18/J15)*K19*D4)+(J17*(D31-D32))</f>
        <v>2319.4389601788707</v>
      </c>
      <c r="L20" s="280">
        <f>((J18/J15)*L19*E4)+(J17*(E31-E32))</f>
        <v>993.1765655753527</v>
      </c>
    </row>
    <row r="21" spans="1:14" s="287" customFormat="1" ht="15" customHeight="1">
      <c r="A21" s="336" t="s">
        <v>206</v>
      </c>
      <c r="B21" s="342" t="s">
        <v>26</v>
      </c>
      <c r="C21" s="339">
        <f>+'MMW Output'!D40</f>
        <v>707.203035</v>
      </c>
      <c r="D21" s="339">
        <f>+'MMW Output'!E40</f>
        <v>813.64499999999998</v>
      </c>
      <c r="E21" s="345">
        <f>+'MMW Output'!F40</f>
        <v>476.28000000000003</v>
      </c>
      <c r="F21" s="313"/>
      <c r="G21" s="357">
        <f>C21*2000</f>
        <v>1414406.07</v>
      </c>
      <c r="H21" s="286"/>
      <c r="K21" s="313"/>
      <c r="L21" s="313"/>
    </row>
    <row r="22" spans="1:14" s="313" customFormat="1" ht="15" customHeight="1">
      <c r="A22" s="336" t="s">
        <v>29</v>
      </c>
      <c r="B22" s="342"/>
      <c r="C22" s="339">
        <f>+'MMW Output'!D41</f>
        <v>0</v>
      </c>
      <c r="D22" s="339">
        <f>+'MMW Output'!E41</f>
        <v>21699.846000000001</v>
      </c>
      <c r="E22" s="345">
        <f>+'MMW Output'!F41</f>
        <v>295.911</v>
      </c>
      <c r="G22" s="357"/>
      <c r="H22" s="286"/>
      <c r="I22" s="289" t="s">
        <v>208</v>
      </c>
      <c r="J22" s="287"/>
      <c r="M22" s="287"/>
      <c r="N22" s="287"/>
    </row>
    <row r="23" spans="1:14" s="313" customFormat="1" ht="15" customHeight="1">
      <c r="A23" s="336" t="s">
        <v>30</v>
      </c>
      <c r="B23" s="342"/>
      <c r="C23" s="339">
        <f>+'MMW Output'!D42</f>
        <v>0</v>
      </c>
      <c r="D23" s="339">
        <f>+'MMW Output'!E42</f>
        <v>495.46350000000001</v>
      </c>
      <c r="E23" s="345">
        <f>+'MMW Output'!F42</f>
        <v>352.8</v>
      </c>
      <c r="G23" s="357"/>
      <c r="H23" s="286"/>
      <c r="I23" s="273"/>
      <c r="J23" s="273"/>
      <c r="K23" s="312"/>
      <c r="L23" s="312"/>
      <c r="M23" s="273"/>
      <c r="N23" s="273"/>
    </row>
    <row r="24" spans="1:14" s="313" customFormat="1" ht="15" customHeight="1" thickBot="1">
      <c r="A24" s="336" t="s">
        <v>31</v>
      </c>
      <c r="B24" s="342"/>
      <c r="C24" s="339">
        <f>+'MMW Output'!D43</f>
        <v>0</v>
      </c>
      <c r="D24" s="339">
        <f>+'MMW Output'!E43</f>
        <v>920.14650000000006</v>
      </c>
      <c r="E24" s="349">
        <f>+'MMW Output'!F43</f>
        <v>0</v>
      </c>
      <c r="G24" s="357"/>
      <c r="H24" s="286"/>
      <c r="I24" s="299" t="s">
        <v>267</v>
      </c>
      <c r="J24" s="298"/>
      <c r="K24" s="298"/>
      <c r="L24" s="298"/>
      <c r="M24" s="273"/>
      <c r="N24" s="273"/>
    </row>
    <row r="25" spans="1:14" s="287" customFormat="1" ht="15" customHeight="1" thickBot="1">
      <c r="A25" s="288" t="s">
        <v>207</v>
      </c>
      <c r="B25" s="343">
        <f>SUM(B3:B21)</f>
        <v>4469.1358024691353</v>
      </c>
      <c r="C25" s="343">
        <f t="shared" ref="C25" si="1">SUM(C3:C21)</f>
        <v>1376.0343292499999</v>
      </c>
      <c r="D25" s="343">
        <f>SUM(D3:D24)</f>
        <v>30911.233500000002</v>
      </c>
      <c r="E25" s="350">
        <f>SUM(E3:E24)</f>
        <v>3784.2210000000005</v>
      </c>
      <c r="F25" s="347"/>
      <c r="G25" s="346">
        <f>SUM(G3:G21)</f>
        <v>2752068.6584999999</v>
      </c>
      <c r="H25" s="286"/>
      <c r="I25" s="273" t="s">
        <v>214</v>
      </c>
      <c r="J25" s="298">
        <v>500</v>
      </c>
      <c r="K25" s="298"/>
      <c r="L25" s="298"/>
      <c r="M25" s="273"/>
      <c r="N25" s="273"/>
    </row>
    <row r="26" spans="1:14" ht="15" customHeight="1">
      <c r="A26" s="436" t="s">
        <v>209</v>
      </c>
      <c r="B26" s="437"/>
      <c r="C26" s="437"/>
      <c r="H26" s="275"/>
      <c r="I26" s="273" t="s">
        <v>215</v>
      </c>
      <c r="J26" s="298">
        <v>115</v>
      </c>
      <c r="K26" s="373">
        <v>0.192</v>
      </c>
      <c r="L26" s="373">
        <v>0.17399999999999999</v>
      </c>
    </row>
    <row r="27" spans="1:14" s="287" customFormat="1" ht="15" customHeight="1">
      <c r="A27" s="438" t="s">
        <v>308</v>
      </c>
      <c r="B27" s="439"/>
      <c r="C27" s="439"/>
      <c r="D27" s="290"/>
      <c r="E27" s="290"/>
      <c r="G27" s="290"/>
      <c r="H27" s="286"/>
      <c r="I27" s="273" t="s">
        <v>275</v>
      </c>
      <c r="J27" s="298">
        <f>J25*J26</f>
        <v>57500</v>
      </c>
      <c r="K27" s="298">
        <f>J25*K26</f>
        <v>96</v>
      </c>
      <c r="L27" s="298">
        <f>J25*L26</f>
        <v>87</v>
      </c>
      <c r="M27" s="273"/>
      <c r="N27" s="273"/>
    </row>
    <row r="28" spans="1:14" s="287" customFormat="1" ht="15" customHeight="1" thickBot="1">
      <c r="A28" s="291" t="s">
        <v>210</v>
      </c>
      <c r="B28" s="291" t="s">
        <v>211</v>
      </c>
      <c r="C28" s="290"/>
      <c r="D28" s="290"/>
      <c r="E28" s="290"/>
      <c r="G28" s="290"/>
      <c r="H28" s="286"/>
      <c r="I28" s="273"/>
      <c r="J28" s="298"/>
      <c r="K28" s="298"/>
      <c r="L28" s="298"/>
      <c r="M28" s="273"/>
      <c r="N28" s="273"/>
    </row>
    <row r="29" spans="1:14" s="287" customFormat="1" ht="29.25" customHeight="1" thickBot="1">
      <c r="A29" s="292" t="s">
        <v>212</v>
      </c>
      <c r="B29" s="293">
        <f>SUM(B30:B39)</f>
        <v>2096.2962962962961</v>
      </c>
      <c r="C29" s="294" t="s">
        <v>213</v>
      </c>
      <c r="D29" s="294" t="s">
        <v>283</v>
      </c>
      <c r="E29" s="294" t="s">
        <v>284</v>
      </c>
      <c r="F29" s="295"/>
      <c r="G29" s="294"/>
      <c r="H29" s="286"/>
      <c r="I29" s="351" t="s">
        <v>268</v>
      </c>
      <c r="K29" s="313"/>
      <c r="L29" s="313"/>
    </row>
    <row r="30" spans="1:14" s="287" customFormat="1" ht="15" customHeight="1">
      <c r="A30" s="296" t="s">
        <v>9</v>
      </c>
      <c r="B30" s="297">
        <f t="shared" ref="B30:B39" si="2">B3</f>
        <v>1180.2469135802469</v>
      </c>
      <c r="C30" s="287">
        <f>G3/B30</f>
        <v>286.70698402719665</v>
      </c>
      <c r="D30" s="287">
        <f>D3/B30</f>
        <v>1.4783487081589959</v>
      </c>
      <c r="E30" s="287">
        <f>E3/B30</f>
        <v>0.7566425209205021</v>
      </c>
      <c r="G30" s="290"/>
      <c r="H30" s="286"/>
      <c r="I30" s="287" t="s">
        <v>269</v>
      </c>
      <c r="J30" s="287">
        <v>0.1</v>
      </c>
      <c r="K30" s="313"/>
      <c r="L30" s="313"/>
    </row>
    <row r="31" spans="1:14" s="287" customFormat="1">
      <c r="A31" s="296" t="s">
        <v>10</v>
      </c>
      <c r="B31" s="297">
        <f t="shared" si="2"/>
        <v>323.45679012345676</v>
      </c>
      <c r="C31" s="313">
        <f t="shared" ref="C31:C39" si="3">G4/B31</f>
        <v>2927.2002920038171</v>
      </c>
      <c r="D31" s="313">
        <f t="shared" ref="D31:D39" si="4">D4/B31</f>
        <v>10.59291257633588</v>
      </c>
      <c r="E31" s="313">
        <f t="shared" ref="E31:E39" si="5">E4/B31</f>
        <v>4.5585176908396949</v>
      </c>
      <c r="G31" s="290"/>
      <c r="H31" s="286"/>
      <c r="I31" s="287" t="s">
        <v>274</v>
      </c>
      <c r="J31" s="287">
        <f>J30*J27</f>
        <v>5750</v>
      </c>
      <c r="K31" s="313">
        <f>J30*K27</f>
        <v>9.6000000000000014</v>
      </c>
      <c r="L31" s="313">
        <f>J30*L27</f>
        <v>8.7000000000000011</v>
      </c>
    </row>
    <row r="32" spans="1:14" s="287" customFormat="1" ht="15" customHeight="1">
      <c r="A32" s="296" t="s">
        <v>11</v>
      </c>
      <c r="B32" s="297">
        <f t="shared" si="2"/>
        <v>417.28395061728395</v>
      </c>
      <c r="C32" s="313">
        <f t="shared" si="3"/>
        <v>3.3100050887573964</v>
      </c>
      <c r="D32" s="313">
        <f t="shared" si="4"/>
        <v>0.14372946745562129</v>
      </c>
      <c r="E32" s="313">
        <f t="shared" si="5"/>
        <v>1.1625177514792901E-2</v>
      </c>
      <c r="G32" s="290"/>
      <c r="H32" s="286"/>
      <c r="K32" s="313"/>
      <c r="L32" s="313"/>
    </row>
    <row r="33" spans="1:14" s="287" customFormat="1" ht="15" customHeight="1">
      <c r="A33" s="296" t="s">
        <v>12</v>
      </c>
      <c r="B33" s="297">
        <f t="shared" si="2"/>
        <v>14.814814814814813</v>
      </c>
      <c r="C33" s="313">
        <f t="shared" si="3"/>
        <v>4.4353575000000003</v>
      </c>
      <c r="D33" s="313">
        <f t="shared" si="4"/>
        <v>0.41674500000000003</v>
      </c>
      <c r="E33" s="313">
        <f t="shared" si="5"/>
        <v>2.9767500000000006E-2</v>
      </c>
      <c r="G33" s="290"/>
      <c r="H33" s="286"/>
      <c r="I33" s="280" t="s">
        <v>276</v>
      </c>
      <c r="J33" s="300">
        <f>J27+J31</f>
        <v>63250</v>
      </c>
      <c r="K33" s="300">
        <f t="shared" ref="K33:L33" si="6">K27+K31</f>
        <v>105.6</v>
      </c>
      <c r="L33" s="300">
        <f t="shared" si="6"/>
        <v>95.7</v>
      </c>
      <c r="M33" s="273"/>
      <c r="N33" s="273"/>
    </row>
    <row r="34" spans="1:14" s="287" customFormat="1" ht="15" customHeight="1">
      <c r="A34" s="296" t="s">
        <v>13</v>
      </c>
      <c r="B34" s="297">
        <f t="shared" si="2"/>
        <v>0</v>
      </c>
      <c r="C34" s="313" t="e">
        <f t="shared" si="3"/>
        <v>#DIV/0!</v>
      </c>
      <c r="D34" s="313" t="e">
        <f t="shared" si="4"/>
        <v>#DIV/0!</v>
      </c>
      <c r="E34" s="313" t="e">
        <f t="shared" si="5"/>
        <v>#DIV/0!</v>
      </c>
      <c r="G34" s="290"/>
      <c r="H34" s="286"/>
      <c r="I34" s="273"/>
      <c r="J34" s="298"/>
      <c r="K34" s="298"/>
      <c r="L34" s="298"/>
      <c r="M34" s="273"/>
      <c r="N34" s="273"/>
    </row>
    <row r="35" spans="1:14" s="287" customFormat="1" ht="15" customHeight="1">
      <c r="A35" s="296" t="s">
        <v>14</v>
      </c>
      <c r="B35" s="297">
        <f t="shared" si="2"/>
        <v>0</v>
      </c>
      <c r="C35" s="313" t="e">
        <f t="shared" si="3"/>
        <v>#DIV/0!</v>
      </c>
      <c r="D35" s="313" t="e">
        <f t="shared" si="4"/>
        <v>#DIV/0!</v>
      </c>
      <c r="E35" s="313" t="e">
        <f t="shared" si="5"/>
        <v>#DIV/0!</v>
      </c>
      <c r="G35" s="290"/>
      <c r="H35" s="286"/>
      <c r="I35" s="276" t="s">
        <v>217</v>
      </c>
      <c r="J35" s="298"/>
      <c r="K35" s="298"/>
      <c r="L35" s="298"/>
      <c r="M35" s="273"/>
      <c r="N35" s="273"/>
    </row>
    <row r="36" spans="1:14" s="287" customFormat="1" ht="15" customHeight="1">
      <c r="A36" s="296" t="s">
        <v>15</v>
      </c>
      <c r="B36" s="297">
        <f t="shared" si="2"/>
        <v>111.1111111111111</v>
      </c>
      <c r="C36" s="313">
        <f t="shared" si="3"/>
        <v>98.699107500000025</v>
      </c>
      <c r="D36" s="313">
        <f t="shared" si="4"/>
        <v>1.2204675000000003</v>
      </c>
      <c r="E36" s="313">
        <f t="shared" si="5"/>
        <v>0.15280650000000001</v>
      </c>
      <c r="G36" s="290"/>
      <c r="H36" s="286"/>
      <c r="I36" s="273" t="s">
        <v>195</v>
      </c>
      <c r="J36" s="298">
        <f>B3</f>
        <v>1180.2469135802469</v>
      </c>
      <c r="K36" s="298"/>
      <c r="L36" s="298"/>
      <c r="M36" s="273"/>
      <c r="N36" s="273"/>
    </row>
    <row r="37" spans="1:14" s="287" customFormat="1" ht="15" customHeight="1">
      <c r="A37" s="296" t="s">
        <v>16</v>
      </c>
      <c r="B37" s="297">
        <f t="shared" si="2"/>
        <v>49.382716049382715</v>
      </c>
      <c r="C37" s="313">
        <f t="shared" si="3"/>
        <v>2.50047</v>
      </c>
      <c r="D37" s="313">
        <f t="shared" si="4"/>
        <v>0.60725700000000005</v>
      </c>
      <c r="E37" s="313">
        <f t="shared" si="5"/>
        <v>2.2325625000000002E-2</v>
      </c>
      <c r="G37" s="290"/>
      <c r="H37" s="286"/>
      <c r="I37" s="273" t="s">
        <v>197</v>
      </c>
      <c r="J37" s="298">
        <v>480</v>
      </c>
      <c r="K37" s="298"/>
      <c r="L37" s="298"/>
      <c r="M37" s="273"/>
      <c r="N37" s="273"/>
    </row>
    <row r="38" spans="1:14" s="287" customFormat="1" ht="15" customHeight="1">
      <c r="A38" s="296" t="s">
        <v>17</v>
      </c>
      <c r="B38" s="297">
        <f t="shared" si="2"/>
        <v>0</v>
      </c>
      <c r="C38" s="313" t="e">
        <f t="shared" si="3"/>
        <v>#DIV/0!</v>
      </c>
      <c r="D38" s="313" t="e">
        <f t="shared" si="4"/>
        <v>#DIV/0!</v>
      </c>
      <c r="E38" s="313" t="e">
        <f t="shared" si="5"/>
        <v>#DIV/0!</v>
      </c>
      <c r="G38" s="290"/>
      <c r="H38" s="286"/>
      <c r="I38" s="273" t="s">
        <v>218</v>
      </c>
      <c r="J38" s="298">
        <v>0.3</v>
      </c>
      <c r="K38" s="298">
        <v>0.3</v>
      </c>
      <c r="L38" s="298">
        <v>0.3</v>
      </c>
      <c r="M38" s="273"/>
      <c r="N38" s="273"/>
    </row>
    <row r="39" spans="1:14" ht="16" thickBot="1">
      <c r="A39" s="296" t="s">
        <v>18</v>
      </c>
      <c r="B39" s="360">
        <f t="shared" si="2"/>
        <v>0</v>
      </c>
      <c r="C39" s="313" t="e">
        <f t="shared" si="3"/>
        <v>#DIV/0!</v>
      </c>
      <c r="D39" s="313" t="e">
        <f t="shared" si="4"/>
        <v>#DIV/0!</v>
      </c>
      <c r="E39" s="313" t="e">
        <f t="shared" si="5"/>
        <v>#DIV/0!</v>
      </c>
      <c r="H39" s="275"/>
      <c r="I39" s="280" t="s">
        <v>280</v>
      </c>
      <c r="J39" s="300">
        <f>(J37/J36)*J38*G3</f>
        <v>41285.805699916316</v>
      </c>
      <c r="K39" s="300">
        <f>(J37/J36)*K38*D3</f>
        <v>212.88221397489539</v>
      </c>
      <c r="L39" s="300">
        <f>(J37/J36)*L38*E3</f>
        <v>108.95652301255231</v>
      </c>
    </row>
    <row r="40" spans="1:14" s="312" customFormat="1" ht="31.5" customHeight="1">
      <c r="A40" s="359"/>
      <c r="B40" s="313"/>
      <c r="C40" s="274"/>
      <c r="D40" s="274"/>
      <c r="E40" s="274"/>
      <c r="G40" s="274"/>
      <c r="H40" s="275"/>
      <c r="J40" s="298"/>
      <c r="K40" s="298"/>
      <c r="L40" s="298"/>
    </row>
    <row r="41" spans="1:14">
      <c r="A41" s="312"/>
      <c r="B41" s="312"/>
      <c r="F41" s="312"/>
      <c r="H41" s="275"/>
      <c r="I41" s="276" t="s">
        <v>219</v>
      </c>
      <c r="J41" s="298"/>
      <c r="K41" s="298"/>
      <c r="L41" s="298"/>
    </row>
    <row r="42" spans="1:14">
      <c r="A42" s="312"/>
      <c r="B42" s="312"/>
      <c r="C42" s="280" t="s">
        <v>289</v>
      </c>
      <c r="D42" s="280">
        <v>20000</v>
      </c>
      <c r="E42" s="363" t="s">
        <v>288</v>
      </c>
      <c r="F42" s="312"/>
      <c r="H42" s="275"/>
      <c r="I42" s="273" t="s">
        <v>195</v>
      </c>
      <c r="J42" s="298">
        <f>B4</f>
        <v>323.45679012345676</v>
      </c>
      <c r="K42" s="298"/>
      <c r="L42" s="298"/>
    </row>
    <row r="43" spans="1:14">
      <c r="A43" s="312"/>
      <c r="B43" s="312"/>
      <c r="C43" s="280" t="s">
        <v>216</v>
      </c>
      <c r="D43" s="280">
        <v>11000</v>
      </c>
      <c r="E43" s="363" t="s">
        <v>288</v>
      </c>
      <c r="F43" s="312"/>
      <c r="H43" s="275"/>
      <c r="I43" s="273" t="s">
        <v>220</v>
      </c>
      <c r="J43" s="298">
        <v>200</v>
      </c>
      <c r="K43" s="298"/>
      <c r="L43" s="298"/>
    </row>
    <row r="44" spans="1:14">
      <c r="A44" s="312"/>
      <c r="B44" s="312"/>
      <c r="C44" s="280"/>
      <c r="D44" s="280"/>
      <c r="E44" s="363"/>
      <c r="F44" s="312"/>
      <c r="H44" s="275"/>
      <c r="I44" s="280" t="s">
        <v>280</v>
      </c>
      <c r="J44" s="300">
        <f>(C31-C32)*J43</f>
        <v>584778.05738301191</v>
      </c>
      <c r="K44" s="300">
        <f>(D31-D32)*J43</f>
        <v>2089.8366217760517</v>
      </c>
      <c r="L44" s="300">
        <f>(E31-E32)*J43</f>
        <v>909.37850266498049</v>
      </c>
    </row>
    <row r="45" spans="1:14">
      <c r="A45" s="312"/>
      <c r="B45" s="312"/>
      <c r="C45" s="280"/>
      <c r="D45" s="280"/>
      <c r="F45" s="312"/>
      <c r="H45" s="275"/>
      <c r="J45" s="298"/>
      <c r="K45" s="298"/>
      <c r="L45" s="298"/>
    </row>
    <row r="46" spans="1:14">
      <c r="A46" s="312"/>
      <c r="B46" s="312"/>
      <c r="F46" s="312"/>
      <c r="H46" s="275"/>
      <c r="I46" s="276" t="s">
        <v>221</v>
      </c>
      <c r="J46" s="298"/>
      <c r="K46" s="298"/>
      <c r="L46" s="298"/>
    </row>
    <row r="47" spans="1:14">
      <c r="A47" s="313"/>
      <c r="B47" s="313"/>
      <c r="F47" s="312"/>
      <c r="H47" s="275"/>
      <c r="I47" s="273" t="s">
        <v>222</v>
      </c>
      <c r="J47" s="298">
        <f>D42</f>
        <v>20000</v>
      </c>
      <c r="K47" s="298"/>
      <c r="L47" s="298"/>
    </row>
    <row r="48" spans="1:14">
      <c r="A48" s="313"/>
      <c r="B48" s="313"/>
      <c r="F48" s="312"/>
      <c r="H48" s="275"/>
      <c r="I48" s="273" t="s">
        <v>214</v>
      </c>
      <c r="J48" s="298">
        <v>10000</v>
      </c>
      <c r="K48" s="298"/>
      <c r="L48" s="298"/>
    </row>
    <row r="49" spans="1:12">
      <c r="A49" s="313"/>
      <c r="B49" s="313"/>
      <c r="F49" s="312"/>
      <c r="H49" s="275"/>
      <c r="I49" s="273" t="s">
        <v>223</v>
      </c>
      <c r="J49" s="298">
        <v>115</v>
      </c>
      <c r="K49" s="298">
        <v>0.192</v>
      </c>
      <c r="L49" s="298">
        <v>0.17399999999999999</v>
      </c>
    </row>
    <row r="50" spans="1:12">
      <c r="A50" s="312"/>
      <c r="B50" s="313"/>
      <c r="F50" s="312"/>
      <c r="H50" s="275"/>
      <c r="I50" s="280" t="s">
        <v>280</v>
      </c>
      <c r="J50" s="300">
        <f>J48*J49</f>
        <v>1150000</v>
      </c>
      <c r="K50" s="300">
        <f>J48*K49</f>
        <v>1920</v>
      </c>
      <c r="L50" s="300">
        <f>J48*L49</f>
        <v>1739.9999999999998</v>
      </c>
    </row>
    <row r="51" spans="1:12">
      <c r="A51" s="312"/>
      <c r="B51" s="312"/>
      <c r="C51" s="312"/>
      <c r="D51" s="312"/>
      <c r="E51" s="312"/>
      <c r="F51" s="312"/>
      <c r="G51" s="312"/>
      <c r="H51" s="275"/>
      <c r="I51" s="280"/>
      <c r="J51" s="300"/>
      <c r="K51" s="300"/>
      <c r="L51" s="300"/>
    </row>
    <row r="52" spans="1:12">
      <c r="A52" s="312"/>
      <c r="B52" s="312"/>
      <c r="C52" s="312"/>
      <c r="D52" s="312"/>
      <c r="E52" s="312"/>
      <c r="F52" s="312"/>
      <c r="G52" s="312"/>
      <c r="H52" s="275"/>
      <c r="I52" s="301" t="s">
        <v>224</v>
      </c>
      <c r="J52" s="300"/>
      <c r="K52" s="300"/>
      <c r="L52" s="300"/>
    </row>
    <row r="53" spans="1:12">
      <c r="B53" s="273"/>
      <c r="C53" s="273"/>
      <c r="D53" s="273"/>
      <c r="E53" s="273"/>
      <c r="G53" s="273"/>
      <c r="H53" s="275"/>
      <c r="I53" s="302" t="s">
        <v>195</v>
      </c>
      <c r="J53" s="303">
        <f>B4</f>
        <v>323.45679012345676</v>
      </c>
      <c r="K53" s="303"/>
      <c r="L53" s="303"/>
    </row>
    <row r="54" spans="1:12">
      <c r="B54" s="273"/>
      <c r="E54" s="273"/>
      <c r="G54" s="273"/>
      <c r="H54" s="275"/>
      <c r="I54" s="302" t="s">
        <v>197</v>
      </c>
      <c r="J54" s="303">
        <v>1000</v>
      </c>
      <c r="K54" s="303"/>
      <c r="L54" s="303"/>
    </row>
    <row r="55" spans="1:12">
      <c r="B55" s="273"/>
      <c r="E55" s="273"/>
      <c r="G55" s="273"/>
      <c r="H55" s="275"/>
      <c r="I55" s="302" t="s">
        <v>273</v>
      </c>
      <c r="J55" s="303">
        <v>0.16</v>
      </c>
      <c r="K55" s="303">
        <v>0.05</v>
      </c>
      <c r="L55" s="303">
        <v>0.1</v>
      </c>
    </row>
    <row r="56" spans="1:12">
      <c r="B56" s="273"/>
      <c r="E56" s="273"/>
      <c r="G56" s="273"/>
      <c r="H56" s="275"/>
      <c r="I56" s="280" t="s">
        <v>280</v>
      </c>
      <c r="J56" s="300">
        <f>(J54/J53)*J55*G4</f>
        <v>468352.04672061076</v>
      </c>
      <c r="K56" s="300">
        <f>(J54/J53)*K55*D4</f>
        <v>529.64562881679399</v>
      </c>
      <c r="L56" s="300">
        <f>(J54/J53)*L55*E4</f>
        <v>455.85176908396949</v>
      </c>
    </row>
    <row r="57" spans="1:12">
      <c r="B57" s="273"/>
      <c r="E57" s="273"/>
      <c r="G57" s="273"/>
      <c r="H57" s="275"/>
      <c r="I57" s="280"/>
      <c r="J57" s="300"/>
      <c r="K57" s="300"/>
      <c r="L57" s="300"/>
    </row>
    <row r="58" spans="1:12">
      <c r="B58" s="273"/>
      <c r="C58" s="273"/>
      <c r="D58" s="273"/>
      <c r="E58" s="273"/>
      <c r="G58" s="273"/>
      <c r="H58" s="275"/>
      <c r="I58" s="301" t="s">
        <v>225</v>
      </c>
      <c r="J58" s="300"/>
      <c r="K58" s="300"/>
      <c r="L58" s="300"/>
    </row>
    <row r="59" spans="1:12">
      <c r="B59" s="273"/>
      <c r="C59" s="273"/>
      <c r="D59" s="273"/>
      <c r="E59" s="273"/>
      <c r="G59" s="273"/>
      <c r="H59" s="275"/>
      <c r="I59" s="302" t="s">
        <v>222</v>
      </c>
      <c r="J59" s="303">
        <f>D43</f>
        <v>11000</v>
      </c>
      <c r="K59" s="303"/>
      <c r="L59" s="303"/>
    </row>
    <row r="60" spans="1:12">
      <c r="A60" s="304"/>
      <c r="B60" s="273"/>
      <c r="C60" s="273"/>
      <c r="D60" s="273"/>
      <c r="E60" s="273"/>
      <c r="G60" s="273"/>
      <c r="H60" s="275"/>
      <c r="I60" s="302" t="s">
        <v>226</v>
      </c>
      <c r="J60" s="303">
        <v>5280</v>
      </c>
      <c r="K60" s="303"/>
      <c r="L60" s="303"/>
    </row>
    <row r="61" spans="1:12">
      <c r="B61" s="273"/>
      <c r="C61" s="273"/>
      <c r="D61" s="273"/>
      <c r="E61" s="273"/>
      <c r="G61" s="273"/>
      <c r="H61" s="275"/>
      <c r="I61" s="302" t="s">
        <v>279</v>
      </c>
      <c r="J61" s="303">
        <v>2.5499999999999998</v>
      </c>
      <c r="K61" s="303">
        <v>0.02</v>
      </c>
      <c r="L61" s="361">
        <v>3.5000000000000001E-3</v>
      </c>
    </row>
    <row r="62" spans="1:12">
      <c r="B62" s="273"/>
      <c r="C62" s="273"/>
      <c r="D62" s="273"/>
      <c r="E62" s="273"/>
      <c r="G62" s="273"/>
      <c r="H62" s="275"/>
      <c r="I62" s="280" t="s">
        <v>280</v>
      </c>
      <c r="J62" s="300">
        <f>J60*J61</f>
        <v>13463.999999999998</v>
      </c>
      <c r="K62" s="300">
        <f>J60*K61</f>
        <v>105.60000000000001</v>
      </c>
      <c r="L62" s="300">
        <f>J60*L61</f>
        <v>18.48</v>
      </c>
    </row>
    <row r="63" spans="1:12">
      <c r="B63" s="273"/>
      <c r="C63" s="273"/>
      <c r="D63" s="273"/>
      <c r="E63" s="273"/>
      <c r="G63" s="273"/>
      <c r="H63" s="275"/>
      <c r="I63" s="280"/>
      <c r="J63" s="300"/>
      <c r="K63" s="300"/>
      <c r="L63" s="300"/>
    </row>
    <row r="64" spans="1:12">
      <c r="B64" s="273"/>
      <c r="C64" s="273"/>
      <c r="D64" s="273"/>
      <c r="E64" s="273"/>
      <c r="G64" s="273"/>
      <c r="H64" s="275"/>
      <c r="I64" s="276" t="s">
        <v>227</v>
      </c>
      <c r="J64" s="298"/>
      <c r="K64" s="298"/>
      <c r="L64" s="298"/>
    </row>
    <row r="65" spans="2:12" s="312" customFormat="1">
      <c r="H65" s="275"/>
      <c r="I65" s="299" t="s">
        <v>278</v>
      </c>
      <c r="J65" s="298"/>
      <c r="K65" s="298"/>
      <c r="L65" s="298"/>
    </row>
    <row r="66" spans="2:12" s="312" customFormat="1">
      <c r="H66" s="275"/>
      <c r="I66" s="358" t="s">
        <v>195</v>
      </c>
      <c r="J66" s="298">
        <f>B4</f>
        <v>323.45679012345676</v>
      </c>
      <c r="K66" s="298"/>
      <c r="L66" s="298"/>
    </row>
    <row r="67" spans="2:12" s="312" customFormat="1">
      <c r="H67" s="275"/>
      <c r="I67" s="358" t="s">
        <v>197</v>
      </c>
      <c r="J67" s="298">
        <v>10000</v>
      </c>
      <c r="K67" s="298"/>
      <c r="L67" s="298"/>
    </row>
    <row r="68" spans="2:12" s="312" customFormat="1">
      <c r="H68" s="275"/>
      <c r="I68" s="358" t="s">
        <v>273</v>
      </c>
      <c r="J68" s="298">
        <v>0</v>
      </c>
      <c r="K68" s="298">
        <v>0.28999999999999998</v>
      </c>
      <c r="L68" s="298">
        <v>0.44</v>
      </c>
    </row>
    <row r="69" spans="2:12" s="312" customFormat="1">
      <c r="H69" s="275"/>
      <c r="I69" s="312" t="s">
        <v>280</v>
      </c>
      <c r="J69" s="298"/>
      <c r="K69" s="298">
        <f>(J67/J66)*D4*K68</f>
        <v>30719.446471374049</v>
      </c>
      <c r="L69" s="298">
        <f>(J67/J66)*E4*L68</f>
        <v>20057.477839694657</v>
      </c>
    </row>
    <row r="70" spans="2:12" s="312" customFormat="1">
      <c r="H70" s="275"/>
      <c r="I70" s="353"/>
      <c r="J70" s="298"/>
      <c r="K70" s="298"/>
      <c r="L70" s="298"/>
    </row>
    <row r="71" spans="2:12" s="312" customFormat="1">
      <c r="H71" s="275"/>
      <c r="I71" s="299" t="s">
        <v>281</v>
      </c>
      <c r="J71" s="298"/>
      <c r="K71" s="298"/>
      <c r="L71" s="298"/>
    </row>
    <row r="72" spans="2:12" s="312" customFormat="1">
      <c r="H72" s="275"/>
      <c r="I72" s="358" t="s">
        <v>273</v>
      </c>
      <c r="J72" s="298">
        <v>0</v>
      </c>
      <c r="K72" s="298">
        <v>0.15</v>
      </c>
      <c r="L72" s="298">
        <v>0.1</v>
      </c>
    </row>
    <row r="73" spans="2:12" s="312" customFormat="1">
      <c r="H73" s="275"/>
      <c r="I73" s="358" t="s">
        <v>280</v>
      </c>
      <c r="J73" s="298">
        <v>0</v>
      </c>
      <c r="K73" s="298">
        <f>(J67/J66)*D22*K72</f>
        <v>100630.96522900765</v>
      </c>
      <c r="L73" s="298">
        <f>(J67/J66)*E22*L72</f>
        <v>914.83935114503822</v>
      </c>
    </row>
    <row r="74" spans="2:12" s="312" customFormat="1">
      <c r="H74" s="275"/>
      <c r="I74" s="353"/>
      <c r="J74" s="298"/>
      <c r="K74" s="298"/>
      <c r="L74" s="298"/>
    </row>
    <row r="75" spans="2:12" s="312" customFormat="1">
      <c r="H75" s="275"/>
      <c r="I75" s="280" t="s">
        <v>282</v>
      </c>
      <c r="J75" s="300">
        <v>0</v>
      </c>
      <c r="K75" s="300">
        <f>K69+K73</f>
        <v>131350.41170038169</v>
      </c>
      <c r="L75" s="300">
        <f>L69+L73</f>
        <v>20972.317190839694</v>
      </c>
    </row>
    <row r="76" spans="2:12" s="312" customFormat="1">
      <c r="H76" s="275"/>
      <c r="I76" s="353"/>
      <c r="J76" s="298"/>
      <c r="K76" s="298"/>
      <c r="L76" s="298"/>
    </row>
    <row r="77" spans="2:12">
      <c r="B77" s="273"/>
      <c r="C77" s="273"/>
      <c r="D77" s="273"/>
      <c r="E77" s="273"/>
      <c r="G77" s="273"/>
      <c r="H77" s="275"/>
      <c r="J77" s="298"/>
      <c r="K77" s="298"/>
      <c r="L77" s="298"/>
    </row>
    <row r="78" spans="2:12">
      <c r="B78" s="273"/>
      <c r="C78" s="273"/>
      <c r="D78" s="273"/>
      <c r="E78" s="273"/>
      <c r="G78" s="273"/>
      <c r="H78" s="275"/>
      <c r="I78" s="276" t="s">
        <v>228</v>
      </c>
      <c r="J78" s="298"/>
      <c r="K78" s="298"/>
      <c r="L78" s="298"/>
    </row>
    <row r="79" spans="2:12">
      <c r="B79" s="273"/>
      <c r="C79" s="273"/>
      <c r="D79" s="273"/>
      <c r="E79" s="273"/>
      <c r="G79" s="273"/>
      <c r="H79" s="275"/>
      <c r="I79" s="273" t="s">
        <v>285</v>
      </c>
      <c r="J79" s="298">
        <v>0</v>
      </c>
      <c r="K79" s="298">
        <f>D19</f>
        <v>629.30700000000002</v>
      </c>
      <c r="L79" s="298">
        <f>E19</f>
        <v>165.375</v>
      </c>
    </row>
    <row r="80" spans="2:12" s="312" customFormat="1">
      <c r="H80" s="275"/>
      <c r="I80" s="312" t="s">
        <v>286</v>
      </c>
      <c r="J80" s="298">
        <v>0</v>
      </c>
      <c r="K80" s="298">
        <v>0.5</v>
      </c>
      <c r="L80" s="298">
        <v>0.5</v>
      </c>
    </row>
    <row r="81" spans="2:13" s="312" customFormat="1">
      <c r="H81" s="275"/>
      <c r="I81" s="312" t="s">
        <v>273</v>
      </c>
      <c r="J81" s="298">
        <v>0</v>
      </c>
      <c r="K81" s="298">
        <v>0.75</v>
      </c>
      <c r="L81" s="298">
        <v>0.75</v>
      </c>
    </row>
    <row r="82" spans="2:13" s="312" customFormat="1">
      <c r="H82" s="275"/>
      <c r="I82" s="280" t="s">
        <v>280</v>
      </c>
      <c r="J82" s="298"/>
      <c r="K82" s="300">
        <f>K79*K80*K81</f>
        <v>235.99012500000001</v>
      </c>
      <c r="L82" s="300">
        <f>L79*L80*L81</f>
        <v>62.015625</v>
      </c>
    </row>
    <row r="83" spans="2:13" s="312" customFormat="1">
      <c r="H83" s="275"/>
      <c r="J83" s="298"/>
      <c r="K83" s="298"/>
      <c r="L83" s="298"/>
    </row>
    <row r="84" spans="2:13" s="312" customFormat="1">
      <c r="H84" s="275"/>
      <c r="J84" s="298"/>
      <c r="K84" s="298"/>
      <c r="L84" s="298"/>
    </row>
    <row r="85" spans="2:13">
      <c r="B85" s="273"/>
      <c r="C85" s="273"/>
      <c r="D85" s="273"/>
      <c r="E85" s="273"/>
      <c r="G85" s="273"/>
      <c r="H85" s="275"/>
      <c r="J85" s="298"/>
      <c r="K85" s="298"/>
      <c r="L85" s="298"/>
    </row>
    <row r="86" spans="2:13">
      <c r="B86" s="273"/>
      <c r="C86" s="273"/>
      <c r="D86" s="273"/>
      <c r="E86" s="273"/>
      <c r="G86" s="273"/>
      <c r="H86" s="275"/>
      <c r="I86" s="304" t="s">
        <v>277</v>
      </c>
      <c r="J86" s="305">
        <f>J5+J12+J20+J33+J39+J44+J50+J56+J62</f>
        <v>22085539.880831886</v>
      </c>
      <c r="K86" s="305">
        <f>K5+K12+K20+K33+K39+K44+K50+K56+K62+K75+K82</f>
        <v>178063.18178257108</v>
      </c>
      <c r="L86" s="305">
        <f>L5+L12+L20+L33+L39+L44+L50+L56+L62+L75+L82</f>
        <v>58177.203550222359</v>
      </c>
    </row>
    <row r="87" spans="2:13">
      <c r="B87" s="273"/>
      <c r="C87" s="273"/>
      <c r="D87" s="273"/>
      <c r="E87" s="273"/>
      <c r="G87" s="273"/>
      <c r="H87" s="275"/>
      <c r="I87" s="362" t="s">
        <v>287</v>
      </c>
      <c r="J87" s="362">
        <f>J86/G25*100</f>
        <v>802.50686379566889</v>
      </c>
      <c r="K87" s="362">
        <f>K86/D25*100</f>
        <v>576.04683353244729</v>
      </c>
      <c r="L87" s="362">
        <f>L86/E25*100</f>
        <v>1537.3627372772983</v>
      </c>
    </row>
    <row r="88" spans="2:13">
      <c r="B88" s="273"/>
      <c r="C88" s="273"/>
      <c r="D88" s="273"/>
      <c r="E88" s="273"/>
      <c r="G88" s="273"/>
      <c r="H88" s="312"/>
    </row>
    <row r="89" spans="2:13">
      <c r="B89" s="273"/>
      <c r="C89" s="273"/>
      <c r="D89" s="273"/>
      <c r="E89" s="273"/>
      <c r="G89" s="273"/>
      <c r="H89" s="312"/>
    </row>
    <row r="90" spans="2:13">
      <c r="B90" s="273"/>
      <c r="C90" s="273"/>
      <c r="D90" s="273"/>
      <c r="E90" s="273"/>
      <c r="G90" s="273"/>
      <c r="H90" s="312"/>
    </row>
    <row r="91" spans="2:13">
      <c r="B91" s="273"/>
      <c r="C91" s="273"/>
      <c r="D91" s="273"/>
      <c r="E91" s="273"/>
      <c r="G91" s="273"/>
      <c r="H91" s="312"/>
      <c r="I91" s="304"/>
      <c r="J91" s="304"/>
      <c r="K91" s="304"/>
      <c r="L91" s="304"/>
      <c r="M91" s="304"/>
    </row>
    <row r="92" spans="2:13">
      <c r="B92" s="273"/>
      <c r="C92" s="273"/>
      <c r="D92" s="273"/>
      <c r="E92" s="273"/>
      <c r="G92" s="273"/>
      <c r="H92" s="312"/>
      <c r="I92" s="304"/>
      <c r="J92" s="304"/>
      <c r="K92" s="304"/>
      <c r="L92" s="304"/>
      <c r="M92" s="304"/>
    </row>
    <row r="93" spans="2:13">
      <c r="B93" s="273"/>
      <c r="C93" s="273"/>
      <c r="D93" s="273"/>
      <c r="E93" s="273"/>
      <c r="G93" s="273"/>
      <c r="H93" s="312"/>
      <c r="I93" s="304"/>
      <c r="J93" s="304"/>
      <c r="K93" s="304"/>
      <c r="L93" s="304"/>
      <c r="M93" s="304"/>
    </row>
    <row r="94" spans="2:13">
      <c r="B94" s="273"/>
      <c r="C94" s="273"/>
      <c r="D94" s="273"/>
      <c r="E94" s="273"/>
      <c r="G94" s="273"/>
      <c r="H94" s="312"/>
    </row>
    <row r="95" spans="2:13">
      <c r="B95" s="273"/>
      <c r="C95" s="273"/>
      <c r="D95" s="273"/>
      <c r="E95" s="273"/>
      <c r="G95" s="273"/>
      <c r="H95" s="312"/>
      <c r="I95" s="306"/>
      <c r="J95" s="306"/>
      <c r="K95" s="306"/>
      <c r="L95" s="306"/>
      <c r="M95" s="306"/>
    </row>
    <row r="96" spans="2:13">
      <c r="B96" s="273"/>
      <c r="C96" s="273"/>
      <c r="D96" s="273"/>
      <c r="E96" s="273"/>
      <c r="G96" s="273"/>
      <c r="H96" s="312"/>
      <c r="I96" s="306"/>
      <c r="J96" s="306"/>
      <c r="K96" s="306"/>
      <c r="L96" s="306"/>
      <c r="M96" s="306"/>
    </row>
    <row r="97" spans="8:8" s="273" customFormat="1">
      <c r="H97" s="312"/>
    </row>
    <row r="98" spans="8:8" s="273" customFormat="1">
      <c r="H98" s="312"/>
    </row>
    <row r="99" spans="8:8" s="273" customFormat="1">
      <c r="H99" s="312"/>
    </row>
    <row r="100" spans="8:8" s="273" customFormat="1">
      <c r="H100" s="312"/>
    </row>
    <row r="101" spans="8:8" s="273" customFormat="1">
      <c r="H101" s="312"/>
    </row>
    <row r="102" spans="8:8" s="273" customFormat="1">
      <c r="H102" s="312"/>
    </row>
    <row r="103" spans="8:8" s="273" customFormat="1">
      <c r="H103" s="312"/>
    </row>
    <row r="104" spans="8:8" s="273" customFormat="1">
      <c r="H104" s="312"/>
    </row>
    <row r="105" spans="8:8" s="273" customFormat="1">
      <c r="H105" s="312"/>
    </row>
    <row r="106" spans="8:8" s="273" customFormat="1">
      <c r="H106" s="312"/>
    </row>
    <row r="107" spans="8:8" s="273" customFormat="1">
      <c r="H107" s="312"/>
    </row>
    <row r="108" spans="8:8" s="273" customFormat="1">
      <c r="H108" s="312"/>
    </row>
    <row r="109" spans="8:8" s="273" customFormat="1">
      <c r="H109" s="312"/>
    </row>
    <row r="110" spans="8:8" s="273" customFormat="1">
      <c r="H110" s="312"/>
    </row>
    <row r="111" spans="8:8" s="273" customFormat="1">
      <c r="H111" s="312"/>
    </row>
    <row r="112" spans="8:8" s="273" customFormat="1">
      <c r="H112" s="312"/>
    </row>
    <row r="113" spans="2:8" s="273" customFormat="1">
      <c r="H113" s="312"/>
    </row>
    <row r="114" spans="2:8" s="273" customFormat="1">
      <c r="B114" s="274"/>
      <c r="C114" s="274"/>
      <c r="D114" s="274"/>
      <c r="E114" s="274"/>
      <c r="G114" s="274"/>
      <c r="H114" s="312"/>
    </row>
    <row r="115" spans="2:8" s="273" customFormat="1">
      <c r="B115" s="274"/>
      <c r="C115" s="274"/>
      <c r="D115" s="274"/>
      <c r="E115" s="274"/>
      <c r="G115" s="274"/>
      <c r="H115" s="312"/>
    </row>
    <row r="116" spans="2:8" s="273" customFormat="1">
      <c r="B116" s="274"/>
      <c r="C116" s="274"/>
      <c r="D116" s="274"/>
      <c r="E116" s="274"/>
      <c r="G116" s="274"/>
      <c r="H116" s="312"/>
    </row>
    <row r="117" spans="2:8" s="273" customFormat="1">
      <c r="H117" s="312"/>
    </row>
    <row r="118" spans="2:8" s="273" customFormat="1">
      <c r="H118" s="312"/>
    </row>
    <row r="119" spans="2:8" s="273" customFormat="1">
      <c r="H119" s="312"/>
    </row>
    <row r="120" spans="2:8" s="273" customFormat="1">
      <c r="B120" s="274"/>
      <c r="C120" s="274"/>
      <c r="D120" s="274"/>
      <c r="E120" s="274"/>
      <c r="G120" s="274"/>
      <c r="H120" s="312"/>
    </row>
    <row r="121" spans="2:8" s="273" customFormat="1">
      <c r="B121" s="274"/>
      <c r="C121" s="274"/>
      <c r="D121" s="274"/>
      <c r="E121" s="274"/>
      <c r="G121" s="274"/>
      <c r="H121" s="312"/>
    </row>
    <row r="122" spans="2:8" s="273" customFormat="1">
      <c r="B122" s="274"/>
      <c r="C122" s="274"/>
      <c r="D122" s="274"/>
      <c r="E122" s="274"/>
      <c r="G122" s="274"/>
      <c r="H122" s="312"/>
    </row>
    <row r="123" spans="2:8" s="273" customFormat="1">
      <c r="B123" s="274"/>
      <c r="C123" s="274"/>
      <c r="D123" s="274"/>
      <c r="E123" s="274"/>
      <c r="G123" s="274"/>
      <c r="H123" s="312"/>
    </row>
    <row r="124" spans="2:8" s="273" customFormat="1">
      <c r="B124" s="274"/>
      <c r="C124" s="274"/>
      <c r="D124" s="274"/>
      <c r="E124" s="274"/>
      <c r="G124" s="274"/>
      <c r="H124" s="312"/>
    </row>
    <row r="125" spans="2:8" s="273" customFormat="1">
      <c r="B125" s="274"/>
      <c r="C125" s="274"/>
      <c r="D125" s="274"/>
      <c r="E125" s="274"/>
      <c r="G125" s="274"/>
      <c r="H125" s="312"/>
    </row>
    <row r="126" spans="2:8" s="273" customFormat="1">
      <c r="B126" s="274"/>
      <c r="C126" s="274"/>
      <c r="D126" s="274"/>
      <c r="E126" s="274"/>
      <c r="G126" s="274"/>
      <c r="H126" s="312"/>
    </row>
    <row r="127" spans="2:8" s="273" customFormat="1">
      <c r="B127" s="274"/>
      <c r="C127" s="274"/>
      <c r="D127" s="274"/>
      <c r="E127" s="274"/>
      <c r="G127" s="274"/>
      <c r="H127" s="312"/>
    </row>
    <row r="128" spans="2:8" s="273" customFormat="1">
      <c r="B128" s="274"/>
      <c r="C128" s="274"/>
      <c r="D128" s="274"/>
      <c r="E128" s="274"/>
      <c r="G128" s="274"/>
      <c r="H128" s="312"/>
    </row>
    <row r="129" spans="8:8" s="273" customFormat="1">
      <c r="H129" s="312"/>
    </row>
    <row r="130" spans="8:8" s="273" customFormat="1">
      <c r="H130" s="312"/>
    </row>
    <row r="131" spans="8:8" s="273" customFormat="1">
      <c r="H131" s="312"/>
    </row>
    <row r="132" spans="8:8" s="273" customFormat="1">
      <c r="H132" s="312"/>
    </row>
    <row r="133" spans="8:8" s="273" customFormat="1">
      <c r="H133" s="312"/>
    </row>
    <row r="134" spans="8:8" s="273" customFormat="1">
      <c r="H134" s="312"/>
    </row>
    <row r="135" spans="8:8" s="273" customFormat="1">
      <c r="H135" s="312"/>
    </row>
    <row r="136" spans="8:8" s="273" customFormat="1">
      <c r="H136" s="312"/>
    </row>
    <row r="137" spans="8:8" s="273" customFormat="1">
      <c r="H137" s="312"/>
    </row>
    <row r="138" spans="8:8" s="273" customFormat="1">
      <c r="H138" s="312"/>
    </row>
    <row r="139" spans="8:8" s="273" customFormat="1">
      <c r="H139" s="312"/>
    </row>
    <row r="140" spans="8:8" s="273" customFormat="1">
      <c r="H140" s="312"/>
    </row>
    <row r="141" spans="8:8" s="273" customFormat="1">
      <c r="H141" s="312"/>
    </row>
    <row r="142" spans="8:8" s="273" customFormat="1">
      <c r="H142" s="312"/>
    </row>
    <row r="143" spans="8:8" s="273" customFormat="1">
      <c r="H143" s="312"/>
    </row>
    <row r="144" spans="8:8" s="273" customFormat="1">
      <c r="H144" s="312"/>
    </row>
    <row r="145" spans="8:8" s="273" customFormat="1">
      <c r="H145" s="312"/>
    </row>
    <row r="146" spans="8:8" s="273" customFormat="1">
      <c r="H146" s="312"/>
    </row>
    <row r="147" spans="8:8" s="273" customFormat="1">
      <c r="H147" s="312"/>
    </row>
    <row r="148" spans="8:8" s="273" customFormat="1">
      <c r="H148" s="312"/>
    </row>
    <row r="149" spans="8:8" s="273" customFormat="1">
      <c r="H149" s="312"/>
    </row>
    <row r="150" spans="8:8" s="273" customFormat="1">
      <c r="H150" s="312"/>
    </row>
    <row r="151" spans="8:8" s="273" customFormat="1">
      <c r="H151" s="312"/>
    </row>
    <row r="152" spans="8:8" s="273" customFormat="1">
      <c r="H152" s="312"/>
    </row>
    <row r="153" spans="8:8" s="273" customFormat="1">
      <c r="H153" s="312"/>
    </row>
    <row r="154" spans="8:8" s="273" customFormat="1">
      <c r="H154" s="312"/>
    </row>
    <row r="155" spans="8:8" s="273" customFormat="1">
      <c r="H155" s="312"/>
    </row>
    <row r="156" spans="8:8" s="273" customFormat="1">
      <c r="H156" s="312"/>
    </row>
    <row r="157" spans="8:8" s="273" customFormat="1">
      <c r="H157" s="312"/>
    </row>
    <row r="158" spans="8:8" s="273" customFormat="1">
      <c r="H158" s="312"/>
    </row>
    <row r="159" spans="8:8" s="273" customFormat="1">
      <c r="H159" s="312"/>
    </row>
    <row r="160" spans="8:8" s="273" customFormat="1">
      <c r="H160" s="312"/>
    </row>
    <row r="161" spans="8:8" s="273" customFormat="1">
      <c r="H161" s="312"/>
    </row>
    <row r="162" spans="8:8" s="273" customFormat="1">
      <c r="H162" s="312"/>
    </row>
    <row r="163" spans="8:8" s="273" customFormat="1">
      <c r="H163" s="312"/>
    </row>
    <row r="164" spans="8:8" s="273" customFormat="1">
      <c r="H164" s="312"/>
    </row>
    <row r="165" spans="8:8" s="273" customFormat="1">
      <c r="H165" s="312"/>
    </row>
    <row r="166" spans="8:8" s="273" customFormat="1">
      <c r="H166" s="312"/>
    </row>
    <row r="167" spans="8:8" s="273" customFormat="1">
      <c r="H167" s="312"/>
    </row>
  </sheetData>
  <mergeCells count="3">
    <mergeCell ref="A1:E1"/>
    <mergeCell ref="A26:C26"/>
    <mergeCell ref="A27:C2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67"/>
  <sheetViews>
    <sheetView zoomScale="120" zoomScaleNormal="120" workbookViewId="0">
      <selection activeCell="J48" sqref="J48"/>
    </sheetView>
  </sheetViews>
  <sheetFormatPr baseColWidth="10" defaultColWidth="9.1640625" defaultRowHeight="15"/>
  <cols>
    <col min="1" max="1" width="20.5" style="364" customWidth="1"/>
    <col min="2" max="2" width="13" style="274" customWidth="1"/>
    <col min="3" max="3" width="16" style="274" customWidth="1"/>
    <col min="4" max="4" width="13.83203125" style="274" customWidth="1"/>
    <col min="5" max="5" width="14.83203125" style="274" customWidth="1"/>
    <col min="6" max="6" width="4.1640625" style="364" customWidth="1"/>
    <col min="7" max="7" width="18.5" style="274" customWidth="1"/>
    <col min="8" max="8" width="1.6640625" style="364" customWidth="1"/>
    <col min="9" max="9" width="31.83203125" style="364" customWidth="1"/>
    <col min="10" max="12" width="12.5" style="364" customWidth="1"/>
    <col min="13" max="13" width="10" style="364" customWidth="1"/>
    <col min="14" max="14" width="60.5" style="364" customWidth="1"/>
    <col min="15" max="15" width="12.83203125" style="364" customWidth="1"/>
    <col min="16" max="16384" width="9.1640625" style="364"/>
  </cols>
  <sheetData>
    <row r="1" spans="1:14" ht="15.75" customHeight="1" thickBot="1">
      <c r="A1" s="433" t="s">
        <v>270</v>
      </c>
      <c r="B1" s="434"/>
      <c r="C1" s="434"/>
      <c r="D1" s="434"/>
      <c r="E1" s="435"/>
      <c r="H1" s="275"/>
      <c r="I1" s="276" t="s">
        <v>190</v>
      </c>
      <c r="J1" s="352" t="s">
        <v>4</v>
      </c>
      <c r="K1" s="352" t="s">
        <v>271</v>
      </c>
      <c r="L1" s="352" t="s">
        <v>272</v>
      </c>
    </row>
    <row r="2" spans="1:14" ht="21.75" customHeight="1">
      <c r="A2" s="277" t="s">
        <v>0</v>
      </c>
      <c r="B2" s="278" t="s">
        <v>51</v>
      </c>
      <c r="C2" s="337" t="s">
        <v>191</v>
      </c>
      <c r="D2" s="278" t="s">
        <v>192</v>
      </c>
      <c r="E2" s="348" t="s">
        <v>193</v>
      </c>
      <c r="G2" s="279" t="s">
        <v>194</v>
      </c>
      <c r="H2" s="275"/>
      <c r="I2" s="364" t="s">
        <v>195</v>
      </c>
      <c r="J2" s="364">
        <f>B4</f>
        <v>323.45679012345676</v>
      </c>
      <c r="N2" s="280" t="s">
        <v>196</v>
      </c>
    </row>
    <row r="3" spans="1:14" ht="17.25" customHeight="1">
      <c r="A3" s="281" t="s">
        <v>9</v>
      </c>
      <c r="B3" s="338">
        <f>+'MMW Output'!C22</f>
        <v>1180.2469135802469</v>
      </c>
      <c r="C3" s="338">
        <f>+'MMW Output'!D22</f>
        <v>169.19251650000001</v>
      </c>
      <c r="D3" s="338">
        <f>+'MMW Output'!E22</f>
        <v>1744.8164999999999</v>
      </c>
      <c r="E3" s="344">
        <f>+'MMW Output'!F22</f>
        <v>893.02499999999998</v>
      </c>
      <c r="F3" s="282"/>
      <c r="G3" s="354">
        <f t="shared" ref="G3:G18" si="0">C3*2000</f>
        <v>338385.033</v>
      </c>
      <c r="H3" s="275"/>
      <c r="I3" s="364" t="s">
        <v>197</v>
      </c>
      <c r="J3" s="364">
        <v>0</v>
      </c>
    </row>
    <row r="4" spans="1:14">
      <c r="A4" s="283" t="s">
        <v>10</v>
      </c>
      <c r="B4" s="339">
        <f>+'MMW Output'!C23</f>
        <v>323.45679012345676</v>
      </c>
      <c r="C4" s="339">
        <f>+'MMW Output'!D23</f>
        <v>473.41140525000003</v>
      </c>
      <c r="D4" s="339">
        <f>+'MMW Output'!E23</f>
        <v>3426.3495000000003</v>
      </c>
      <c r="E4" s="345">
        <f>+'MMW Output'!F23</f>
        <v>1474.4835</v>
      </c>
      <c r="G4" s="355">
        <f t="shared" si="0"/>
        <v>946822.81050000002</v>
      </c>
      <c r="H4" s="275"/>
      <c r="I4" s="364" t="s">
        <v>273</v>
      </c>
      <c r="J4" s="364">
        <v>0.35</v>
      </c>
      <c r="K4" s="364">
        <v>0.28999999999999998</v>
      </c>
      <c r="L4" s="364">
        <v>0.5</v>
      </c>
    </row>
    <row r="5" spans="1:14">
      <c r="A5" s="283" t="s">
        <v>11</v>
      </c>
      <c r="B5" s="339">
        <f>+'MMW Output'!C24</f>
        <v>417.28395061728395</v>
      </c>
      <c r="C5" s="339">
        <f>+'MMW Output'!D24</f>
        <v>0.69060599999999994</v>
      </c>
      <c r="D5" s="339">
        <f>+'MMW Output'!E24</f>
        <v>59.975999999999999</v>
      </c>
      <c r="E5" s="345">
        <f>+'MMW Output'!F24</f>
        <v>4.8510000000000009</v>
      </c>
      <c r="G5" s="355">
        <f t="shared" si="0"/>
        <v>1381.212</v>
      </c>
      <c r="H5" s="275"/>
      <c r="I5" s="280" t="s">
        <v>280</v>
      </c>
      <c r="J5" s="280">
        <f>(J3/J2)*G4*J4</f>
        <v>0</v>
      </c>
      <c r="K5" s="280">
        <f>(J3/J2)*D4*K4</f>
        <v>0</v>
      </c>
      <c r="L5" s="280">
        <f>(J3/J2)*E4*L4</f>
        <v>0</v>
      </c>
    </row>
    <row r="6" spans="1:14" ht="18.75" customHeight="1">
      <c r="A6" s="283" t="s">
        <v>12</v>
      </c>
      <c r="B6" s="339">
        <f>+'MMW Output'!C25</f>
        <v>14.814814814814813</v>
      </c>
      <c r="C6" s="339">
        <f>+'MMW Output'!D25</f>
        <v>3.2854500000000002E-2</v>
      </c>
      <c r="D6" s="339">
        <f>+'MMW Output'!E25</f>
        <v>6.1739999999999995</v>
      </c>
      <c r="E6" s="345">
        <f>+'MMW Output'!F25</f>
        <v>0.44100000000000006</v>
      </c>
      <c r="G6" s="355">
        <f t="shared" si="0"/>
        <v>65.709000000000003</v>
      </c>
      <c r="H6" s="275"/>
    </row>
    <row r="7" spans="1:14">
      <c r="A7" s="283" t="s">
        <v>13</v>
      </c>
      <c r="B7" s="339">
        <f>+'MMW Output'!C26</f>
        <v>0</v>
      </c>
      <c r="C7" s="339">
        <f>+'MMW Output'!D26</f>
        <v>0</v>
      </c>
      <c r="D7" s="339">
        <f>+'MMW Output'!E26</f>
        <v>0</v>
      </c>
      <c r="E7" s="345">
        <f>+'MMW Output'!F26</f>
        <v>0</v>
      </c>
      <c r="G7" s="355">
        <f t="shared" si="0"/>
        <v>0</v>
      </c>
      <c r="H7" s="275"/>
      <c r="I7" s="276" t="s">
        <v>198</v>
      </c>
    </row>
    <row r="8" spans="1:14">
      <c r="A8" s="283" t="s">
        <v>14</v>
      </c>
      <c r="B8" s="339">
        <f>+'MMW Output'!C27</f>
        <v>0</v>
      </c>
      <c r="C8" s="339">
        <f>+'MMW Output'!D27</f>
        <v>0</v>
      </c>
      <c r="D8" s="339">
        <f>+'MMW Output'!E27</f>
        <v>0</v>
      </c>
      <c r="E8" s="345">
        <f>+'MMW Output'!F27</f>
        <v>0</v>
      </c>
      <c r="G8" s="355">
        <f t="shared" si="0"/>
        <v>0</v>
      </c>
      <c r="H8" s="275"/>
    </row>
    <row r="9" spans="1:14">
      <c r="A9" s="283" t="s">
        <v>15</v>
      </c>
      <c r="B9" s="339">
        <f>+'MMW Output'!C28</f>
        <v>111.1111111111111</v>
      </c>
      <c r="C9" s="339">
        <f>+'MMW Output'!D28</f>
        <v>5.4832837500000009</v>
      </c>
      <c r="D9" s="339">
        <f>+'MMW Output'!E28</f>
        <v>135.60750000000002</v>
      </c>
      <c r="E9" s="345">
        <f>+'MMW Output'!F28</f>
        <v>16.9785</v>
      </c>
      <c r="G9" s="355">
        <f t="shared" si="0"/>
        <v>10966.567500000001</v>
      </c>
      <c r="H9" s="275"/>
      <c r="I9" s="364" t="s">
        <v>195</v>
      </c>
      <c r="J9" s="364">
        <f>B4</f>
        <v>323.45679012345676</v>
      </c>
      <c r="N9" s="280" t="s">
        <v>199</v>
      </c>
    </row>
    <row r="10" spans="1:14" ht="15.75" customHeight="1">
      <c r="A10" s="283" t="s">
        <v>16</v>
      </c>
      <c r="B10" s="339">
        <f>+'MMW Output'!C29</f>
        <v>49.382716049382715</v>
      </c>
      <c r="C10" s="339">
        <f>+'MMW Output'!D29</f>
        <v>6.1740000000000003E-2</v>
      </c>
      <c r="D10" s="339">
        <f>+'MMW Output'!E29</f>
        <v>29.988</v>
      </c>
      <c r="E10" s="345">
        <f>+'MMW Output'!F29</f>
        <v>1.1025</v>
      </c>
      <c r="G10" s="355">
        <f t="shared" si="0"/>
        <v>123.48</v>
      </c>
      <c r="H10" s="275"/>
      <c r="I10" s="364" t="s">
        <v>197</v>
      </c>
      <c r="J10" s="364">
        <v>0</v>
      </c>
    </row>
    <row r="11" spans="1:14">
      <c r="A11" s="283" t="s">
        <v>17</v>
      </c>
      <c r="B11" s="339">
        <f>+'MMW Output'!C30</f>
        <v>0</v>
      </c>
      <c r="C11" s="339">
        <f>+'MMW Output'!D30</f>
        <v>0</v>
      </c>
      <c r="D11" s="339">
        <f>+'MMW Output'!E30</f>
        <v>0</v>
      </c>
      <c r="E11" s="345">
        <f>+'MMW Output'!F30</f>
        <v>0</v>
      </c>
      <c r="G11" s="355">
        <f t="shared" si="0"/>
        <v>0</v>
      </c>
      <c r="H11" s="275"/>
      <c r="I11" s="364" t="s">
        <v>273</v>
      </c>
      <c r="J11" s="364">
        <v>0.3</v>
      </c>
      <c r="K11" s="364">
        <v>0.08</v>
      </c>
      <c r="L11" s="364">
        <v>0.22</v>
      </c>
    </row>
    <row r="12" spans="1:14">
      <c r="A12" s="284" t="s">
        <v>18</v>
      </c>
      <c r="B12" s="339">
        <f>+'MMW Output'!C31</f>
        <v>0</v>
      </c>
      <c r="C12" s="339">
        <f>+'MMW Output'!D31</f>
        <v>0</v>
      </c>
      <c r="D12" s="339">
        <f>+'MMW Output'!E31</f>
        <v>0</v>
      </c>
      <c r="E12" s="349">
        <f>+'MMW Output'!F31</f>
        <v>0</v>
      </c>
      <c r="F12" s="285"/>
      <c r="G12" s="356">
        <f t="shared" si="0"/>
        <v>0</v>
      </c>
      <c r="H12" s="275"/>
      <c r="I12" s="280" t="s">
        <v>280</v>
      </c>
      <c r="J12" s="280">
        <f>(J10/J9)*G4*J11</f>
        <v>0</v>
      </c>
      <c r="K12" s="280">
        <f>(J10/J9)*D4*K11</f>
        <v>0</v>
      </c>
      <c r="L12" s="280">
        <f>(J10/J9)*E4*L11</f>
        <v>0</v>
      </c>
    </row>
    <row r="13" spans="1:14" ht="19.5" customHeight="1">
      <c r="A13" s="281" t="s">
        <v>19</v>
      </c>
      <c r="B13" s="338">
        <f>+'MMW Output'!C32</f>
        <v>2000</v>
      </c>
      <c r="C13" s="338">
        <f>+'MMW Output'!D32</f>
        <v>9.8619727500000014</v>
      </c>
      <c r="D13" s="338">
        <f>+'MMW Output'!E32</f>
        <v>532.94849999999997</v>
      </c>
      <c r="E13" s="345">
        <f>+'MMW Output'!F32</f>
        <v>59.975999999999999</v>
      </c>
      <c r="F13" s="282"/>
      <c r="G13" s="354">
        <f t="shared" si="0"/>
        <v>19723.945500000002</v>
      </c>
      <c r="H13" s="275"/>
    </row>
    <row r="14" spans="1:14" ht="22.5" customHeight="1">
      <c r="A14" s="283" t="s">
        <v>20</v>
      </c>
      <c r="B14" s="339">
        <f>+'MMW Output'!C33</f>
        <v>293.82716049382714</v>
      </c>
      <c r="C14" s="339">
        <f>+'MMW Output'!D33</f>
        <v>7.9404254999999999</v>
      </c>
      <c r="D14" s="339">
        <f>+'MMW Output'!E33</f>
        <v>327.88349999999997</v>
      </c>
      <c r="E14" s="345">
        <f>+'MMW Output'!F33</f>
        <v>33.736499999999999</v>
      </c>
      <c r="G14" s="355">
        <f t="shared" si="0"/>
        <v>15880.851000000001</v>
      </c>
      <c r="H14" s="275"/>
      <c r="I14" s="276" t="s">
        <v>200</v>
      </c>
      <c r="N14" s="280" t="s">
        <v>201</v>
      </c>
    </row>
    <row r="15" spans="1:14" ht="15.75" customHeight="1">
      <c r="A15" s="283" t="s">
        <v>21</v>
      </c>
      <c r="B15" s="339">
        <f>+'MMW Output'!C34</f>
        <v>79.012345679012341</v>
      </c>
      <c r="C15" s="339">
        <f>+'MMW Output'!D34</f>
        <v>2.1564900000000002</v>
      </c>
      <c r="D15" s="339">
        <f>+'MMW Output'!E34</f>
        <v>89.081999999999994</v>
      </c>
      <c r="E15" s="345">
        <f>+'MMW Output'!F34</f>
        <v>9.261000000000001</v>
      </c>
      <c r="G15" s="355">
        <f t="shared" si="0"/>
        <v>4312.9800000000005</v>
      </c>
      <c r="H15" s="275"/>
      <c r="I15" s="364" t="s">
        <v>195</v>
      </c>
      <c r="J15" s="364">
        <f>B4</f>
        <v>323.45679012345676</v>
      </c>
      <c r="N15" s="280" t="s">
        <v>202</v>
      </c>
    </row>
    <row r="16" spans="1:14">
      <c r="A16" s="283" t="s">
        <v>22</v>
      </c>
      <c r="B16" s="339">
        <f>+'MMW Output'!C35</f>
        <v>0</v>
      </c>
      <c r="C16" s="339">
        <f>+'MMW Output'!D35</f>
        <v>0</v>
      </c>
      <c r="D16" s="339">
        <f>+'MMW Output'!E35</f>
        <v>0</v>
      </c>
      <c r="E16" s="345">
        <f>+'MMW Output'!F35</f>
        <v>0</v>
      </c>
      <c r="G16" s="355">
        <f t="shared" si="0"/>
        <v>0</v>
      </c>
      <c r="H16" s="275"/>
      <c r="I16" s="364" t="s">
        <v>203</v>
      </c>
      <c r="J16" s="364">
        <v>0</v>
      </c>
      <c r="N16" s="280" t="s">
        <v>204</v>
      </c>
    </row>
    <row r="17" spans="1:14">
      <c r="A17" s="283" t="s">
        <v>23</v>
      </c>
      <c r="B17" s="339">
        <f>+'MMW Output'!C36</f>
        <v>0</v>
      </c>
      <c r="C17" s="339">
        <f>+'MMW Output'!D36</f>
        <v>0</v>
      </c>
      <c r="D17" s="339">
        <f>+'MMW Output'!E36</f>
        <v>0</v>
      </c>
      <c r="E17" s="345">
        <f>+'MMW Output'!F36</f>
        <v>0</v>
      </c>
      <c r="G17" s="355">
        <f t="shared" si="0"/>
        <v>0</v>
      </c>
      <c r="H17" s="275"/>
      <c r="I17" s="364" t="s">
        <v>205</v>
      </c>
      <c r="J17" s="364">
        <f>(J16*5280*100)/43560</f>
        <v>0</v>
      </c>
    </row>
    <row r="18" spans="1:14">
      <c r="A18" s="284" t="s">
        <v>24</v>
      </c>
      <c r="B18" s="339">
        <f>+'MMW Output'!C37</f>
        <v>0</v>
      </c>
      <c r="C18" s="339">
        <f>+'MMW Output'!D37</f>
        <v>0</v>
      </c>
      <c r="D18" s="339">
        <f>+'MMW Output'!E37</f>
        <v>0</v>
      </c>
      <c r="E18" s="349">
        <f>+'MMW Output'!F37</f>
        <v>0</v>
      </c>
      <c r="F18" s="285"/>
      <c r="G18" s="356">
        <f t="shared" si="0"/>
        <v>0</v>
      </c>
      <c r="H18" s="275"/>
      <c r="I18" s="364" t="s">
        <v>197</v>
      </c>
      <c r="J18" s="364">
        <f>J17*2</f>
        <v>0</v>
      </c>
    </row>
    <row r="19" spans="1:14" ht="15" customHeight="1">
      <c r="A19" s="281" t="s">
        <v>25</v>
      </c>
      <c r="B19" s="340" t="s">
        <v>26</v>
      </c>
      <c r="C19" s="338">
        <f>+'MMW Output'!D38</f>
        <v>0</v>
      </c>
      <c r="D19" s="338">
        <f>+'MMW Output'!E38</f>
        <v>629.30700000000002</v>
      </c>
      <c r="E19" s="345">
        <f>+'MMW Output'!F38</f>
        <v>165.375</v>
      </c>
      <c r="F19" s="282"/>
      <c r="G19" s="354"/>
      <c r="H19" s="275"/>
      <c r="I19" s="364" t="s">
        <v>273</v>
      </c>
      <c r="J19" s="364">
        <v>0.54</v>
      </c>
      <c r="K19" s="364">
        <v>0.41</v>
      </c>
      <c r="L19" s="364">
        <v>0.4</v>
      </c>
    </row>
    <row r="20" spans="1:14" ht="15" customHeight="1">
      <c r="A20" s="283" t="s">
        <v>27</v>
      </c>
      <c r="B20" s="341" t="s">
        <v>26</v>
      </c>
      <c r="C20" s="339">
        <f>+'MMW Output'!D39</f>
        <v>0</v>
      </c>
      <c r="D20" s="339">
        <f>+'MMW Output'!E39</f>
        <v>0</v>
      </c>
      <c r="E20" s="345">
        <f>+'MMW Output'!F39</f>
        <v>0</v>
      </c>
      <c r="G20" s="355">
        <f>C20*2000</f>
        <v>0</v>
      </c>
      <c r="H20" s="275"/>
      <c r="I20" s="280" t="s">
        <v>280</v>
      </c>
      <c r="J20" s="280">
        <f>((J18/J15)*J19*G4)+(J17*(C31-C32))</f>
        <v>0</v>
      </c>
      <c r="K20" s="280">
        <f>((J18/J15)*K19*D4)+(J17*(D31-D32))</f>
        <v>0</v>
      </c>
      <c r="L20" s="280">
        <f>((J18/J15)*L19*E4)+(J17*(E31-E32))</f>
        <v>0</v>
      </c>
    </row>
    <row r="21" spans="1:14" s="365" customFormat="1" ht="15" customHeight="1">
      <c r="A21" s="336" t="s">
        <v>206</v>
      </c>
      <c r="B21" s="342" t="s">
        <v>26</v>
      </c>
      <c r="C21" s="339">
        <f>+'MMW Output'!D40</f>
        <v>707.203035</v>
      </c>
      <c r="D21" s="339">
        <f>+'MMW Output'!E40</f>
        <v>813.64499999999998</v>
      </c>
      <c r="E21" s="345">
        <f>+'MMW Output'!F40</f>
        <v>476.28000000000003</v>
      </c>
      <c r="G21" s="357">
        <f>C21*2000</f>
        <v>1414406.07</v>
      </c>
      <c r="H21" s="286"/>
    </row>
    <row r="22" spans="1:14" s="365" customFormat="1" ht="15" customHeight="1">
      <c r="A22" s="336" t="s">
        <v>29</v>
      </c>
      <c r="B22" s="342"/>
      <c r="C22" s="339">
        <f>+'MMW Output'!D41</f>
        <v>0</v>
      </c>
      <c r="D22" s="339">
        <f>+'MMW Output'!E41</f>
        <v>21699.846000000001</v>
      </c>
      <c r="E22" s="345">
        <f>+'MMW Output'!F41</f>
        <v>295.911</v>
      </c>
      <c r="G22" s="357"/>
      <c r="H22" s="286"/>
      <c r="I22" s="289" t="s">
        <v>208</v>
      </c>
    </row>
    <row r="23" spans="1:14" s="365" customFormat="1" ht="15" customHeight="1">
      <c r="A23" s="336" t="s">
        <v>30</v>
      </c>
      <c r="B23" s="342"/>
      <c r="C23" s="339">
        <f>+'MMW Output'!D42</f>
        <v>0</v>
      </c>
      <c r="D23" s="339">
        <f>+'MMW Output'!E42</f>
        <v>495.46350000000001</v>
      </c>
      <c r="E23" s="345">
        <f>+'MMW Output'!F42</f>
        <v>352.8</v>
      </c>
      <c r="G23" s="357"/>
      <c r="H23" s="286"/>
      <c r="I23" s="364"/>
      <c r="J23" s="364"/>
      <c r="K23" s="364"/>
      <c r="L23" s="364"/>
      <c r="M23" s="364"/>
      <c r="N23" s="364"/>
    </row>
    <row r="24" spans="1:14" s="365" customFormat="1" ht="15" customHeight="1" thickBot="1">
      <c r="A24" s="336" t="s">
        <v>31</v>
      </c>
      <c r="B24" s="342"/>
      <c r="C24" s="339">
        <f>+'MMW Output'!D43</f>
        <v>0</v>
      </c>
      <c r="D24" s="339">
        <f>+'MMW Output'!E43</f>
        <v>920.14650000000006</v>
      </c>
      <c r="E24" s="349">
        <f>+'MMW Output'!F43</f>
        <v>0</v>
      </c>
      <c r="G24" s="357"/>
      <c r="H24" s="286"/>
      <c r="I24" s="299" t="s">
        <v>267</v>
      </c>
      <c r="J24" s="298"/>
      <c r="K24" s="298"/>
      <c r="L24" s="298"/>
      <c r="M24" s="364"/>
      <c r="N24" s="364"/>
    </row>
    <row r="25" spans="1:14" s="365" customFormat="1" ht="15" customHeight="1" thickBot="1">
      <c r="A25" s="288" t="s">
        <v>207</v>
      </c>
      <c r="B25" s="343">
        <f>SUM(B3:B21)</f>
        <v>4469.1358024691353</v>
      </c>
      <c r="C25" s="343">
        <f t="shared" ref="C25" si="1">SUM(C3:C21)</f>
        <v>1376.0343292499999</v>
      </c>
      <c r="D25" s="343">
        <f>SUM(D3:D24)</f>
        <v>30911.233500000002</v>
      </c>
      <c r="E25" s="350">
        <f>SUM(E3:E24)</f>
        <v>3784.2210000000005</v>
      </c>
      <c r="F25" s="347"/>
      <c r="G25" s="346">
        <f>SUM(G3:G21)</f>
        <v>2752068.6584999999</v>
      </c>
      <c r="H25" s="286"/>
      <c r="I25" s="364" t="s">
        <v>214</v>
      </c>
      <c r="J25" s="298">
        <v>0</v>
      </c>
      <c r="K25" s="298"/>
      <c r="L25" s="298"/>
      <c r="M25" s="364"/>
      <c r="N25" s="364"/>
    </row>
    <row r="26" spans="1:14" ht="15" customHeight="1">
      <c r="A26" s="436" t="s">
        <v>209</v>
      </c>
      <c r="B26" s="437"/>
      <c r="C26" s="437"/>
      <c r="H26" s="275"/>
      <c r="I26" s="364" t="s">
        <v>215</v>
      </c>
      <c r="J26" s="298">
        <v>115</v>
      </c>
      <c r="K26" s="373">
        <v>0.192</v>
      </c>
      <c r="L26" s="373">
        <v>0.17399999999999999</v>
      </c>
    </row>
    <row r="27" spans="1:14" s="365" customFormat="1" ht="15" customHeight="1">
      <c r="A27" s="438" t="s">
        <v>308</v>
      </c>
      <c r="B27" s="439"/>
      <c r="C27" s="439"/>
      <c r="D27" s="290"/>
      <c r="E27" s="290"/>
      <c r="G27" s="290"/>
      <c r="H27" s="286"/>
      <c r="I27" s="364" t="s">
        <v>275</v>
      </c>
      <c r="J27" s="298">
        <f>J25*J26</f>
        <v>0</v>
      </c>
      <c r="K27" s="298">
        <f>J25*K26</f>
        <v>0</v>
      </c>
      <c r="L27" s="298">
        <f>J25*L26</f>
        <v>0</v>
      </c>
      <c r="M27" s="364"/>
      <c r="N27" s="364"/>
    </row>
    <row r="28" spans="1:14" s="365" customFormat="1" ht="15" customHeight="1" thickBot="1">
      <c r="A28" s="291" t="s">
        <v>210</v>
      </c>
      <c r="B28" s="291" t="s">
        <v>211</v>
      </c>
      <c r="C28" s="290"/>
      <c r="D28" s="290"/>
      <c r="E28" s="290"/>
      <c r="G28" s="290"/>
      <c r="H28" s="286"/>
      <c r="I28" s="364"/>
      <c r="J28" s="298"/>
      <c r="K28" s="298"/>
      <c r="L28" s="298"/>
      <c r="M28" s="364"/>
      <c r="N28" s="364"/>
    </row>
    <row r="29" spans="1:14" s="365" customFormat="1" ht="29.25" customHeight="1" thickBot="1">
      <c r="A29" s="292" t="s">
        <v>212</v>
      </c>
      <c r="B29" s="293">
        <f>SUM(B30:B39)</f>
        <v>2096.2962962962961</v>
      </c>
      <c r="C29" s="294" t="s">
        <v>213</v>
      </c>
      <c r="D29" s="294" t="s">
        <v>283</v>
      </c>
      <c r="E29" s="294" t="s">
        <v>284</v>
      </c>
      <c r="F29" s="295"/>
      <c r="G29" s="294"/>
      <c r="H29" s="286"/>
      <c r="I29" s="351" t="s">
        <v>268</v>
      </c>
    </row>
    <row r="30" spans="1:14" s="365" customFormat="1" ht="15" customHeight="1">
      <c r="A30" s="296" t="s">
        <v>9</v>
      </c>
      <c r="B30" s="297">
        <f t="shared" ref="B30:B39" si="2">B3</f>
        <v>1180.2469135802469</v>
      </c>
      <c r="C30" s="365">
        <f>G3/B30</f>
        <v>286.70698402719665</v>
      </c>
      <c r="D30" s="365">
        <f>D3/B30</f>
        <v>1.4783487081589959</v>
      </c>
      <c r="E30" s="365">
        <f>E3/B30</f>
        <v>0.7566425209205021</v>
      </c>
      <c r="G30" s="290"/>
      <c r="H30" s="286"/>
      <c r="I30" s="365" t="s">
        <v>269</v>
      </c>
      <c r="J30" s="365">
        <v>0.1</v>
      </c>
    </row>
    <row r="31" spans="1:14" s="365" customFormat="1">
      <c r="A31" s="296" t="s">
        <v>10</v>
      </c>
      <c r="B31" s="297">
        <f t="shared" si="2"/>
        <v>323.45679012345676</v>
      </c>
      <c r="C31" s="365">
        <f t="shared" ref="C31:C39" si="3">G4/B31</f>
        <v>2927.2002920038171</v>
      </c>
      <c r="D31" s="365">
        <f t="shared" ref="D31:D39" si="4">D4/B31</f>
        <v>10.59291257633588</v>
      </c>
      <c r="E31" s="365">
        <f t="shared" ref="E31:E39" si="5">E4/B31</f>
        <v>4.5585176908396949</v>
      </c>
      <c r="G31" s="290"/>
      <c r="H31" s="286"/>
      <c r="I31" s="365" t="s">
        <v>274</v>
      </c>
      <c r="J31" s="365">
        <f>J30*J27</f>
        <v>0</v>
      </c>
      <c r="K31" s="365">
        <f>J30*K27</f>
        <v>0</v>
      </c>
      <c r="L31" s="365">
        <f>J30*L27</f>
        <v>0</v>
      </c>
    </row>
    <row r="32" spans="1:14" s="365" customFormat="1" ht="15" customHeight="1">
      <c r="A32" s="296" t="s">
        <v>11</v>
      </c>
      <c r="B32" s="297">
        <f t="shared" si="2"/>
        <v>417.28395061728395</v>
      </c>
      <c r="C32" s="365">
        <f t="shared" si="3"/>
        <v>3.3100050887573964</v>
      </c>
      <c r="D32" s="365">
        <f t="shared" si="4"/>
        <v>0.14372946745562129</v>
      </c>
      <c r="E32" s="365">
        <f t="shared" si="5"/>
        <v>1.1625177514792901E-2</v>
      </c>
      <c r="G32" s="290"/>
      <c r="H32" s="286"/>
    </row>
    <row r="33" spans="1:14" s="365" customFormat="1" ht="15" customHeight="1">
      <c r="A33" s="296" t="s">
        <v>12</v>
      </c>
      <c r="B33" s="297">
        <f t="shared" si="2"/>
        <v>14.814814814814813</v>
      </c>
      <c r="C33" s="365">
        <f t="shared" si="3"/>
        <v>4.4353575000000003</v>
      </c>
      <c r="D33" s="365">
        <f t="shared" si="4"/>
        <v>0.41674500000000003</v>
      </c>
      <c r="E33" s="365">
        <f t="shared" si="5"/>
        <v>2.9767500000000006E-2</v>
      </c>
      <c r="G33" s="290"/>
      <c r="H33" s="286"/>
      <c r="I33" s="280" t="s">
        <v>276</v>
      </c>
      <c r="J33" s="300">
        <f>J27+J31</f>
        <v>0</v>
      </c>
      <c r="K33" s="300">
        <f t="shared" ref="K33:L33" si="6">K27+K31</f>
        <v>0</v>
      </c>
      <c r="L33" s="300">
        <f t="shared" si="6"/>
        <v>0</v>
      </c>
      <c r="M33" s="364"/>
      <c r="N33" s="364"/>
    </row>
    <row r="34" spans="1:14" s="365" customFormat="1" ht="15" customHeight="1">
      <c r="A34" s="296" t="s">
        <v>13</v>
      </c>
      <c r="B34" s="297">
        <f t="shared" si="2"/>
        <v>0</v>
      </c>
      <c r="C34" s="365" t="e">
        <f t="shared" si="3"/>
        <v>#DIV/0!</v>
      </c>
      <c r="D34" s="365" t="e">
        <f t="shared" si="4"/>
        <v>#DIV/0!</v>
      </c>
      <c r="E34" s="365" t="e">
        <f t="shared" si="5"/>
        <v>#DIV/0!</v>
      </c>
      <c r="G34" s="290"/>
      <c r="H34" s="286"/>
      <c r="I34" s="364"/>
      <c r="J34" s="298"/>
      <c r="K34" s="298"/>
      <c r="L34" s="298"/>
      <c r="M34" s="364"/>
      <c r="N34" s="364"/>
    </row>
    <row r="35" spans="1:14" s="365" customFormat="1" ht="15" customHeight="1">
      <c r="A35" s="296" t="s">
        <v>14</v>
      </c>
      <c r="B35" s="297">
        <f t="shared" si="2"/>
        <v>0</v>
      </c>
      <c r="C35" s="365" t="e">
        <f t="shared" si="3"/>
        <v>#DIV/0!</v>
      </c>
      <c r="D35" s="365" t="e">
        <f t="shared" si="4"/>
        <v>#DIV/0!</v>
      </c>
      <c r="E35" s="365" t="e">
        <f t="shared" si="5"/>
        <v>#DIV/0!</v>
      </c>
      <c r="G35" s="290"/>
      <c r="H35" s="286"/>
      <c r="I35" s="276" t="s">
        <v>217</v>
      </c>
      <c r="J35" s="298"/>
      <c r="K35" s="298"/>
      <c r="L35" s="298"/>
      <c r="M35" s="364"/>
      <c r="N35" s="364"/>
    </row>
    <row r="36" spans="1:14" s="365" customFormat="1" ht="15" customHeight="1">
      <c r="A36" s="296" t="s">
        <v>15</v>
      </c>
      <c r="B36" s="297">
        <f t="shared" si="2"/>
        <v>111.1111111111111</v>
      </c>
      <c r="C36" s="365">
        <f t="shared" si="3"/>
        <v>98.699107500000025</v>
      </c>
      <c r="D36" s="365">
        <f t="shared" si="4"/>
        <v>1.2204675000000003</v>
      </c>
      <c r="E36" s="365">
        <f t="shared" si="5"/>
        <v>0.15280650000000001</v>
      </c>
      <c r="G36" s="290"/>
      <c r="H36" s="286"/>
      <c r="I36" s="364" t="s">
        <v>195</v>
      </c>
      <c r="J36" s="298">
        <f>B3</f>
        <v>1180.2469135802469</v>
      </c>
      <c r="K36" s="298"/>
      <c r="L36" s="298"/>
      <c r="M36" s="364"/>
      <c r="N36" s="364"/>
    </row>
    <row r="37" spans="1:14" s="365" customFormat="1" ht="15" customHeight="1">
      <c r="A37" s="296" t="s">
        <v>16</v>
      </c>
      <c r="B37" s="297">
        <f t="shared" si="2"/>
        <v>49.382716049382715</v>
      </c>
      <c r="C37" s="365">
        <f t="shared" si="3"/>
        <v>2.50047</v>
      </c>
      <c r="D37" s="365">
        <f t="shared" si="4"/>
        <v>0.60725700000000005</v>
      </c>
      <c r="E37" s="365">
        <f t="shared" si="5"/>
        <v>2.2325625000000002E-2</v>
      </c>
      <c r="G37" s="290"/>
      <c r="H37" s="286"/>
      <c r="I37" s="364" t="s">
        <v>197</v>
      </c>
      <c r="J37" s="298">
        <v>0</v>
      </c>
      <c r="K37" s="298"/>
      <c r="L37" s="298"/>
      <c r="M37" s="364"/>
      <c r="N37" s="364"/>
    </row>
    <row r="38" spans="1:14" s="365" customFormat="1" ht="15" customHeight="1">
      <c r="A38" s="296" t="s">
        <v>17</v>
      </c>
      <c r="B38" s="297">
        <f t="shared" si="2"/>
        <v>0</v>
      </c>
      <c r="C38" s="365" t="e">
        <f t="shared" si="3"/>
        <v>#DIV/0!</v>
      </c>
      <c r="D38" s="365" t="e">
        <f t="shared" si="4"/>
        <v>#DIV/0!</v>
      </c>
      <c r="E38" s="365" t="e">
        <f t="shared" si="5"/>
        <v>#DIV/0!</v>
      </c>
      <c r="G38" s="290"/>
      <c r="H38" s="286"/>
      <c r="I38" s="364" t="s">
        <v>218</v>
      </c>
      <c r="J38" s="298">
        <v>0.3</v>
      </c>
      <c r="K38" s="298">
        <v>0.3</v>
      </c>
      <c r="L38" s="298">
        <v>0.3</v>
      </c>
      <c r="M38" s="364"/>
      <c r="N38" s="364"/>
    </row>
    <row r="39" spans="1:14" ht="16" thickBot="1">
      <c r="A39" s="296" t="s">
        <v>18</v>
      </c>
      <c r="B39" s="360">
        <f t="shared" si="2"/>
        <v>0</v>
      </c>
      <c r="C39" s="365" t="e">
        <f t="shared" si="3"/>
        <v>#DIV/0!</v>
      </c>
      <c r="D39" s="365" t="e">
        <f t="shared" si="4"/>
        <v>#DIV/0!</v>
      </c>
      <c r="E39" s="365" t="e">
        <f t="shared" si="5"/>
        <v>#DIV/0!</v>
      </c>
      <c r="H39" s="275"/>
      <c r="I39" s="280" t="s">
        <v>280</v>
      </c>
      <c r="J39" s="300">
        <f>(J37/J36)*J38*G3</f>
        <v>0</v>
      </c>
      <c r="K39" s="300">
        <f>(J37/J36)*K38*D3</f>
        <v>0</v>
      </c>
      <c r="L39" s="300">
        <f>(J37/J36)*L38*E3</f>
        <v>0</v>
      </c>
    </row>
    <row r="40" spans="1:14" ht="31.5" customHeight="1">
      <c r="A40" s="359"/>
      <c r="B40" s="365"/>
      <c r="H40" s="275"/>
      <c r="J40" s="298"/>
      <c r="K40" s="298"/>
      <c r="L40" s="298"/>
    </row>
    <row r="41" spans="1:14">
      <c r="B41" s="364"/>
      <c r="H41" s="275"/>
      <c r="I41" s="276" t="s">
        <v>219</v>
      </c>
      <c r="J41" s="298"/>
      <c r="K41" s="298"/>
      <c r="L41" s="298"/>
    </row>
    <row r="42" spans="1:14">
      <c r="B42" s="364"/>
      <c r="C42" s="280" t="s">
        <v>289</v>
      </c>
      <c r="D42" s="280">
        <v>20000</v>
      </c>
      <c r="E42" s="363" t="s">
        <v>288</v>
      </c>
      <c r="H42" s="275"/>
      <c r="I42" s="364" t="s">
        <v>195</v>
      </c>
      <c r="J42" s="298">
        <f>B4</f>
        <v>323.45679012345676</v>
      </c>
      <c r="K42" s="298"/>
      <c r="L42" s="298"/>
    </row>
    <row r="43" spans="1:14">
      <c r="B43" s="364"/>
      <c r="C43" s="280" t="s">
        <v>216</v>
      </c>
      <c r="D43" s="280">
        <v>11000</v>
      </c>
      <c r="E43" s="363" t="s">
        <v>288</v>
      </c>
      <c r="H43" s="275"/>
      <c r="I43" s="364" t="s">
        <v>220</v>
      </c>
      <c r="J43" s="298">
        <v>0</v>
      </c>
      <c r="K43" s="298"/>
      <c r="L43" s="298"/>
    </row>
    <row r="44" spans="1:14">
      <c r="B44" s="364"/>
      <c r="C44" s="280"/>
      <c r="D44" s="280"/>
      <c r="E44" s="363"/>
      <c r="H44" s="275"/>
      <c r="I44" s="280" t="s">
        <v>280</v>
      </c>
      <c r="J44" s="300">
        <f>(C31-C32)*J43</f>
        <v>0</v>
      </c>
      <c r="K44" s="300">
        <f>(D31-D32)*J43</f>
        <v>0</v>
      </c>
      <c r="L44" s="300">
        <f>(E31-E32)*J43</f>
        <v>0</v>
      </c>
    </row>
    <row r="45" spans="1:14">
      <c r="B45" s="364"/>
      <c r="C45" s="280"/>
      <c r="D45" s="280"/>
      <c r="H45" s="275"/>
      <c r="J45" s="298"/>
      <c r="K45" s="298"/>
      <c r="L45" s="298"/>
    </row>
    <row r="46" spans="1:14">
      <c r="B46" s="364"/>
      <c r="H46" s="275"/>
      <c r="I46" s="276" t="s">
        <v>221</v>
      </c>
      <c r="J46" s="298"/>
      <c r="K46" s="298"/>
      <c r="L46" s="298"/>
    </row>
    <row r="47" spans="1:14">
      <c r="A47" s="365"/>
      <c r="B47" s="365"/>
      <c r="H47" s="275"/>
      <c r="I47" s="364" t="s">
        <v>222</v>
      </c>
      <c r="J47" s="298">
        <f>D42</f>
        <v>20000</v>
      </c>
      <c r="K47" s="298"/>
      <c r="L47" s="298"/>
    </row>
    <row r="48" spans="1:14">
      <c r="A48" s="365"/>
      <c r="B48" s="365"/>
      <c r="H48" s="275"/>
      <c r="I48" s="364" t="s">
        <v>214</v>
      </c>
      <c r="J48" s="298">
        <v>10000</v>
      </c>
      <c r="K48" s="298"/>
      <c r="L48" s="298"/>
    </row>
    <row r="49" spans="1:12">
      <c r="A49" s="365"/>
      <c r="B49" s="365"/>
      <c r="H49" s="275"/>
      <c r="I49" s="364" t="s">
        <v>223</v>
      </c>
      <c r="J49" s="298">
        <v>115</v>
      </c>
      <c r="K49" s="298">
        <v>0.192</v>
      </c>
      <c r="L49" s="298">
        <v>0.17399999999999999</v>
      </c>
    </row>
    <row r="50" spans="1:12">
      <c r="B50" s="365"/>
      <c r="H50" s="275"/>
      <c r="I50" s="280" t="s">
        <v>280</v>
      </c>
      <c r="J50" s="300">
        <f>J48*J49</f>
        <v>1150000</v>
      </c>
      <c r="K50" s="300">
        <f>J48*K49</f>
        <v>1920</v>
      </c>
      <c r="L50" s="300">
        <f>J48*L49</f>
        <v>1739.9999999999998</v>
      </c>
    </row>
    <row r="51" spans="1:12">
      <c r="B51" s="364"/>
      <c r="C51" s="364"/>
      <c r="D51" s="364"/>
      <c r="E51" s="364"/>
      <c r="G51" s="364"/>
      <c r="H51" s="275"/>
      <c r="I51" s="280"/>
      <c r="J51" s="300"/>
      <c r="K51" s="300"/>
      <c r="L51" s="300"/>
    </row>
    <row r="52" spans="1:12">
      <c r="B52" s="364"/>
      <c r="C52" s="364"/>
      <c r="D52" s="364"/>
      <c r="E52" s="364"/>
      <c r="G52" s="364"/>
      <c r="H52" s="275"/>
      <c r="I52" s="301" t="s">
        <v>224</v>
      </c>
      <c r="J52" s="300"/>
      <c r="K52" s="300"/>
      <c r="L52" s="300"/>
    </row>
    <row r="53" spans="1:12">
      <c r="B53" s="364"/>
      <c r="C53" s="364"/>
      <c r="D53" s="364"/>
      <c r="E53" s="364"/>
      <c r="G53" s="364"/>
      <c r="H53" s="275"/>
      <c r="I53" s="302" t="s">
        <v>195</v>
      </c>
      <c r="J53" s="303">
        <f>B4</f>
        <v>323.45679012345676</v>
      </c>
      <c r="K53" s="303"/>
      <c r="L53" s="303"/>
    </row>
    <row r="54" spans="1:12">
      <c r="B54" s="364"/>
      <c r="E54" s="364"/>
      <c r="G54" s="364"/>
      <c r="H54" s="275"/>
      <c r="I54" s="302" t="s">
        <v>197</v>
      </c>
      <c r="J54" s="303">
        <v>1000</v>
      </c>
      <c r="K54" s="303"/>
      <c r="L54" s="303"/>
    </row>
    <row r="55" spans="1:12">
      <c r="B55" s="364"/>
      <c r="E55" s="364"/>
      <c r="G55" s="364"/>
      <c r="H55" s="275"/>
      <c r="I55" s="302" t="s">
        <v>273</v>
      </c>
      <c r="J55" s="303">
        <v>0.16</v>
      </c>
      <c r="K55" s="303">
        <v>0.05</v>
      </c>
      <c r="L55" s="303">
        <v>0.1</v>
      </c>
    </row>
    <row r="56" spans="1:12">
      <c r="B56" s="364"/>
      <c r="E56" s="364"/>
      <c r="G56" s="364"/>
      <c r="H56" s="275"/>
      <c r="I56" s="280" t="s">
        <v>280</v>
      </c>
      <c r="J56" s="300">
        <f>(J54/J53)*J55*G4</f>
        <v>468352.04672061076</v>
      </c>
      <c r="K56" s="300">
        <f>(J54/J53)*K55*D4</f>
        <v>529.64562881679399</v>
      </c>
      <c r="L56" s="300">
        <f>(J54/J53)*L55*E4</f>
        <v>455.85176908396949</v>
      </c>
    </row>
    <row r="57" spans="1:12">
      <c r="B57" s="364"/>
      <c r="E57" s="364"/>
      <c r="G57" s="364"/>
      <c r="H57" s="275"/>
      <c r="I57" s="280"/>
      <c r="J57" s="300"/>
      <c r="K57" s="300"/>
      <c r="L57" s="300"/>
    </row>
    <row r="58" spans="1:12">
      <c r="B58" s="364"/>
      <c r="C58" s="364"/>
      <c r="D58" s="364"/>
      <c r="E58" s="364"/>
      <c r="G58" s="364"/>
      <c r="H58" s="275"/>
      <c r="I58" s="301" t="s">
        <v>225</v>
      </c>
      <c r="J58" s="300"/>
      <c r="K58" s="300"/>
      <c r="L58" s="300"/>
    </row>
    <row r="59" spans="1:12">
      <c r="B59" s="364"/>
      <c r="C59" s="364"/>
      <c r="D59" s="364"/>
      <c r="E59" s="364"/>
      <c r="G59" s="364"/>
      <c r="H59" s="275"/>
      <c r="I59" s="302" t="s">
        <v>222</v>
      </c>
      <c r="J59" s="303">
        <f>D43</f>
        <v>11000</v>
      </c>
      <c r="K59" s="303"/>
      <c r="L59" s="303"/>
    </row>
    <row r="60" spans="1:12">
      <c r="A60" s="304"/>
      <c r="B60" s="364"/>
      <c r="C60" s="364"/>
      <c r="D60" s="364"/>
      <c r="E60" s="364"/>
      <c r="G60" s="364"/>
      <c r="H60" s="275"/>
      <c r="I60" s="302" t="s">
        <v>226</v>
      </c>
      <c r="J60" s="303">
        <v>5280</v>
      </c>
      <c r="K60" s="303"/>
      <c r="L60" s="303"/>
    </row>
    <row r="61" spans="1:12">
      <c r="B61" s="364"/>
      <c r="C61" s="364"/>
      <c r="D61" s="364"/>
      <c r="E61" s="364"/>
      <c r="G61" s="364"/>
      <c r="H61" s="275"/>
      <c r="I61" s="302" t="s">
        <v>279</v>
      </c>
      <c r="J61" s="303">
        <v>2.5499999999999998</v>
      </c>
      <c r="K61" s="303">
        <v>0.02</v>
      </c>
      <c r="L61" s="361">
        <v>3.5000000000000001E-3</v>
      </c>
    </row>
    <row r="62" spans="1:12">
      <c r="B62" s="364"/>
      <c r="C62" s="364"/>
      <c r="D62" s="364"/>
      <c r="E62" s="364"/>
      <c r="G62" s="364"/>
      <c r="H62" s="275"/>
      <c r="I62" s="280" t="s">
        <v>280</v>
      </c>
      <c r="J62" s="300">
        <f>J60*J61</f>
        <v>13463.999999999998</v>
      </c>
      <c r="K62" s="300">
        <f>J60*K61</f>
        <v>105.60000000000001</v>
      </c>
      <c r="L62" s="300">
        <f>J60*L61</f>
        <v>18.48</v>
      </c>
    </row>
    <row r="63" spans="1:12">
      <c r="B63" s="364"/>
      <c r="C63" s="364"/>
      <c r="D63" s="364"/>
      <c r="E63" s="364"/>
      <c r="G63" s="364"/>
      <c r="H63" s="275"/>
      <c r="I63" s="280"/>
      <c r="J63" s="300"/>
      <c r="K63" s="300"/>
      <c r="L63" s="300"/>
    </row>
    <row r="64" spans="1:12">
      <c r="B64" s="364"/>
      <c r="C64" s="364"/>
      <c r="D64" s="364"/>
      <c r="E64" s="364"/>
      <c r="G64" s="364"/>
      <c r="H64" s="275"/>
      <c r="I64" s="276" t="s">
        <v>227</v>
      </c>
      <c r="J64" s="298"/>
      <c r="K64" s="298"/>
      <c r="L64" s="298"/>
    </row>
    <row r="65" spans="2:12">
      <c r="B65" s="364"/>
      <c r="C65" s="364"/>
      <c r="D65" s="364"/>
      <c r="E65" s="364"/>
      <c r="G65" s="364"/>
      <c r="H65" s="275"/>
      <c r="I65" s="299" t="s">
        <v>278</v>
      </c>
      <c r="J65" s="298"/>
      <c r="K65" s="298"/>
      <c r="L65" s="298"/>
    </row>
    <row r="66" spans="2:12">
      <c r="B66" s="364"/>
      <c r="C66" s="364"/>
      <c r="D66" s="364"/>
      <c r="E66" s="364"/>
      <c r="G66" s="364"/>
      <c r="H66" s="275"/>
      <c r="I66" s="358" t="s">
        <v>195</v>
      </c>
      <c r="J66" s="298">
        <f>B4</f>
        <v>323.45679012345676</v>
      </c>
      <c r="K66" s="298"/>
      <c r="L66" s="298"/>
    </row>
    <row r="67" spans="2:12">
      <c r="B67" s="364"/>
      <c r="C67" s="364"/>
      <c r="D67" s="364"/>
      <c r="E67" s="364"/>
      <c r="G67" s="364"/>
      <c r="H67" s="275"/>
      <c r="I67" s="358" t="s">
        <v>197</v>
      </c>
      <c r="J67" s="298">
        <v>10000</v>
      </c>
      <c r="K67" s="298"/>
      <c r="L67" s="298"/>
    </row>
    <row r="68" spans="2:12">
      <c r="B68" s="364"/>
      <c r="C68" s="364"/>
      <c r="D68" s="364"/>
      <c r="E68" s="364"/>
      <c r="G68" s="364"/>
      <c r="H68" s="275"/>
      <c r="I68" s="358" t="s">
        <v>273</v>
      </c>
      <c r="J68" s="298">
        <v>0</v>
      </c>
      <c r="K68" s="298">
        <v>0.28999999999999998</v>
      </c>
      <c r="L68" s="298">
        <v>0.44</v>
      </c>
    </row>
    <row r="69" spans="2:12">
      <c r="B69" s="364"/>
      <c r="C69" s="364"/>
      <c r="D69" s="364"/>
      <c r="E69" s="364"/>
      <c r="G69" s="364"/>
      <c r="H69" s="275"/>
      <c r="I69" s="364" t="s">
        <v>280</v>
      </c>
      <c r="J69" s="298"/>
      <c r="K69" s="298">
        <f>(J67/J66)*D4*K68</f>
        <v>30719.446471374049</v>
      </c>
      <c r="L69" s="298">
        <f>(J67/J66)*E4*L68</f>
        <v>20057.477839694657</v>
      </c>
    </row>
    <row r="70" spans="2:12">
      <c r="B70" s="364"/>
      <c r="C70" s="364"/>
      <c r="D70" s="364"/>
      <c r="E70" s="364"/>
      <c r="G70" s="364"/>
      <c r="H70" s="275"/>
      <c r="I70" s="353"/>
      <c r="J70" s="298"/>
      <c r="K70" s="298"/>
      <c r="L70" s="298"/>
    </row>
    <row r="71" spans="2:12">
      <c r="B71" s="364"/>
      <c r="C71" s="364"/>
      <c r="D71" s="364"/>
      <c r="E71" s="364"/>
      <c r="G71" s="364"/>
      <c r="H71" s="275"/>
      <c r="I71" s="299" t="s">
        <v>281</v>
      </c>
      <c r="J71" s="298"/>
      <c r="K71" s="298"/>
      <c r="L71" s="298"/>
    </row>
    <row r="72" spans="2:12">
      <c r="B72" s="364"/>
      <c r="C72" s="364"/>
      <c r="D72" s="364"/>
      <c r="E72" s="364"/>
      <c r="G72" s="364"/>
      <c r="H72" s="275"/>
      <c r="I72" s="358" t="s">
        <v>273</v>
      </c>
      <c r="J72" s="298">
        <v>0</v>
      </c>
      <c r="K72" s="298">
        <v>0.15</v>
      </c>
      <c r="L72" s="298">
        <v>0.1</v>
      </c>
    </row>
    <row r="73" spans="2:12">
      <c r="B73" s="364"/>
      <c r="C73" s="364"/>
      <c r="D73" s="364"/>
      <c r="E73" s="364"/>
      <c r="G73" s="364"/>
      <c r="H73" s="275"/>
      <c r="I73" s="358" t="s">
        <v>280</v>
      </c>
      <c r="J73" s="298">
        <v>0</v>
      </c>
      <c r="K73" s="298">
        <f>(J67/J66)*D22*K72</f>
        <v>100630.96522900765</v>
      </c>
      <c r="L73" s="298">
        <f>(J67/J66)*E22*L72</f>
        <v>914.83935114503822</v>
      </c>
    </row>
    <row r="74" spans="2:12">
      <c r="B74" s="364"/>
      <c r="C74" s="364"/>
      <c r="D74" s="364"/>
      <c r="E74" s="364"/>
      <c r="G74" s="364"/>
      <c r="H74" s="275"/>
      <c r="I74" s="353"/>
      <c r="J74" s="298"/>
      <c r="K74" s="298"/>
      <c r="L74" s="298"/>
    </row>
    <row r="75" spans="2:12">
      <c r="B75" s="364"/>
      <c r="C75" s="364"/>
      <c r="D75" s="364"/>
      <c r="E75" s="364"/>
      <c r="G75" s="364"/>
      <c r="H75" s="275"/>
      <c r="I75" s="280" t="s">
        <v>282</v>
      </c>
      <c r="J75" s="300">
        <v>0</v>
      </c>
      <c r="K75" s="300">
        <f>K69+K73</f>
        <v>131350.41170038169</v>
      </c>
      <c r="L75" s="300">
        <f>L69+L73</f>
        <v>20972.317190839694</v>
      </c>
    </row>
    <row r="76" spans="2:12">
      <c r="B76" s="364"/>
      <c r="C76" s="364"/>
      <c r="D76" s="364"/>
      <c r="E76" s="364"/>
      <c r="G76" s="364"/>
      <c r="H76" s="275"/>
      <c r="I76" s="353"/>
      <c r="J76" s="298"/>
      <c r="K76" s="298"/>
      <c r="L76" s="298"/>
    </row>
    <row r="77" spans="2:12">
      <c r="B77" s="364"/>
      <c r="C77" s="364"/>
      <c r="D77" s="364"/>
      <c r="E77" s="364"/>
      <c r="G77" s="364"/>
      <c r="H77" s="275"/>
      <c r="J77" s="298"/>
      <c r="K77" s="298"/>
      <c r="L77" s="298"/>
    </row>
    <row r="78" spans="2:12">
      <c r="B78" s="364"/>
      <c r="C78" s="364"/>
      <c r="D78" s="364"/>
      <c r="E78" s="364"/>
      <c r="G78" s="364"/>
      <c r="H78" s="275"/>
      <c r="I78" s="276" t="s">
        <v>228</v>
      </c>
      <c r="J78" s="298"/>
      <c r="K78" s="298"/>
      <c r="L78" s="298"/>
    </row>
    <row r="79" spans="2:12">
      <c r="B79" s="364"/>
      <c r="C79" s="364"/>
      <c r="D79" s="364"/>
      <c r="E79" s="364"/>
      <c r="G79" s="364"/>
      <c r="H79" s="275"/>
      <c r="I79" s="364" t="s">
        <v>285</v>
      </c>
      <c r="J79" s="298">
        <v>0</v>
      </c>
      <c r="K79" s="298">
        <f>D19</f>
        <v>629.30700000000002</v>
      </c>
      <c r="L79" s="298">
        <f>E19</f>
        <v>165.375</v>
      </c>
    </row>
    <row r="80" spans="2:12">
      <c r="B80" s="364"/>
      <c r="C80" s="364"/>
      <c r="D80" s="364"/>
      <c r="E80" s="364"/>
      <c r="G80" s="364"/>
      <c r="H80" s="275"/>
      <c r="I80" s="364" t="s">
        <v>286</v>
      </c>
      <c r="J80" s="298">
        <v>0</v>
      </c>
      <c r="K80" s="298">
        <v>0.5</v>
      </c>
      <c r="L80" s="298">
        <v>0.5</v>
      </c>
    </row>
    <row r="81" spans="2:13">
      <c r="B81" s="364"/>
      <c r="C81" s="364"/>
      <c r="D81" s="364"/>
      <c r="E81" s="364"/>
      <c r="G81" s="364"/>
      <c r="H81" s="275"/>
      <c r="I81" s="364" t="s">
        <v>273</v>
      </c>
      <c r="J81" s="298">
        <v>0</v>
      </c>
      <c r="K81" s="298">
        <v>0.75</v>
      </c>
      <c r="L81" s="298">
        <v>0.75</v>
      </c>
    </row>
    <row r="82" spans="2:13">
      <c r="B82" s="364"/>
      <c r="C82" s="364"/>
      <c r="D82" s="364"/>
      <c r="E82" s="364"/>
      <c r="G82" s="364"/>
      <c r="H82" s="275"/>
      <c r="I82" s="280" t="s">
        <v>280</v>
      </c>
      <c r="J82" s="298"/>
      <c r="K82" s="300">
        <f>K79*K80*K81</f>
        <v>235.99012500000001</v>
      </c>
      <c r="L82" s="300">
        <f>L79*L80*L81</f>
        <v>62.015625</v>
      </c>
    </row>
    <row r="83" spans="2:13">
      <c r="B83" s="364"/>
      <c r="C83" s="364"/>
      <c r="D83" s="364"/>
      <c r="E83" s="364"/>
      <c r="G83" s="364"/>
      <c r="H83" s="275"/>
      <c r="J83" s="298"/>
      <c r="K83" s="298"/>
      <c r="L83" s="298"/>
    </row>
    <row r="84" spans="2:13">
      <c r="B84" s="364"/>
      <c r="C84" s="364"/>
      <c r="D84" s="364"/>
      <c r="E84" s="364"/>
      <c r="G84" s="364"/>
      <c r="H84" s="275"/>
      <c r="J84" s="298"/>
      <c r="K84" s="298"/>
      <c r="L84" s="298"/>
    </row>
    <row r="85" spans="2:13">
      <c r="B85" s="364"/>
      <c r="C85" s="364"/>
      <c r="D85" s="364"/>
      <c r="E85" s="364"/>
      <c r="G85" s="364"/>
      <c r="H85" s="275"/>
      <c r="J85" s="298"/>
      <c r="K85" s="298"/>
      <c r="L85" s="298"/>
    </row>
    <row r="86" spans="2:13">
      <c r="B86" s="364"/>
      <c r="C86" s="364"/>
      <c r="D86" s="364"/>
      <c r="E86" s="364"/>
      <c r="G86" s="364"/>
      <c r="H86" s="275"/>
      <c r="I86" s="304" t="s">
        <v>277</v>
      </c>
      <c r="J86" s="305">
        <f>J5+J12+J20+J33+J39+J44+J50+J56+J62</f>
        <v>1631816.0467206107</v>
      </c>
      <c r="K86" s="305">
        <f>K5+K12+K20+K33+K39+K44+K50+K56+K62+K75+K82</f>
        <v>134141.64745419851</v>
      </c>
      <c r="L86" s="305">
        <f>L5+L12+L20+L33+L39+L44+L50+L56+L62+L75+L82</f>
        <v>23248.664584923663</v>
      </c>
    </row>
    <row r="87" spans="2:13">
      <c r="B87" s="364"/>
      <c r="C87" s="364"/>
      <c r="D87" s="364"/>
      <c r="E87" s="364"/>
      <c r="G87" s="364"/>
      <c r="H87" s="275"/>
      <c r="I87" s="362" t="s">
        <v>287</v>
      </c>
      <c r="J87" s="362">
        <f>J86/G25*100</f>
        <v>59.294161927269037</v>
      </c>
      <c r="K87" s="362">
        <f>K86/D25*100</f>
        <v>433.95760138202996</v>
      </c>
      <c r="L87" s="362">
        <f>L86/E25*100</f>
        <v>614.35800353424554</v>
      </c>
    </row>
    <row r="88" spans="2:13">
      <c r="B88" s="364"/>
      <c r="C88" s="364"/>
      <c r="D88" s="364"/>
      <c r="E88" s="364"/>
      <c r="G88" s="364"/>
    </row>
    <row r="89" spans="2:13">
      <c r="B89" s="364"/>
      <c r="C89" s="364"/>
      <c r="D89" s="364"/>
      <c r="E89" s="364"/>
      <c r="G89" s="364"/>
    </row>
    <row r="90" spans="2:13">
      <c r="B90" s="364"/>
      <c r="C90" s="364"/>
      <c r="D90" s="364"/>
      <c r="E90" s="364"/>
      <c r="G90" s="364"/>
    </row>
    <row r="91" spans="2:13">
      <c r="B91" s="364"/>
      <c r="C91" s="364"/>
      <c r="D91" s="364"/>
      <c r="E91" s="364"/>
      <c r="G91" s="364"/>
      <c r="I91" s="304"/>
      <c r="J91" s="304"/>
      <c r="K91" s="304"/>
      <c r="L91" s="304"/>
      <c r="M91" s="304"/>
    </row>
    <row r="92" spans="2:13">
      <c r="B92" s="364"/>
      <c r="C92" s="364"/>
      <c r="D92" s="364"/>
      <c r="E92" s="364"/>
      <c r="G92" s="364"/>
      <c r="I92" s="304"/>
      <c r="J92" s="304"/>
      <c r="K92" s="304"/>
      <c r="L92" s="304"/>
      <c r="M92" s="304"/>
    </row>
    <row r="93" spans="2:13">
      <c r="B93" s="364"/>
      <c r="C93" s="364"/>
      <c r="D93" s="364"/>
      <c r="E93" s="364"/>
      <c r="G93" s="364"/>
      <c r="I93" s="304"/>
      <c r="J93" s="304"/>
      <c r="K93" s="304"/>
      <c r="L93" s="304"/>
      <c r="M93" s="304"/>
    </row>
    <row r="94" spans="2:13">
      <c r="B94" s="364"/>
      <c r="C94" s="364"/>
      <c r="D94" s="364"/>
      <c r="E94" s="364"/>
      <c r="G94" s="364"/>
    </row>
    <row r="95" spans="2:13">
      <c r="B95" s="364"/>
      <c r="C95" s="364"/>
      <c r="D95" s="364"/>
      <c r="E95" s="364"/>
      <c r="G95" s="364"/>
      <c r="I95" s="306"/>
      <c r="J95" s="306"/>
      <c r="K95" s="306"/>
      <c r="L95" s="306"/>
      <c r="M95" s="306"/>
    </row>
    <row r="96" spans="2:13">
      <c r="B96" s="364"/>
      <c r="C96" s="364"/>
      <c r="D96" s="364"/>
      <c r="E96" s="364"/>
      <c r="G96" s="364"/>
      <c r="I96" s="306"/>
      <c r="J96" s="306"/>
      <c r="K96" s="306"/>
      <c r="L96" s="306"/>
      <c r="M96" s="306"/>
    </row>
    <row r="97" spans="2:7">
      <c r="B97" s="364"/>
      <c r="C97" s="364"/>
      <c r="D97" s="364"/>
      <c r="E97" s="364"/>
      <c r="G97" s="364"/>
    </row>
    <row r="98" spans="2:7">
      <c r="B98" s="364"/>
      <c r="C98" s="364"/>
      <c r="D98" s="364"/>
      <c r="E98" s="364"/>
      <c r="G98" s="364"/>
    </row>
    <row r="99" spans="2:7">
      <c r="B99" s="364"/>
      <c r="C99" s="364"/>
      <c r="D99" s="364"/>
      <c r="E99" s="364"/>
      <c r="G99" s="364"/>
    </row>
    <row r="100" spans="2:7">
      <c r="B100" s="364"/>
      <c r="C100" s="364"/>
      <c r="D100" s="364"/>
      <c r="E100" s="364"/>
      <c r="G100" s="364"/>
    </row>
    <row r="101" spans="2:7">
      <c r="B101" s="364"/>
      <c r="C101" s="364"/>
      <c r="D101" s="364"/>
      <c r="E101" s="364"/>
      <c r="G101" s="364"/>
    </row>
    <row r="102" spans="2:7">
      <c r="B102" s="364"/>
      <c r="C102" s="364"/>
      <c r="D102" s="364"/>
      <c r="E102" s="364"/>
      <c r="G102" s="364"/>
    </row>
    <row r="103" spans="2:7">
      <c r="B103" s="364"/>
      <c r="C103" s="364"/>
      <c r="D103" s="364"/>
      <c r="E103" s="364"/>
      <c r="G103" s="364"/>
    </row>
    <row r="104" spans="2:7">
      <c r="B104" s="364"/>
      <c r="C104" s="364"/>
      <c r="D104" s="364"/>
      <c r="E104" s="364"/>
      <c r="G104" s="364"/>
    </row>
    <row r="105" spans="2:7">
      <c r="B105" s="364"/>
      <c r="C105" s="364"/>
      <c r="D105" s="364"/>
      <c r="E105" s="364"/>
      <c r="G105" s="364"/>
    </row>
    <row r="106" spans="2:7">
      <c r="B106" s="364"/>
      <c r="C106" s="364"/>
      <c r="D106" s="364"/>
      <c r="E106" s="364"/>
      <c r="G106" s="364"/>
    </row>
    <row r="107" spans="2:7">
      <c r="B107" s="364"/>
      <c r="C107" s="364"/>
      <c r="D107" s="364"/>
      <c r="E107" s="364"/>
      <c r="G107" s="364"/>
    </row>
    <row r="108" spans="2:7">
      <c r="B108" s="364"/>
      <c r="C108" s="364"/>
      <c r="D108" s="364"/>
      <c r="E108" s="364"/>
      <c r="G108" s="364"/>
    </row>
    <row r="109" spans="2:7">
      <c r="B109" s="364"/>
      <c r="C109" s="364"/>
      <c r="D109" s="364"/>
      <c r="E109" s="364"/>
      <c r="G109" s="364"/>
    </row>
    <row r="110" spans="2:7">
      <c r="B110" s="364"/>
      <c r="C110" s="364"/>
      <c r="D110" s="364"/>
      <c r="E110" s="364"/>
      <c r="G110" s="364"/>
    </row>
    <row r="111" spans="2:7">
      <c r="B111" s="364"/>
      <c r="C111" s="364"/>
      <c r="D111" s="364"/>
      <c r="E111" s="364"/>
      <c r="G111" s="364"/>
    </row>
    <row r="112" spans="2:7">
      <c r="B112" s="364"/>
      <c r="C112" s="364"/>
      <c r="D112" s="364"/>
      <c r="E112" s="364"/>
      <c r="G112" s="364"/>
    </row>
    <row r="113" spans="2:7">
      <c r="B113" s="364"/>
      <c r="C113" s="364"/>
      <c r="D113" s="364"/>
      <c r="E113" s="364"/>
      <c r="G113" s="364"/>
    </row>
    <row r="117" spans="2:7">
      <c r="B117" s="364"/>
      <c r="C117" s="364"/>
      <c r="D117" s="364"/>
      <c r="E117" s="364"/>
      <c r="G117" s="364"/>
    </row>
    <row r="118" spans="2:7">
      <c r="B118" s="364"/>
      <c r="C118" s="364"/>
      <c r="D118" s="364"/>
      <c r="E118" s="364"/>
      <c r="G118" s="364"/>
    </row>
    <row r="119" spans="2:7">
      <c r="B119" s="364"/>
      <c r="C119" s="364"/>
      <c r="D119" s="364"/>
      <c r="E119" s="364"/>
      <c r="G119" s="364"/>
    </row>
    <row r="129" s="364" customFormat="1"/>
    <row r="130" s="364" customFormat="1"/>
    <row r="131" s="364" customFormat="1"/>
    <row r="132" s="364" customFormat="1"/>
    <row r="133" s="364" customFormat="1"/>
    <row r="134" s="364" customFormat="1"/>
    <row r="135" s="364" customFormat="1"/>
    <row r="136" s="364" customFormat="1"/>
    <row r="137" s="364" customFormat="1"/>
    <row r="138" s="364" customFormat="1"/>
    <row r="139" s="364" customFormat="1"/>
    <row r="140" s="364" customFormat="1"/>
    <row r="141" s="364" customFormat="1"/>
    <row r="142" s="364" customFormat="1"/>
    <row r="143" s="364" customFormat="1"/>
    <row r="144" s="364" customFormat="1"/>
    <row r="145" s="364" customFormat="1"/>
    <row r="146" s="364" customFormat="1"/>
    <row r="147" s="364" customFormat="1"/>
    <row r="148" s="364" customFormat="1"/>
    <row r="149" s="364" customFormat="1"/>
    <row r="150" s="364" customFormat="1"/>
    <row r="151" s="364" customFormat="1"/>
    <row r="152" s="364" customFormat="1"/>
    <row r="153" s="364" customFormat="1"/>
    <row r="154" s="364" customFormat="1"/>
    <row r="155" s="364" customFormat="1"/>
    <row r="156" s="364" customFormat="1"/>
    <row r="157" s="364" customFormat="1"/>
    <row r="158" s="364" customFormat="1"/>
    <row r="159" s="364" customFormat="1"/>
    <row r="160" s="364" customFormat="1"/>
    <row r="161" s="364" customFormat="1"/>
    <row r="162" s="364" customFormat="1"/>
    <row r="163" s="364" customFormat="1"/>
    <row r="164" s="364" customFormat="1"/>
    <row r="165" s="364" customFormat="1"/>
    <row r="166" s="364" customFormat="1"/>
    <row r="167" s="364" customFormat="1"/>
  </sheetData>
  <mergeCells count="3">
    <mergeCell ref="A1:E1"/>
    <mergeCell ref="A26:C26"/>
    <mergeCell ref="A27:C2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7"/>
  <sheetViews>
    <sheetView zoomScale="80" zoomScaleNormal="80" workbookViewId="0">
      <selection activeCell="J10" sqref="J10"/>
    </sheetView>
  </sheetViews>
  <sheetFormatPr baseColWidth="10" defaultColWidth="8.83203125" defaultRowHeight="15"/>
  <cols>
    <col min="6" max="6" width="16.5" customWidth="1"/>
    <col min="7" max="7" width="11.6640625" customWidth="1"/>
    <col min="8" max="8" width="11.5" customWidth="1"/>
    <col min="10" max="10" width="20" customWidth="1"/>
    <col min="11" max="11" width="13.1640625" customWidth="1"/>
    <col min="12" max="12" width="11.83203125" customWidth="1"/>
  </cols>
  <sheetData>
    <row r="1" spans="1:12" s="384" customFormat="1" ht="24">
      <c r="F1" s="440" t="s">
        <v>374</v>
      </c>
      <c r="G1" s="440"/>
      <c r="H1" s="440"/>
      <c r="J1" s="440" t="s">
        <v>375</v>
      </c>
      <c r="K1" s="440"/>
      <c r="L1" s="440"/>
    </row>
    <row r="2" spans="1:12" s="224" customFormat="1">
      <c r="F2" s="366" t="s">
        <v>291</v>
      </c>
      <c r="G2" s="366" t="s">
        <v>292</v>
      </c>
      <c r="H2" s="366" t="s">
        <v>293</v>
      </c>
      <c r="J2" s="366" t="s">
        <v>291</v>
      </c>
      <c r="K2" s="366" t="s">
        <v>292</v>
      </c>
      <c r="L2" s="366" t="s">
        <v>293</v>
      </c>
    </row>
    <row r="3" spans="1:12" s="224" customFormat="1">
      <c r="F3" s="367"/>
      <c r="G3" s="367"/>
      <c r="H3" s="367"/>
    </row>
    <row r="4" spans="1:12">
      <c r="A4" s="368" t="s">
        <v>300</v>
      </c>
      <c r="F4" s="370">
        <f>+'Agricultural BMPs (Existing)'!G25</f>
        <v>2752068.6584999999</v>
      </c>
      <c r="G4" s="370">
        <f>+'Agricultural BMPs (Existing)'!D25</f>
        <v>30911.233500000002</v>
      </c>
      <c r="H4" s="370">
        <f>+'Agricultural BMPs (Existing)'!E25</f>
        <v>3784.2210000000005</v>
      </c>
    </row>
    <row r="5" spans="1:12">
      <c r="F5" s="370"/>
      <c r="G5" s="370"/>
      <c r="H5" s="370"/>
    </row>
    <row r="6" spans="1:12">
      <c r="A6" s="368" t="s">
        <v>294</v>
      </c>
      <c r="F6" s="370">
        <v>0</v>
      </c>
      <c r="G6" s="370">
        <v>0</v>
      </c>
      <c r="H6" s="370">
        <v>0</v>
      </c>
    </row>
    <row r="7" spans="1:12">
      <c r="F7" s="370"/>
      <c r="G7" s="370"/>
      <c r="H7" s="370"/>
    </row>
    <row r="8" spans="1:12">
      <c r="A8" s="368" t="s">
        <v>295</v>
      </c>
      <c r="F8" s="370">
        <v>0</v>
      </c>
      <c r="G8" s="370">
        <v>0</v>
      </c>
      <c r="H8" s="370">
        <v>0</v>
      </c>
    </row>
    <row r="9" spans="1:12">
      <c r="F9" s="370"/>
      <c r="G9" s="370"/>
      <c r="H9" s="370"/>
      <c r="J9" s="385" t="s">
        <v>376</v>
      </c>
    </row>
    <row r="10" spans="1:12">
      <c r="A10" s="368" t="s">
        <v>296</v>
      </c>
      <c r="F10" s="370">
        <f>+'Agricultural BMPs (Existing)'!J86</f>
        <v>22085539.880831886</v>
      </c>
      <c r="G10" s="370">
        <f>+'Agricultural BMPs (Existing)'!K86</f>
        <v>178063.18178257108</v>
      </c>
      <c r="H10" s="370">
        <f>+'Agricultural BMPs (Existing)'!L86</f>
        <v>58177.203550222359</v>
      </c>
    </row>
    <row r="11" spans="1:12">
      <c r="F11" s="370"/>
      <c r="G11" s="370"/>
      <c r="H11" s="370"/>
    </row>
    <row r="12" spans="1:12">
      <c r="A12" s="368" t="s">
        <v>297</v>
      </c>
      <c r="F12" s="370">
        <f>+'Agricultural BMPs (Proposed)'!J86</f>
        <v>1631816.0467206107</v>
      </c>
      <c r="G12" s="370">
        <f>+'Agricultural BMPs (Proposed)'!K86</f>
        <v>134141.64745419851</v>
      </c>
      <c r="H12" s="370">
        <f>+'Agricultural BMPs (Proposed)'!L86</f>
        <v>23248.664584923663</v>
      </c>
    </row>
    <row r="13" spans="1:12">
      <c r="F13" s="370"/>
      <c r="G13" s="370"/>
      <c r="H13" s="370"/>
    </row>
    <row r="14" spans="1:12">
      <c r="F14" s="370"/>
      <c r="G14" s="370"/>
      <c r="H14" s="370"/>
    </row>
    <row r="15" spans="1:12">
      <c r="A15" s="224" t="s">
        <v>298</v>
      </c>
      <c r="F15" s="370">
        <f>SUM(F6:F12)</f>
        <v>23717355.927552495</v>
      </c>
      <c r="G15" s="370">
        <f>SUM(G6:G12)</f>
        <v>312204.82923676958</v>
      </c>
      <c r="H15" s="370">
        <f>SUM(H6:H12)</f>
        <v>81425.868135146025</v>
      </c>
    </row>
    <row r="16" spans="1:12" s="267" customFormat="1">
      <c r="A16" s="224" t="s">
        <v>299</v>
      </c>
      <c r="F16" s="370">
        <f>F4-F15</f>
        <v>-20965287.269052494</v>
      </c>
      <c r="G16" s="370">
        <f>G4-G15</f>
        <v>-281293.59573676961</v>
      </c>
      <c r="H16" s="370">
        <f>H4-H15</f>
        <v>-77641.64713514602</v>
      </c>
    </row>
    <row r="17" spans="1:8">
      <c r="A17" s="224" t="s">
        <v>290</v>
      </c>
      <c r="F17" s="369">
        <f>(F15/F4)*100</f>
        <v>861.80102572293788</v>
      </c>
      <c r="G17" s="369">
        <f>(G15/G4)*100</f>
        <v>1010.0044349144772</v>
      </c>
      <c r="H17" s="369">
        <f>(H15/H4)*100</f>
        <v>2151.7207408115437</v>
      </c>
    </row>
    <row r="20" spans="1:8">
      <c r="A20" s="224" t="s">
        <v>303</v>
      </c>
      <c r="F20" s="370">
        <f>F4-(F6+F10)</f>
        <v>-19333471.222331885</v>
      </c>
      <c r="G20" s="370">
        <f t="shared" ref="G20:H20" si="0">G4-(G6+G10)</f>
        <v>-147151.94828257107</v>
      </c>
      <c r="H20" s="370">
        <f t="shared" si="0"/>
        <v>-54392.982550222361</v>
      </c>
    </row>
    <row r="21" spans="1:8">
      <c r="A21" s="224" t="s">
        <v>306</v>
      </c>
      <c r="F21" s="370">
        <f>F8+F12</f>
        <v>1631816.0467206107</v>
      </c>
      <c r="G21" s="370">
        <f t="shared" ref="G21:H21" si="1">G8+G12</f>
        <v>134141.64745419851</v>
      </c>
      <c r="H21" s="370">
        <f t="shared" si="1"/>
        <v>23248.664584923663</v>
      </c>
    </row>
    <row r="22" spans="1:8">
      <c r="A22" s="224" t="s">
        <v>304</v>
      </c>
      <c r="F22" s="369">
        <f>(F21/F20)*100</f>
        <v>-8.4403676295631662</v>
      </c>
      <c r="G22" s="369">
        <f t="shared" ref="G22:H22" si="2">(G21/G20)*100</f>
        <v>-91.158594242062421</v>
      </c>
      <c r="H22" s="369">
        <f t="shared" si="2"/>
        <v>-42.742029384870754</v>
      </c>
    </row>
    <row r="24" spans="1:8" s="267" customFormat="1"/>
    <row r="26" spans="1:8" s="368" customFormat="1">
      <c r="A26" s="368" t="s">
        <v>305</v>
      </c>
    </row>
    <row r="27" spans="1:8" s="368" customFormat="1">
      <c r="A27" s="368" t="s">
        <v>307</v>
      </c>
    </row>
  </sheetData>
  <mergeCells count="2">
    <mergeCell ref="F1:H1"/>
    <mergeCell ref="J1:L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3:H25"/>
  <sheetViews>
    <sheetView workbookViewId="0">
      <selection activeCell="A3" sqref="A3:XFD24"/>
    </sheetView>
  </sheetViews>
  <sheetFormatPr baseColWidth="10" defaultColWidth="8.83203125" defaultRowHeight="15"/>
  <cols>
    <col min="6" max="6" width="12.5" customWidth="1"/>
  </cols>
  <sheetData>
    <row r="3" spans="1:8" s="1" customFormat="1" ht="13">
      <c r="A3" s="38" t="s">
        <v>330</v>
      </c>
      <c r="H3" s="38" t="s">
        <v>350</v>
      </c>
    </row>
    <row r="4" spans="1:8" s="1" customFormat="1" ht="13">
      <c r="A4" s="38"/>
    </row>
    <row r="5" spans="1:8" s="1" customFormat="1" ht="13">
      <c r="A5" s="1" t="s">
        <v>331</v>
      </c>
      <c r="C5" s="100"/>
      <c r="D5" s="1" t="s">
        <v>332</v>
      </c>
      <c r="F5" s="100" t="s">
        <v>349</v>
      </c>
      <c r="H5" s="1" t="s">
        <v>351</v>
      </c>
    </row>
    <row r="6" spans="1:8" s="1" customFormat="1" ht="13">
      <c r="A6" s="1" t="s">
        <v>333</v>
      </c>
      <c r="D6" s="1">
        <v>0.32</v>
      </c>
      <c r="F6" s="100">
        <f t="shared" ref="F6:F21" si="0">(D6*100)/0.405</f>
        <v>79.012345679012341</v>
      </c>
    </row>
    <row r="7" spans="1:8" s="1" customFormat="1" ht="13">
      <c r="A7" s="1" t="s">
        <v>334</v>
      </c>
      <c r="D7" s="1">
        <v>0</v>
      </c>
      <c r="F7" s="100">
        <f t="shared" si="0"/>
        <v>0</v>
      </c>
    </row>
    <row r="8" spans="1:8" s="1" customFormat="1" ht="13">
      <c r="A8" s="1" t="s">
        <v>335</v>
      </c>
      <c r="D8" s="1">
        <v>33.21</v>
      </c>
      <c r="F8" s="100">
        <f t="shared" si="0"/>
        <v>8200</v>
      </c>
    </row>
    <row r="9" spans="1:8" s="1" customFormat="1" ht="13">
      <c r="A9" s="1" t="s">
        <v>336</v>
      </c>
      <c r="D9" s="1">
        <v>16.93</v>
      </c>
      <c r="F9" s="100">
        <f t="shared" si="0"/>
        <v>4180.2469135802467</v>
      </c>
    </row>
    <row r="10" spans="1:8" s="1" customFormat="1" ht="13">
      <c r="A10" s="1" t="s">
        <v>337</v>
      </c>
      <c r="D10" s="1">
        <v>4.38</v>
      </c>
      <c r="F10" s="100">
        <f t="shared" si="0"/>
        <v>1081.4814814814815</v>
      </c>
    </row>
    <row r="11" spans="1:8" s="1" customFormat="1" ht="13">
      <c r="A11" s="1" t="s">
        <v>338</v>
      </c>
      <c r="D11" s="1">
        <v>1.06</v>
      </c>
      <c r="F11" s="100">
        <f t="shared" si="0"/>
        <v>261.72839506172835</v>
      </c>
    </row>
    <row r="12" spans="1:8" s="1" customFormat="1" ht="13">
      <c r="A12" s="1" t="s">
        <v>339</v>
      </c>
      <c r="D12" s="1">
        <v>0.71</v>
      </c>
      <c r="F12" s="100">
        <f t="shared" si="0"/>
        <v>175.30864197530863</v>
      </c>
    </row>
    <row r="13" spans="1:8" s="1" customFormat="1" ht="13">
      <c r="A13" s="1" t="s">
        <v>340</v>
      </c>
      <c r="D13" s="1">
        <v>86.74</v>
      </c>
      <c r="F13" s="100">
        <f t="shared" si="0"/>
        <v>21417.283950617282</v>
      </c>
    </row>
    <row r="14" spans="1:8" s="1" customFormat="1" ht="13">
      <c r="A14" s="1" t="s">
        <v>341</v>
      </c>
      <c r="D14" s="1">
        <v>1.1100000000000001</v>
      </c>
      <c r="F14" s="100">
        <f t="shared" si="0"/>
        <v>274.07407407407408</v>
      </c>
    </row>
    <row r="15" spans="1:8" s="1" customFormat="1" ht="13">
      <c r="A15" s="1" t="s">
        <v>342</v>
      </c>
      <c r="D15" s="1">
        <v>4.5199999999999996</v>
      </c>
      <c r="F15" s="100">
        <f t="shared" si="0"/>
        <v>1116.0493827160492</v>
      </c>
    </row>
    <row r="16" spans="1:8" s="1" customFormat="1" ht="13">
      <c r="A16" s="1" t="s">
        <v>343</v>
      </c>
      <c r="D16" s="1">
        <v>13.6</v>
      </c>
      <c r="F16" s="100">
        <f t="shared" si="0"/>
        <v>3358.0246913580245</v>
      </c>
    </row>
    <row r="17" spans="1:6" s="1" customFormat="1" ht="13">
      <c r="A17" s="1" t="s">
        <v>344</v>
      </c>
      <c r="D17" s="1">
        <v>1.18</v>
      </c>
      <c r="F17" s="100">
        <f t="shared" si="0"/>
        <v>291.35802469135803</v>
      </c>
    </row>
    <row r="18" spans="1:6" s="1" customFormat="1" ht="13">
      <c r="A18" s="1" t="s">
        <v>345</v>
      </c>
      <c r="D18" s="1">
        <v>95.42</v>
      </c>
      <c r="F18" s="100">
        <f t="shared" si="0"/>
        <v>23560.493827160491</v>
      </c>
    </row>
    <row r="19" spans="1:6" s="1" customFormat="1" ht="13">
      <c r="A19" s="1" t="s">
        <v>346</v>
      </c>
      <c r="D19" s="1">
        <v>138.96</v>
      </c>
      <c r="F19" s="100">
        <f t="shared" si="0"/>
        <v>34311.111111111109</v>
      </c>
    </row>
    <row r="20" spans="1:6" s="1" customFormat="1" ht="13">
      <c r="A20" s="1" t="s">
        <v>347</v>
      </c>
      <c r="D20" s="1">
        <v>1.4</v>
      </c>
      <c r="F20" s="100">
        <f t="shared" si="0"/>
        <v>345.67901234567898</v>
      </c>
    </row>
    <row r="21" spans="1:6" s="1" customFormat="1" ht="13">
      <c r="A21" s="1" t="s">
        <v>348</v>
      </c>
      <c r="D21" s="1">
        <v>0.32</v>
      </c>
      <c r="F21" s="100">
        <f t="shared" si="0"/>
        <v>79.012345679012341</v>
      </c>
    </row>
    <row r="22" spans="1:6" s="1" customFormat="1" ht="13"/>
    <row r="23" spans="1:6" s="1" customFormat="1" ht="13">
      <c r="F23" s="100">
        <f>SUM(F6:F21)</f>
        <v>98730.864197530842</v>
      </c>
    </row>
    <row r="24" spans="1:6" s="1" customFormat="1" ht="13"/>
    <row r="25" spans="1:6" s="1" customFormat="1" ht="1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N13"/>
  <sheetViews>
    <sheetView zoomScale="120" zoomScaleNormal="120" workbookViewId="0">
      <selection activeCell="A5" sqref="A5"/>
    </sheetView>
  </sheetViews>
  <sheetFormatPr baseColWidth="10" defaultColWidth="8.83203125" defaultRowHeight="15"/>
  <cols>
    <col min="1" max="1" width="13.5" customWidth="1"/>
    <col min="2" max="2" width="76.5" customWidth="1"/>
    <col min="3" max="3" width="1.5" customWidth="1"/>
  </cols>
  <sheetData>
    <row r="1" spans="1:14">
      <c r="A1" s="109" t="s">
        <v>234</v>
      </c>
      <c r="B1" s="110"/>
    </row>
    <row r="2" spans="1:14" ht="18.75" customHeight="1">
      <c r="A2" s="389" t="str">
        <f>CONCATENATE("Watershed: ",'MMW Output'!C15)</f>
        <v>Watershed: User Specified</v>
      </c>
      <c r="B2" s="390"/>
    </row>
    <row r="3" spans="1:14" ht="26.25" customHeight="1">
      <c r="A3" s="234" t="str">
        <f>CONCATENATE("Year: ",'MMW Output'!C16)</f>
        <v>Year: User Specified</v>
      </c>
      <c r="B3" s="113"/>
    </row>
    <row r="4" spans="1:14" s="214" customFormat="1" ht="18" customHeight="1">
      <c r="A4" s="235" t="s">
        <v>147</v>
      </c>
      <c r="B4" s="227"/>
    </row>
    <row r="5" spans="1:14" ht="72" customHeight="1">
      <c r="A5" s="229" t="s">
        <v>98</v>
      </c>
      <c r="B5" s="225" t="s">
        <v>236</v>
      </c>
    </row>
    <row r="6" spans="1:14" ht="69" customHeight="1">
      <c r="A6" s="225"/>
      <c r="B6" s="225" t="s">
        <v>235</v>
      </c>
    </row>
    <row r="7" spans="1:14">
      <c r="A7" s="110"/>
      <c r="B7" s="110"/>
    </row>
    <row r="8" spans="1:14">
      <c r="A8" s="111" t="s">
        <v>99</v>
      </c>
      <c r="B8" s="110"/>
      <c r="C8" s="108"/>
      <c r="D8" s="108"/>
      <c r="E8" s="108"/>
      <c r="F8" s="108"/>
      <c r="G8" s="108"/>
      <c r="H8" s="108"/>
      <c r="I8" s="108"/>
      <c r="J8" s="108"/>
      <c r="K8" s="108"/>
      <c r="L8" s="108"/>
      <c r="M8" s="108"/>
      <c r="N8" s="108"/>
    </row>
    <row r="9" spans="1:14" s="214" customFormat="1" ht="96" customHeight="1">
      <c r="A9" s="226"/>
      <c r="B9" s="112" t="s">
        <v>237</v>
      </c>
      <c r="C9" s="224"/>
      <c r="D9" s="224"/>
      <c r="E9" s="224"/>
      <c r="F9" s="224"/>
      <c r="G9" s="224"/>
      <c r="H9" s="224"/>
      <c r="I9" s="224"/>
      <c r="J9" s="224"/>
      <c r="K9" s="224"/>
      <c r="L9" s="224"/>
      <c r="M9" s="224"/>
      <c r="N9" s="224"/>
    </row>
    <row r="10" spans="1:14" s="214" customFormat="1" ht="85.5" customHeight="1">
      <c r="A10" s="226"/>
      <c r="B10" s="110" t="s">
        <v>238</v>
      </c>
      <c r="C10" s="224"/>
      <c r="D10" s="224"/>
      <c r="E10" s="224"/>
      <c r="F10" s="224"/>
      <c r="G10" s="224"/>
      <c r="H10" s="224"/>
      <c r="I10" s="224"/>
      <c r="J10" s="224"/>
      <c r="K10" s="224"/>
      <c r="L10" s="224"/>
      <c r="M10" s="224"/>
      <c r="N10" s="224"/>
    </row>
    <row r="11" spans="1:14" ht="141.75" customHeight="1">
      <c r="B11" s="110" t="s">
        <v>260</v>
      </c>
      <c r="C11" s="108"/>
      <c r="D11" s="108"/>
      <c r="E11" s="108"/>
      <c r="F11" s="108"/>
      <c r="G11" s="108"/>
      <c r="H11" s="108"/>
      <c r="I11" s="108"/>
      <c r="J11" s="108"/>
      <c r="K11" s="108"/>
      <c r="L11" s="108"/>
      <c r="M11" s="108"/>
      <c r="N11" s="108"/>
    </row>
    <row r="12" spans="1:14" ht="52.5" customHeight="1">
      <c r="A12" s="110"/>
      <c r="B12" s="110" t="s">
        <v>261</v>
      </c>
    </row>
    <row r="13" spans="1:14" ht="51.75" customHeight="1">
      <c r="B13" s="110" t="s">
        <v>239</v>
      </c>
    </row>
  </sheetData>
  <mergeCells count="1">
    <mergeCell ref="A2:B2"/>
  </mergeCells>
  <phoneticPr fontId="47" type="noConversion"/>
  <pageMargins left="0.7" right="0.7" top="0.75" bottom="0.75" header="0.3" footer="0.3"/>
  <pageSetup orientation="portrait" r:id="rId1"/>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G53"/>
  <sheetViews>
    <sheetView tabSelected="1" zoomScale="120" zoomScaleNormal="120" zoomScalePageLayoutView="110" workbookViewId="0">
      <selection activeCell="AD17" sqref="AD17"/>
    </sheetView>
  </sheetViews>
  <sheetFormatPr baseColWidth="10" defaultColWidth="8.83203125" defaultRowHeight="13"/>
  <cols>
    <col min="1" max="1" width="3.33203125" style="1" customWidth="1"/>
    <col min="2" max="2" width="16.5" style="1" customWidth="1"/>
    <col min="3" max="3" width="13" style="1" customWidth="1"/>
    <col min="4" max="5" width="8.6640625" style="1" hidden="1" customWidth="1"/>
    <col min="6" max="6" width="1.5" style="1" customWidth="1"/>
    <col min="7" max="7" width="12.5" style="1" customWidth="1"/>
    <col min="8" max="8" width="9.33203125" style="1" hidden="1" customWidth="1"/>
    <col min="9" max="9" width="1.5" style="1" customWidth="1"/>
    <col min="10" max="10" width="13.33203125" style="1" customWidth="1"/>
    <col min="11" max="11" width="8.6640625" style="1" hidden="1" customWidth="1"/>
    <col min="12" max="12" width="1.5" style="1" customWidth="1"/>
    <col min="13" max="13" width="16" style="1" customWidth="1"/>
    <col min="14" max="14" width="3.1640625" style="1" customWidth="1"/>
    <col min="15" max="15" width="11.83203125" style="1" customWidth="1"/>
    <col min="16" max="16" width="10.33203125" style="105" customWidth="1"/>
    <col min="17" max="17" width="11.33203125" style="1" customWidth="1"/>
    <col min="18" max="18" width="1.6640625" style="1" customWidth="1"/>
    <col min="19" max="19" width="10.1640625" style="1" customWidth="1"/>
    <col min="20" max="20" width="10.5" style="1" customWidth="1"/>
    <col min="21" max="21" width="10.83203125" style="1" customWidth="1"/>
    <col min="22" max="22" width="10.5" style="1" customWidth="1"/>
    <col min="23" max="23" width="1.6640625" style="1" customWidth="1"/>
    <col min="24" max="24" width="10.5" style="1" customWidth="1"/>
    <col min="25" max="25" width="10.33203125" style="1" customWidth="1"/>
    <col min="26" max="26" width="10.83203125" style="1" customWidth="1"/>
    <col min="27" max="27" width="14" style="1" customWidth="1"/>
    <col min="28" max="28" width="14.6640625" style="1" customWidth="1"/>
    <col min="29" max="16384" width="8.83203125" style="1"/>
  </cols>
  <sheetData>
    <row r="1" spans="1:33" ht="16">
      <c r="A1" s="215" t="s">
        <v>231</v>
      </c>
      <c r="B1" s="215"/>
      <c r="C1" s="215"/>
      <c r="D1" s="215"/>
      <c r="E1" s="215"/>
      <c r="F1" s="215"/>
      <c r="G1" s="215"/>
      <c r="H1" s="215"/>
      <c r="I1" s="215"/>
      <c r="J1" s="215"/>
    </row>
    <row r="2" spans="1:33" ht="6.5" customHeight="1"/>
    <row r="3" spans="1:33" ht="16">
      <c r="A3" s="215" t="str">
        <f>CONCATENATE("Watershed: ",'MMW Output'!B3)</f>
        <v>Watershed: User Specified</v>
      </c>
      <c r="B3" s="215"/>
      <c r="C3" s="215"/>
    </row>
    <row r="4" spans="1:33" ht="6.5" customHeight="1">
      <c r="A4" s="215"/>
      <c r="B4" s="215"/>
      <c r="C4" s="215"/>
    </row>
    <row r="5" spans="1:33" ht="16">
      <c r="A5" s="215" t="str">
        <f>CONCATENATE("Year: ",'MMW Output'!C16)</f>
        <v>Year: User Specified</v>
      </c>
      <c r="B5" s="215"/>
      <c r="C5" s="215"/>
      <c r="D5" s="4"/>
      <c r="E5" s="4"/>
      <c r="F5" s="391"/>
      <c r="G5" s="391"/>
    </row>
    <row r="6" spans="1:33" ht="17.25" customHeight="1">
      <c r="A6" s="1" t="str">
        <f>CONCATENATE("Source File: ",'MMW Output'!$C$14)</f>
        <v>Source File: User Specified</v>
      </c>
      <c r="D6" s="4"/>
      <c r="E6" s="4"/>
      <c r="F6" s="185"/>
      <c r="G6" s="185"/>
    </row>
    <row r="7" spans="1:33" ht="8.5" customHeight="1">
      <c r="A7" s="91"/>
      <c r="D7" s="4"/>
      <c r="E7" s="4"/>
      <c r="F7" s="91"/>
      <c r="G7" s="4"/>
    </row>
    <row r="8" spans="1:33" ht="18">
      <c r="A8" s="184" t="s">
        <v>182</v>
      </c>
      <c r="C8" s="93"/>
      <c r="D8" s="94"/>
      <c r="E8" s="94"/>
      <c r="F8" s="184"/>
      <c r="G8" s="93"/>
    </row>
    <row r="9" spans="1:33" ht="8.5" customHeight="1"/>
    <row r="10" spans="1:33" ht="8" customHeight="1">
      <c r="B10" s="5"/>
      <c r="C10" s="8"/>
      <c r="D10" s="8"/>
      <c r="E10" s="8"/>
      <c r="F10" s="8"/>
      <c r="G10" s="8"/>
      <c r="H10" s="8"/>
      <c r="I10" s="8"/>
      <c r="J10" s="8"/>
      <c r="K10" s="8"/>
      <c r="L10" s="8"/>
      <c r="M10" s="8"/>
    </row>
    <row r="11" spans="1:33" ht="30" customHeight="1">
      <c r="B11" s="397" t="s">
        <v>230</v>
      </c>
      <c r="C11" s="397"/>
      <c r="D11" s="397"/>
      <c r="E11" s="397"/>
      <c r="F11" s="397"/>
      <c r="G11" s="397"/>
      <c r="H11" s="397"/>
      <c r="I11" s="397"/>
      <c r="J11" s="397"/>
      <c r="K11" s="397"/>
      <c r="L11" s="397"/>
      <c r="M11" s="397"/>
      <c r="O11" s="392" t="s">
        <v>110</v>
      </c>
      <c r="P11" s="393"/>
      <c r="Q11" s="393"/>
      <c r="R11" s="393"/>
      <c r="S11" s="393"/>
      <c r="T11" s="393"/>
      <c r="U11" s="393"/>
      <c r="V11" s="393"/>
      <c r="W11" s="393"/>
      <c r="X11" s="393"/>
      <c r="Y11" s="393"/>
      <c r="Z11" s="393"/>
      <c r="AA11" s="393"/>
      <c r="AB11" s="393"/>
      <c r="AC11" s="4"/>
      <c r="AD11" s="4"/>
      <c r="AE11" s="4"/>
      <c r="AF11" s="4"/>
      <c r="AG11" s="4"/>
    </row>
    <row r="12" spans="1:33" ht="7.25" customHeight="1"/>
    <row r="13" spans="1:33" ht="18.5" customHeight="1" thickBot="1">
      <c r="B13" s="186"/>
      <c r="C13" s="25"/>
      <c r="D13" s="25"/>
      <c r="E13" s="25"/>
      <c r="F13" s="25"/>
      <c r="G13" s="25"/>
      <c r="H13" s="25"/>
      <c r="I13" s="25"/>
      <c r="J13" s="25"/>
      <c r="K13" s="25"/>
      <c r="L13" s="25"/>
      <c r="M13" s="30"/>
      <c r="O13" s="394" t="s">
        <v>43</v>
      </c>
      <c r="P13" s="395"/>
      <c r="Q13" s="396"/>
      <c r="R13" s="26"/>
      <c r="S13" s="394" t="s">
        <v>44</v>
      </c>
      <c r="T13" s="395"/>
      <c r="U13" s="395"/>
      <c r="V13" s="396"/>
      <c r="W13" s="26"/>
      <c r="X13" s="394" t="s">
        <v>45</v>
      </c>
      <c r="Y13" s="395"/>
      <c r="Z13" s="395"/>
      <c r="AA13" s="396"/>
    </row>
    <row r="14" spans="1:33" ht="56.5" customHeight="1">
      <c r="B14" s="114" t="s">
        <v>0</v>
      </c>
      <c r="C14" s="115" t="s">
        <v>1</v>
      </c>
      <c r="D14" s="116" t="s">
        <v>2</v>
      </c>
      <c r="E14" s="116" t="s">
        <v>3</v>
      </c>
      <c r="F14" s="116"/>
      <c r="G14" s="116" t="s">
        <v>4</v>
      </c>
      <c r="H14" s="116" t="s">
        <v>5</v>
      </c>
      <c r="I14" s="116"/>
      <c r="J14" s="116" t="s">
        <v>37</v>
      </c>
      <c r="K14" s="116" t="s">
        <v>7</v>
      </c>
      <c r="L14" s="116"/>
      <c r="M14" s="117" t="s">
        <v>38</v>
      </c>
      <c r="O14" s="244" t="s">
        <v>114</v>
      </c>
      <c r="P14" s="31" t="s">
        <v>141</v>
      </c>
      <c r="Q14" s="187" t="s">
        <v>41</v>
      </c>
      <c r="R14" s="250"/>
      <c r="S14" s="244" t="s">
        <v>48</v>
      </c>
      <c r="T14" s="31" t="s">
        <v>105</v>
      </c>
      <c r="U14" s="31" t="s">
        <v>106</v>
      </c>
      <c r="V14" s="187" t="s">
        <v>46</v>
      </c>
      <c r="W14" s="250"/>
      <c r="X14" s="244" t="s">
        <v>48</v>
      </c>
      <c r="Y14" s="31" t="s">
        <v>105</v>
      </c>
      <c r="Z14" s="31" t="s">
        <v>104</v>
      </c>
      <c r="AA14" s="187" t="s">
        <v>47</v>
      </c>
      <c r="AC14" s="4"/>
      <c r="AD14" s="4"/>
      <c r="AE14" s="4"/>
      <c r="AF14" s="4"/>
    </row>
    <row r="15" spans="1:33" ht="15" customHeight="1">
      <c r="B15" s="19" t="s">
        <v>36</v>
      </c>
      <c r="C15" s="16" t="s">
        <v>83</v>
      </c>
      <c r="D15" s="17" t="s">
        <v>33</v>
      </c>
      <c r="E15" s="17" t="s">
        <v>34</v>
      </c>
      <c r="F15" s="17"/>
      <c r="G15" s="17" t="s">
        <v>34</v>
      </c>
      <c r="H15" s="17" t="s">
        <v>35</v>
      </c>
      <c r="I15" s="17"/>
      <c r="J15" s="17" t="s">
        <v>35</v>
      </c>
      <c r="K15" s="17" t="s">
        <v>35</v>
      </c>
      <c r="L15" s="17"/>
      <c r="M15" s="18" t="s">
        <v>35</v>
      </c>
      <c r="O15" s="245" t="s">
        <v>40</v>
      </c>
      <c r="P15" s="107" t="s">
        <v>40</v>
      </c>
      <c r="Q15" s="194" t="s">
        <v>40</v>
      </c>
      <c r="R15" s="251"/>
      <c r="S15" s="245" t="s">
        <v>40</v>
      </c>
      <c r="T15" s="107" t="s">
        <v>40</v>
      </c>
      <c r="U15" s="107" t="s">
        <v>40</v>
      </c>
      <c r="V15" s="194" t="s">
        <v>40</v>
      </c>
      <c r="W15" s="251"/>
      <c r="X15" s="245" t="s">
        <v>40</v>
      </c>
      <c r="Y15" s="107" t="s">
        <v>40</v>
      </c>
      <c r="Z15" s="107" t="s">
        <v>40</v>
      </c>
      <c r="AA15" s="194" t="s">
        <v>40</v>
      </c>
    </row>
    <row r="16" spans="1:33" ht="24.5" customHeight="1">
      <c r="B16" s="35"/>
      <c r="C16" s="17"/>
      <c r="D16" s="17"/>
      <c r="E16" s="17"/>
      <c r="F16" s="17"/>
      <c r="G16" s="17"/>
      <c r="H16" s="17"/>
      <c r="I16" s="17"/>
      <c r="J16" s="17"/>
      <c r="K16" s="17"/>
      <c r="L16" s="17"/>
      <c r="M16" s="18"/>
      <c r="O16" s="246" t="s">
        <v>42</v>
      </c>
      <c r="P16" s="106"/>
      <c r="Q16" s="197" t="s">
        <v>107</v>
      </c>
      <c r="R16" s="252"/>
      <c r="S16" s="246" t="s">
        <v>42</v>
      </c>
      <c r="T16" s="24"/>
      <c r="U16" s="34"/>
      <c r="V16" s="197" t="s">
        <v>108</v>
      </c>
      <c r="W16" s="252"/>
      <c r="X16" s="254" t="s">
        <v>42</v>
      </c>
      <c r="Y16" s="24"/>
      <c r="Z16" s="34"/>
      <c r="AA16" s="197" t="s">
        <v>108</v>
      </c>
    </row>
    <row r="17" spans="1:33" ht="13.25" customHeight="1">
      <c r="A17" s="398" t="s">
        <v>102</v>
      </c>
      <c r="B17" s="11" t="s">
        <v>9</v>
      </c>
      <c r="C17" s="90">
        <f>+'MMW Output'!C22</f>
        <v>1180.2469135802469</v>
      </c>
      <c r="D17" s="11" t="e">
        <f>+'MMW Output'!#REF!</f>
        <v>#REF!</v>
      </c>
      <c r="E17" s="11" t="e">
        <f>+'MMW Output'!#REF!</f>
        <v>#REF!</v>
      </c>
      <c r="F17" s="11"/>
      <c r="G17" s="11">
        <f>+'MMW Output'!D22</f>
        <v>169.19251650000001</v>
      </c>
      <c r="H17" s="11" t="e">
        <f>+'MMW Output'!#REF!</f>
        <v>#REF!</v>
      </c>
      <c r="I17" s="11"/>
      <c r="J17" s="11">
        <f>+'MMW Output'!E22</f>
        <v>1744.8164999999999</v>
      </c>
      <c r="K17" s="11" t="e">
        <f>+'MMW Output'!#REF!</f>
        <v>#REF!</v>
      </c>
      <c r="L17" s="11"/>
      <c r="M17" s="11">
        <f>+'MMW Output'!F22</f>
        <v>893.02499999999998</v>
      </c>
      <c r="O17" s="247">
        <f>IF(LoadsTable[[#This Row],[Column2]]=0,0,(G17*2000/C17))</f>
        <v>286.70698402719665</v>
      </c>
      <c r="P17" s="79">
        <f>IF(LoadsTable[[#This Row],[Column2]]=0,0,'Stream Bank SedimentLoadingRate'!C$165)</f>
        <v>237.3613259668509</v>
      </c>
      <c r="Q17" s="195">
        <f>SUM(O17:P17)</f>
        <v>524.06830999404758</v>
      </c>
      <c r="R17" s="10"/>
      <c r="S17" s="247">
        <f>IF(LoadsTable[[#This Row],[Column2]]=0,0,ROUND((J17/C17),2))</f>
        <v>1.48</v>
      </c>
      <c r="T17" s="76">
        <f>IF(LoadsTable[[#This Row],[Column2]]=0,0,ROUND('Stream Bank Nitrogen Loading'!C162,2))</f>
        <v>0.14000000000000001</v>
      </c>
      <c r="U17" s="76">
        <f>IF(LoadsTable[[#This Row],[Column2]]=0,0,ROUND('Farm Animal TN and TP Loading'!$D$35,2))</f>
        <v>0.42</v>
      </c>
      <c r="V17" s="189">
        <f>SUM(S17:U17)</f>
        <v>2.04</v>
      </c>
      <c r="W17" s="10"/>
      <c r="X17" s="255">
        <f>IF(LoadsTable[[#This Row],[Column2]]=0,0,ROUND((M17/C17),2))</f>
        <v>0.76</v>
      </c>
      <c r="Y17" s="32">
        <f>IF(LoadsTable[[#This Row],[Column2]]=0,0,ROUND('Stream Bank Phosphorus Loading'!C$162,2))</f>
        <v>0.08</v>
      </c>
      <c r="Z17" s="76">
        <f>IF(LoadsTable[[#This Row],[Column2]]=0,0,ROUND('Farm Animal TN and TP Loading'!$E$35,2))</f>
        <v>0.11</v>
      </c>
      <c r="AA17" s="198">
        <f>SUM(X17:Z17)</f>
        <v>0.95</v>
      </c>
      <c r="AB17" s="199" t="s">
        <v>9</v>
      </c>
      <c r="AC17" s="4"/>
      <c r="AD17" s="4">
        <f>(LoadsTable[[#This Row],[Column2]])</f>
        <v>1180.2469135802469</v>
      </c>
      <c r="AE17" s="4"/>
      <c r="AF17" s="4"/>
      <c r="AG17" s="4"/>
    </row>
    <row r="18" spans="1:33">
      <c r="A18" s="399"/>
      <c r="B18" s="11" t="s">
        <v>10</v>
      </c>
      <c r="C18" s="90">
        <f>+'MMW Output'!C23</f>
        <v>323.45679012345676</v>
      </c>
      <c r="D18" s="11" t="e">
        <f>+'MMW Output'!#REF!</f>
        <v>#REF!</v>
      </c>
      <c r="E18" s="11" t="e">
        <f>+'MMW Output'!#REF!</f>
        <v>#REF!</v>
      </c>
      <c r="F18" s="11"/>
      <c r="G18" s="11">
        <f>+'MMW Output'!D23</f>
        <v>473.41140525000003</v>
      </c>
      <c r="H18" s="11" t="e">
        <f>+'MMW Output'!#REF!</f>
        <v>#REF!</v>
      </c>
      <c r="I18" s="11"/>
      <c r="J18" s="11">
        <f>+'MMW Output'!E23</f>
        <v>3426.3495000000003</v>
      </c>
      <c r="K18" s="11" t="e">
        <f>+'MMW Output'!#REF!</f>
        <v>#REF!</v>
      </c>
      <c r="L18" s="11"/>
      <c r="M18" s="11">
        <f>+'MMW Output'!F23</f>
        <v>1474.4835</v>
      </c>
      <c r="O18" s="248">
        <f>IF(LoadsTable[[#This Row],[Column2]]=0,0,(G18*2000/C18))</f>
        <v>2927.2002920038171</v>
      </c>
      <c r="P18" s="33">
        <f>IF(LoadsTable[[#This Row],[Column2]]=0,0,'Stream Bank SedimentLoadingRate'!C$165)</f>
        <v>237.3613259668509</v>
      </c>
      <c r="Q18" s="191">
        <f t="shared" ref="Q18:Q32" si="0">SUM(O18:P18)</f>
        <v>3164.5616179706681</v>
      </c>
      <c r="R18" s="10"/>
      <c r="S18" s="253">
        <f>IF(LoadsTable[[#This Row],[Column2]]=0,0,ROUND((J18/C18),2))</f>
        <v>10.59</v>
      </c>
      <c r="T18" s="77">
        <f>IF(LoadsTable[[#This Row],[Column2]]=0,0,ROUND('Stream Bank Nitrogen Loading'!C162,2))</f>
        <v>0.14000000000000001</v>
      </c>
      <c r="U18" s="77">
        <f>IF(LoadsTable[[#This Row],[Column2]]=0,0,ROUND('Farm Animal TN and TP Loading'!$D$35,2))</f>
        <v>0.42</v>
      </c>
      <c r="V18" s="188">
        <f t="shared" ref="V18:V32" si="1">SUM(S18:U18)</f>
        <v>11.15</v>
      </c>
      <c r="W18" s="10"/>
      <c r="X18" s="253">
        <f>IF(LoadsTable[[#This Row],[Column2]]=0,0,ROUND((M18/C18),2))</f>
        <v>4.5599999999999996</v>
      </c>
      <c r="Y18" s="33">
        <f>IF(LoadsTable[[#This Row],[Column2]]=0,0,ROUND('Stream Bank Phosphorus Loading'!C$162,2))</f>
        <v>0.08</v>
      </c>
      <c r="Z18" s="77">
        <f>IF(LoadsTable[[#This Row],[Column2]]=0,0,ROUND('Farm Animal TN and TP Loading'!$E$35,2))</f>
        <v>0.11</v>
      </c>
      <c r="AA18" s="196">
        <f t="shared" ref="AA18:AA32" si="2">SUM(X18:Z18)</f>
        <v>4.75</v>
      </c>
      <c r="AB18" s="149" t="s">
        <v>10</v>
      </c>
    </row>
    <row r="19" spans="1:33">
      <c r="A19" s="399"/>
      <c r="B19" s="11" t="s">
        <v>11</v>
      </c>
      <c r="C19" s="90">
        <f>+'MMW Output'!C24</f>
        <v>417.28395061728395</v>
      </c>
      <c r="D19" s="11" t="e">
        <f>+'MMW Output'!#REF!</f>
        <v>#REF!</v>
      </c>
      <c r="E19" s="11" t="e">
        <f>+'MMW Output'!#REF!</f>
        <v>#REF!</v>
      </c>
      <c r="F19" s="11"/>
      <c r="G19" s="11">
        <f>+'MMW Output'!D24</f>
        <v>0.69060599999999994</v>
      </c>
      <c r="H19" s="11" t="e">
        <f>+'MMW Output'!#REF!</f>
        <v>#REF!</v>
      </c>
      <c r="I19" s="11"/>
      <c r="J19" s="11">
        <f>+'MMW Output'!E24</f>
        <v>59.975999999999999</v>
      </c>
      <c r="K19" s="11" t="e">
        <f>+'MMW Output'!#REF!</f>
        <v>#REF!</v>
      </c>
      <c r="L19" s="11"/>
      <c r="M19" s="11">
        <f>+'MMW Output'!F24</f>
        <v>4.8510000000000009</v>
      </c>
      <c r="O19" s="247">
        <f>IF(LoadsTable[[#This Row],[Column2]]=0,0,(G19*2000/C19))</f>
        <v>3.3100050887573964</v>
      </c>
      <c r="P19" s="79">
        <f>IF(LoadsTable[[#This Row],[Column2]]=0,0,'Stream Bank SedimentLoadingRate'!C$165)</f>
        <v>237.3613259668509</v>
      </c>
      <c r="Q19" s="195">
        <f t="shared" si="0"/>
        <v>240.67133105560831</v>
      </c>
      <c r="R19" s="10"/>
      <c r="S19" s="247">
        <f>IF(LoadsTable[[#This Row],[Column2]]=0,0,ROUND((J19/C19),2))</f>
        <v>0.14000000000000001</v>
      </c>
      <c r="T19" s="76">
        <f>IF(LoadsTable[[#This Row],[Column2]]=0,0,ROUND('Stream Bank Nitrogen Loading'!C162,2))</f>
        <v>0.14000000000000001</v>
      </c>
      <c r="U19" s="76" t="s">
        <v>92</v>
      </c>
      <c r="V19" s="189">
        <f>SUM(S19:U19)</f>
        <v>0.28000000000000003</v>
      </c>
      <c r="W19" s="10"/>
      <c r="X19" s="247">
        <f>IF(LoadsTable[[#This Row],[Column2]]=0,0,ROUND((M19/C19),2))</f>
        <v>0.01</v>
      </c>
      <c r="Y19" s="79">
        <f>IF(LoadsTable[[#This Row],[Column2]]=0,0,ROUND('Stream Bank Phosphorus Loading'!C$162,2))</f>
        <v>0.08</v>
      </c>
      <c r="Z19" s="76" t="s">
        <v>92</v>
      </c>
      <c r="AA19" s="193">
        <f t="shared" si="2"/>
        <v>0.09</v>
      </c>
      <c r="AB19" s="120" t="s">
        <v>11</v>
      </c>
    </row>
    <row r="20" spans="1:33">
      <c r="A20" s="399"/>
      <c r="B20" s="11" t="s">
        <v>12</v>
      </c>
      <c r="C20" s="90">
        <f>+'MMW Output'!C25</f>
        <v>14.814814814814813</v>
      </c>
      <c r="D20" s="11" t="e">
        <f>+'MMW Output'!#REF!</f>
        <v>#REF!</v>
      </c>
      <c r="E20" s="11" t="e">
        <f>+'MMW Output'!#REF!</f>
        <v>#REF!</v>
      </c>
      <c r="F20" s="11"/>
      <c r="G20" s="11">
        <f>+'MMW Output'!D25</f>
        <v>3.2854500000000002E-2</v>
      </c>
      <c r="H20" s="11" t="e">
        <f>+'MMW Output'!#REF!</f>
        <v>#REF!</v>
      </c>
      <c r="I20" s="11"/>
      <c r="J20" s="11">
        <f>+'MMW Output'!E25</f>
        <v>6.1739999999999995</v>
      </c>
      <c r="K20" s="11" t="e">
        <f>+'MMW Output'!#REF!</f>
        <v>#REF!</v>
      </c>
      <c r="L20" s="11"/>
      <c r="M20" s="11">
        <f>+'MMW Output'!F25</f>
        <v>0.44100000000000006</v>
      </c>
      <c r="O20" s="248">
        <f>IF(LoadsTable[[#This Row],[Column2]]=0,0,(G20*2000/C20))</f>
        <v>4.4353575000000003</v>
      </c>
      <c r="P20" s="33">
        <f>IF(LoadsTable[[#This Row],[Column2]]=0,0,'Stream Bank SedimentLoadingRate'!C$165)</f>
        <v>237.3613259668509</v>
      </c>
      <c r="Q20" s="191">
        <f t="shared" si="0"/>
        <v>241.79668346685091</v>
      </c>
      <c r="R20" s="10"/>
      <c r="S20" s="248">
        <f>IF(LoadsTable[[#This Row],[Column2]]=0,0,ROUND((J20/C20),2))</f>
        <v>0.42</v>
      </c>
      <c r="T20" s="243">
        <f>IF(LoadsTable[[#This Row],[Column2]]=0,0,ROUND('Stream Bank Nitrogen Loading'!C162,2))</f>
        <v>0.14000000000000001</v>
      </c>
      <c r="U20" s="77" t="s">
        <v>92</v>
      </c>
      <c r="V20" s="188">
        <f t="shared" si="1"/>
        <v>0.56000000000000005</v>
      </c>
      <c r="W20" s="10"/>
      <c r="X20" s="248">
        <f>IF(LoadsTable[[#This Row],[Column2]]=0,0,ROUND((M20/C20),2))</f>
        <v>0.03</v>
      </c>
      <c r="Y20" s="33">
        <f>IF(LoadsTable[[#This Row],[Column2]]=0,0,ROUND('Stream Bank Phosphorus Loading'!C$162,2))</f>
        <v>0.08</v>
      </c>
      <c r="Z20" s="77" t="s">
        <v>92</v>
      </c>
      <c r="AA20" s="196">
        <f t="shared" si="2"/>
        <v>0.11</v>
      </c>
      <c r="AB20" s="149" t="s">
        <v>12</v>
      </c>
    </row>
    <row r="21" spans="1:33">
      <c r="A21" s="399"/>
      <c r="B21" s="11" t="s">
        <v>13</v>
      </c>
      <c r="C21" s="90">
        <f>+'MMW Output'!C26</f>
        <v>0</v>
      </c>
      <c r="D21" s="11" t="e">
        <f>+'MMW Output'!#REF!</f>
        <v>#REF!</v>
      </c>
      <c r="E21" s="11" t="e">
        <f>+'MMW Output'!#REF!</f>
        <v>#REF!</v>
      </c>
      <c r="F21" s="11"/>
      <c r="G21" s="11">
        <f>+'MMW Output'!D26</f>
        <v>0</v>
      </c>
      <c r="H21" s="11" t="e">
        <f>+'MMW Output'!#REF!</f>
        <v>#REF!</v>
      </c>
      <c r="I21" s="11"/>
      <c r="J21" s="11">
        <f>+'MMW Output'!E26</f>
        <v>0</v>
      </c>
      <c r="K21" s="11" t="e">
        <f>+'MMW Output'!#REF!</f>
        <v>#REF!</v>
      </c>
      <c r="L21" s="11"/>
      <c r="M21" s="11">
        <f>+'MMW Output'!F26</f>
        <v>0</v>
      </c>
      <c r="O21" s="247">
        <f>IF(LoadsTable[[#This Row],[Column2]]=0,0,(G21*2000/C21))</f>
        <v>0</v>
      </c>
      <c r="P21" s="79">
        <f>IF(LoadsTable[[#This Row],[Column2]]=0,0,'Stream Bank SedimentLoadingRate'!C$165)</f>
        <v>0</v>
      </c>
      <c r="Q21" s="195">
        <f t="shared" si="0"/>
        <v>0</v>
      </c>
      <c r="R21" s="10"/>
      <c r="S21" s="247">
        <f>IF(LoadsTable[[#This Row],[Column2]]=0,0,ROUND((J21/C21),2))</f>
        <v>0</v>
      </c>
      <c r="T21" s="76">
        <f>IF(LoadsTable[[#This Row],[Column2]]=0,0,ROUND('Stream Bank Nitrogen Loading'!C162,2))</f>
        <v>0</v>
      </c>
      <c r="U21" s="76" t="s">
        <v>92</v>
      </c>
      <c r="V21" s="189">
        <f t="shared" si="1"/>
        <v>0</v>
      </c>
      <c r="W21" s="10"/>
      <c r="X21" s="247">
        <f>IF(LoadsTable[[#This Row],[Column2]]=0,0,ROUND((M21/C21),2))</f>
        <v>0</v>
      </c>
      <c r="Y21" s="79">
        <f>IF(LoadsTable[[#This Row],[Column2]]=0,0,ROUND('Stream Bank Phosphorus Loading'!C$162,2))</f>
        <v>0</v>
      </c>
      <c r="Z21" s="76" t="s">
        <v>92</v>
      </c>
      <c r="AA21" s="193">
        <f t="shared" si="2"/>
        <v>0</v>
      </c>
      <c r="AB21" s="120" t="s">
        <v>13</v>
      </c>
      <c r="AD21" s="4"/>
      <c r="AE21" s="4"/>
      <c r="AF21" s="4"/>
      <c r="AG21" s="4"/>
    </row>
    <row r="22" spans="1:33">
      <c r="A22" s="399"/>
      <c r="B22" s="11" t="s">
        <v>14</v>
      </c>
      <c r="C22" s="90">
        <f>+'MMW Output'!C27</f>
        <v>0</v>
      </c>
      <c r="D22" s="11" t="e">
        <f>+'MMW Output'!#REF!</f>
        <v>#REF!</v>
      </c>
      <c r="E22" s="11" t="e">
        <f>+'MMW Output'!#REF!</f>
        <v>#REF!</v>
      </c>
      <c r="F22" s="11"/>
      <c r="G22" s="11">
        <f>+'MMW Output'!D27</f>
        <v>0</v>
      </c>
      <c r="H22" s="11" t="e">
        <f>+'MMW Output'!#REF!</f>
        <v>#REF!</v>
      </c>
      <c r="I22" s="11"/>
      <c r="J22" s="11">
        <f>+'MMW Output'!E27</f>
        <v>0</v>
      </c>
      <c r="K22" s="11" t="e">
        <f>+'MMW Output'!#REF!</f>
        <v>#REF!</v>
      </c>
      <c r="L22" s="11"/>
      <c r="M22" s="11">
        <f>+'MMW Output'!F27</f>
        <v>0</v>
      </c>
      <c r="O22" s="248">
        <f>IF(LoadsTable[[#This Row],[Column2]]=0,0,(G22*2000/C22))</f>
        <v>0</v>
      </c>
      <c r="P22" s="33">
        <f>IF(LoadsTable[[#This Row],[Column2]]=0,0,'Stream Bank SedimentLoadingRate'!C$165)</f>
        <v>0</v>
      </c>
      <c r="Q22" s="191">
        <f t="shared" si="0"/>
        <v>0</v>
      </c>
      <c r="R22" s="10"/>
      <c r="S22" s="248">
        <f>IF(LoadsTable[[#This Row],[Column2]]=0,0,ROUND((J22/C22),2))</f>
        <v>0</v>
      </c>
      <c r="T22" s="77">
        <f>IF(LoadsTable[[#This Row],[Column2]]=0,0,ROUND('Stream Bank Nitrogen Loading'!C162,2))</f>
        <v>0</v>
      </c>
      <c r="U22" s="77" t="s">
        <v>92</v>
      </c>
      <c r="V22" s="188">
        <f t="shared" si="1"/>
        <v>0</v>
      </c>
      <c r="W22" s="10"/>
      <c r="X22" s="248">
        <f>IF(LoadsTable[[#This Row],[Column2]]=0,0,ROUND((M22/C22),2))</f>
        <v>0</v>
      </c>
      <c r="Y22" s="33">
        <f>IF(LoadsTable[[#This Row],[Column2]]=0,0,ROUND('Stream Bank Phosphorus Loading'!C$162,2))</f>
        <v>0</v>
      </c>
      <c r="Z22" s="77" t="s">
        <v>92</v>
      </c>
      <c r="AA22" s="196">
        <f t="shared" si="2"/>
        <v>0</v>
      </c>
      <c r="AB22" s="149" t="s">
        <v>14</v>
      </c>
      <c r="AD22" s="4"/>
      <c r="AE22" s="4"/>
      <c r="AF22" s="4"/>
      <c r="AG22" s="4"/>
    </row>
    <row r="23" spans="1:33">
      <c r="A23" s="399"/>
      <c r="B23" s="11" t="s">
        <v>15</v>
      </c>
      <c r="C23" s="90">
        <f>+'MMW Output'!C28</f>
        <v>111.1111111111111</v>
      </c>
      <c r="D23" s="11" t="e">
        <f>+'MMW Output'!#REF!</f>
        <v>#REF!</v>
      </c>
      <c r="E23" s="11" t="e">
        <f>+'MMW Output'!#REF!</f>
        <v>#REF!</v>
      </c>
      <c r="F23" s="11"/>
      <c r="G23" s="11">
        <f>+'MMW Output'!D28</f>
        <v>5.4832837500000009</v>
      </c>
      <c r="H23" s="11" t="e">
        <f>+'MMW Output'!#REF!</f>
        <v>#REF!</v>
      </c>
      <c r="I23" s="11"/>
      <c r="J23" s="11">
        <f>+'MMW Output'!E28</f>
        <v>135.60750000000002</v>
      </c>
      <c r="K23" s="11" t="e">
        <f>+'MMW Output'!#REF!</f>
        <v>#REF!</v>
      </c>
      <c r="L23" s="11"/>
      <c r="M23" s="11">
        <f>+'MMW Output'!F28</f>
        <v>16.9785</v>
      </c>
      <c r="O23" s="247">
        <f>IF(LoadsTable[[#This Row],[Column2]]=0,0,(G23*2000/C23))</f>
        <v>98.699107500000025</v>
      </c>
      <c r="P23" s="79">
        <f>IF(LoadsTable[[#This Row],[Column2]]=0,0,'Stream Bank SedimentLoadingRate'!C$165)</f>
        <v>237.3613259668509</v>
      </c>
      <c r="Q23" s="195">
        <f t="shared" si="0"/>
        <v>336.0604334668509</v>
      </c>
      <c r="R23" s="10"/>
      <c r="S23" s="247">
        <f>IF(LoadsTable[[#This Row],[Column2]]=0,0,ROUND((J23/C23),2))</f>
        <v>1.22</v>
      </c>
      <c r="T23" s="76">
        <f>IF(LoadsTable[[#This Row],[Column2]]=0,0,ROUND('Stream Bank Nitrogen Loading'!C162,2))</f>
        <v>0.14000000000000001</v>
      </c>
      <c r="U23" s="76" t="s">
        <v>92</v>
      </c>
      <c r="V23" s="189">
        <f t="shared" si="1"/>
        <v>1.3599999999999999</v>
      </c>
      <c r="W23" s="10"/>
      <c r="X23" s="247">
        <f>IF(LoadsTable[[#This Row],[Column2]]=0,0,ROUND((M23/C23),2))</f>
        <v>0.15</v>
      </c>
      <c r="Y23" s="79">
        <f>IF(LoadsTable[[#This Row],[Column2]]=0,0,ROUND('Stream Bank Phosphorus Loading'!C$162,2))</f>
        <v>0.08</v>
      </c>
      <c r="Z23" s="76" t="s">
        <v>92</v>
      </c>
      <c r="AA23" s="193">
        <f t="shared" si="2"/>
        <v>0.22999999999999998</v>
      </c>
      <c r="AB23" s="120" t="s">
        <v>15</v>
      </c>
      <c r="AD23" s="4"/>
      <c r="AE23" s="4"/>
      <c r="AF23" s="4"/>
      <c r="AG23" s="4"/>
    </row>
    <row r="24" spans="1:33">
      <c r="A24" s="399"/>
      <c r="B24" s="11" t="s">
        <v>16</v>
      </c>
      <c r="C24" s="90">
        <f>+'MMW Output'!C29</f>
        <v>49.382716049382715</v>
      </c>
      <c r="D24" s="11" t="e">
        <f>+'MMW Output'!#REF!</f>
        <v>#REF!</v>
      </c>
      <c r="E24" s="11" t="e">
        <f>+'MMW Output'!#REF!</f>
        <v>#REF!</v>
      </c>
      <c r="F24" s="11"/>
      <c r="G24" s="11">
        <f>+'MMW Output'!D29</f>
        <v>6.1740000000000003E-2</v>
      </c>
      <c r="H24" s="11" t="e">
        <f>+'MMW Output'!#REF!</f>
        <v>#REF!</v>
      </c>
      <c r="I24" s="11"/>
      <c r="J24" s="11">
        <f>+'MMW Output'!E29</f>
        <v>29.988</v>
      </c>
      <c r="K24" s="11" t="e">
        <f>+'MMW Output'!#REF!</f>
        <v>#REF!</v>
      </c>
      <c r="L24" s="11"/>
      <c r="M24" s="11">
        <f>+'MMW Output'!F29</f>
        <v>1.1025</v>
      </c>
      <c r="O24" s="248">
        <f>IF(LoadsTable[[#This Row],[Column2]]=0,0,(G24*2000/C24))</f>
        <v>2.50047</v>
      </c>
      <c r="P24" s="33">
        <f>IF(LoadsTable[[#This Row],[Column2]]=0,0,'Stream Bank SedimentLoadingRate'!C$165)</f>
        <v>237.3613259668509</v>
      </c>
      <c r="Q24" s="191">
        <f t="shared" si="0"/>
        <v>239.86179596685091</v>
      </c>
      <c r="R24" s="10"/>
      <c r="S24" s="248">
        <f>IF(LoadsTable[[#This Row],[Column2]]=0,0,ROUND((J24/C24),2))</f>
        <v>0.61</v>
      </c>
      <c r="T24" s="77">
        <f>IF(LoadsTable[[#This Row],[Column2]]=0,0,ROUND('Stream Bank Nitrogen Loading'!C162,2))</f>
        <v>0.14000000000000001</v>
      </c>
      <c r="U24" s="77" t="s">
        <v>92</v>
      </c>
      <c r="V24" s="188">
        <f t="shared" si="1"/>
        <v>0.75</v>
      </c>
      <c r="W24" s="10"/>
      <c r="X24" s="248">
        <f>IF(LoadsTable[[#This Row],[Column2]]=0,0,ROUND((M24/C24),2))</f>
        <v>0.02</v>
      </c>
      <c r="Y24" s="33">
        <f>IF(LoadsTable[[#This Row],[Column2]]=0,0,ROUND('Stream Bank Phosphorus Loading'!C$162,2))</f>
        <v>0.08</v>
      </c>
      <c r="Z24" s="77" t="s">
        <v>92</v>
      </c>
      <c r="AA24" s="196">
        <f t="shared" si="2"/>
        <v>0.1</v>
      </c>
      <c r="AB24" s="149" t="s">
        <v>16</v>
      </c>
    </row>
    <row r="25" spans="1:33">
      <c r="A25" s="399"/>
      <c r="B25" s="11" t="s">
        <v>17</v>
      </c>
      <c r="C25" s="90">
        <f>+'MMW Output'!C30</f>
        <v>0</v>
      </c>
      <c r="D25" s="11" t="e">
        <f>+'MMW Output'!#REF!</f>
        <v>#REF!</v>
      </c>
      <c r="E25" s="11" t="e">
        <f>+'MMW Output'!#REF!</f>
        <v>#REF!</v>
      </c>
      <c r="F25" s="11"/>
      <c r="G25" s="11">
        <f>+'MMW Output'!D30</f>
        <v>0</v>
      </c>
      <c r="H25" s="11" t="e">
        <f>+'MMW Output'!#REF!</f>
        <v>#REF!</v>
      </c>
      <c r="I25" s="11"/>
      <c r="J25" s="11">
        <f>+'MMW Output'!E30</f>
        <v>0</v>
      </c>
      <c r="K25" s="11" t="e">
        <f>+'MMW Output'!#REF!</f>
        <v>#REF!</v>
      </c>
      <c r="L25" s="11"/>
      <c r="M25" s="11">
        <f>+'MMW Output'!F30</f>
        <v>0</v>
      </c>
      <c r="O25" s="247">
        <f>IF(LoadsTable[[#This Row],[Column2]]=0,0,(G25*2000/C25))</f>
        <v>0</v>
      </c>
      <c r="P25" s="79">
        <f>IF(LoadsTable[[#This Row],[Column2]]=0,0,'Stream Bank SedimentLoadingRate'!C$165)</f>
        <v>0</v>
      </c>
      <c r="Q25" s="195">
        <f t="shared" si="0"/>
        <v>0</v>
      </c>
      <c r="R25" s="10"/>
      <c r="S25" s="247">
        <f>IF(LoadsTable[[#This Row],[Column2]]=0,0,ROUND((J25/C25),2))</f>
        <v>0</v>
      </c>
      <c r="T25" s="76">
        <f>IF(LoadsTable[[#This Row],[Column2]]=0,0,ROUND('Stream Bank Nitrogen Loading'!C162,2))</f>
        <v>0</v>
      </c>
      <c r="U25" s="76" t="s">
        <v>92</v>
      </c>
      <c r="V25" s="189">
        <f t="shared" si="1"/>
        <v>0</v>
      </c>
      <c r="W25" s="10"/>
      <c r="X25" s="247">
        <f>IF(LoadsTable[[#This Row],[Column2]]=0,0,ROUND((M25/C25),2))</f>
        <v>0</v>
      </c>
      <c r="Y25" s="79">
        <f>IF(LoadsTable[[#This Row],[Column2]]=0,0,ROUND('Stream Bank Phosphorus Loading'!C$162,2))</f>
        <v>0</v>
      </c>
      <c r="Z25" s="76" t="s">
        <v>92</v>
      </c>
      <c r="AA25" s="193">
        <f t="shared" si="2"/>
        <v>0</v>
      </c>
      <c r="AB25" s="120" t="s">
        <v>17</v>
      </c>
    </row>
    <row r="26" spans="1:33">
      <c r="A26" s="399"/>
      <c r="B26" s="11" t="s">
        <v>18</v>
      </c>
      <c r="C26" s="90">
        <f>+'MMW Output'!C31</f>
        <v>0</v>
      </c>
      <c r="D26" s="11" t="e">
        <f>+'MMW Output'!#REF!</f>
        <v>#REF!</v>
      </c>
      <c r="E26" s="11" t="e">
        <f>+'MMW Output'!#REF!</f>
        <v>#REF!</v>
      </c>
      <c r="F26" s="11"/>
      <c r="G26" s="11">
        <f>+'MMW Output'!D31</f>
        <v>0</v>
      </c>
      <c r="H26" s="11" t="e">
        <f>+'MMW Output'!#REF!</f>
        <v>#REF!</v>
      </c>
      <c r="I26" s="11"/>
      <c r="J26" s="11">
        <f>+'MMW Output'!E31</f>
        <v>0</v>
      </c>
      <c r="K26" s="11" t="e">
        <f>+'MMW Output'!#REF!</f>
        <v>#REF!</v>
      </c>
      <c r="L26" s="11"/>
      <c r="M26" s="11">
        <f>+'MMW Output'!F31</f>
        <v>0</v>
      </c>
      <c r="O26" s="248">
        <f>IF(LoadsTable[[#This Row],[Column2]]=0,0,(G26*2000/C26))</f>
        <v>0</v>
      </c>
      <c r="P26" s="33">
        <f>IF(LoadsTable[[#This Row],[Column2]]=0,0,'Stream Bank SedimentLoadingRate'!C$165)</f>
        <v>0</v>
      </c>
      <c r="Q26" s="191">
        <f t="shared" si="0"/>
        <v>0</v>
      </c>
      <c r="R26" s="10"/>
      <c r="S26" s="248">
        <f>IF(LoadsTable[[#This Row],[Column2]]=0,0,ROUND((J26/C26),2))</f>
        <v>0</v>
      </c>
      <c r="T26" s="77">
        <f>IF(LoadsTable[[#This Row],[Column2]]=0,0,ROUND('Stream Bank Nitrogen Loading'!C162,2))</f>
        <v>0</v>
      </c>
      <c r="U26" s="77" t="s">
        <v>92</v>
      </c>
      <c r="V26" s="188">
        <f t="shared" si="1"/>
        <v>0</v>
      </c>
      <c r="W26" s="10"/>
      <c r="X26" s="248">
        <f>IF(LoadsTable[[#This Row],[Column2]]=0,0,ROUND((M26/C26),2))</f>
        <v>0</v>
      </c>
      <c r="Y26" s="33">
        <f>IF(LoadsTable[[#This Row],[Column2]]=0,0,ROUND('Stream Bank Phosphorus Loading'!C$162,2))</f>
        <v>0</v>
      </c>
      <c r="Z26" s="77" t="s">
        <v>92</v>
      </c>
      <c r="AA26" s="196">
        <f t="shared" si="2"/>
        <v>0</v>
      </c>
      <c r="AB26" s="149" t="s">
        <v>18</v>
      </c>
    </row>
    <row r="27" spans="1:33">
      <c r="A27" s="399"/>
      <c r="B27" s="11" t="s">
        <v>19</v>
      </c>
      <c r="C27" s="90">
        <f>+'MMW Output'!C32</f>
        <v>2000</v>
      </c>
      <c r="D27" s="11" t="e">
        <f>+'MMW Output'!#REF!</f>
        <v>#REF!</v>
      </c>
      <c r="E27" s="11" t="e">
        <f>+'MMW Output'!#REF!</f>
        <v>#REF!</v>
      </c>
      <c r="F27" s="11"/>
      <c r="G27" s="11">
        <f>+'MMW Output'!D32</f>
        <v>9.8619727500000014</v>
      </c>
      <c r="H27" s="11" t="e">
        <f>+'MMW Output'!#REF!</f>
        <v>#REF!</v>
      </c>
      <c r="I27" s="11"/>
      <c r="J27" s="11">
        <f>+'MMW Output'!E32</f>
        <v>532.94849999999997</v>
      </c>
      <c r="K27" s="11" t="e">
        <f>+'MMW Output'!#REF!</f>
        <v>#REF!</v>
      </c>
      <c r="L27" s="11"/>
      <c r="M27" s="11">
        <f>+'MMW Output'!F32</f>
        <v>59.975999999999999</v>
      </c>
      <c r="O27" s="247">
        <f>IF(LoadsTable[[#This Row],[Column2]]=0,0,(G27*2000/C27))</f>
        <v>9.8619727500000014</v>
      </c>
      <c r="P27" s="79">
        <f>IF(LoadsTable[[#This Row],[Column2]]=0,0,'Stream Bank SedimentLoadingRate'!E151)</f>
        <v>339.06192250126992</v>
      </c>
      <c r="Q27" s="195">
        <f t="shared" si="0"/>
        <v>348.92389525126993</v>
      </c>
      <c r="R27" s="10"/>
      <c r="S27" s="247">
        <f>IF(LoadsTable[[#This Row],[Column2]]=0,0,ROUND((J27/C27),2))</f>
        <v>0.27</v>
      </c>
      <c r="T27" s="76">
        <f>IF(LoadsTable[[#This Row],[Column2]]=0,0,ROUND('Stream Bank Nitrogen Loading'!E148,2))</f>
        <v>0.18</v>
      </c>
      <c r="U27" s="76" t="s">
        <v>92</v>
      </c>
      <c r="V27" s="189">
        <f t="shared" si="1"/>
        <v>0.45</v>
      </c>
      <c r="W27" s="10"/>
      <c r="X27" s="247">
        <f>IF(LoadsTable[[#This Row],[Column2]]=0,0,ROUND((M27/C27),2))</f>
        <v>0.03</v>
      </c>
      <c r="Y27" s="79">
        <f>IF(LoadsTable[[#This Row],[Column2]]=0,0,ROUND('Stream Bank Phosphorus Loading'!E$148,2))</f>
        <v>0.11</v>
      </c>
      <c r="Z27" s="76" t="s">
        <v>92</v>
      </c>
      <c r="AA27" s="193">
        <f t="shared" si="2"/>
        <v>0.14000000000000001</v>
      </c>
      <c r="AB27" s="120" t="s">
        <v>19</v>
      </c>
    </row>
    <row r="28" spans="1:33">
      <c r="A28" s="399"/>
      <c r="B28" s="11" t="s">
        <v>20</v>
      </c>
      <c r="C28" s="90">
        <f>+'MMW Output'!C33</f>
        <v>293.82716049382714</v>
      </c>
      <c r="D28" s="11" t="e">
        <f>+'MMW Output'!#REF!</f>
        <v>#REF!</v>
      </c>
      <c r="E28" s="11" t="e">
        <f>+'MMW Output'!#REF!</f>
        <v>#REF!</v>
      </c>
      <c r="F28" s="11"/>
      <c r="G28" s="11">
        <f>+'MMW Output'!D33</f>
        <v>7.9404254999999999</v>
      </c>
      <c r="H28" s="11" t="e">
        <f>+'MMW Output'!#REF!</f>
        <v>#REF!</v>
      </c>
      <c r="I28" s="11"/>
      <c r="J28" s="11">
        <f>+'MMW Output'!E33</f>
        <v>327.88349999999997</v>
      </c>
      <c r="K28" s="11" t="e">
        <f>+'MMW Output'!#REF!</f>
        <v>#REF!</v>
      </c>
      <c r="L28" s="11"/>
      <c r="M28" s="11">
        <f>+'MMW Output'!F33</f>
        <v>33.736499999999999</v>
      </c>
      <c r="O28" s="248">
        <f>IF(LoadsTable[[#This Row],[Column2]]=0,0,(G28*2000/C28))</f>
        <v>54.048274411764709</v>
      </c>
      <c r="P28" s="33">
        <f>IF(LoadsTable[[#This Row],[Column2]]=0,0,'Stream Bank SedimentLoadingRate'!E152)</f>
        <v>589.92339395283693</v>
      </c>
      <c r="Q28" s="191">
        <f t="shared" si="0"/>
        <v>643.97166836460167</v>
      </c>
      <c r="R28" s="10"/>
      <c r="S28" s="248">
        <f>IF(LoadsTable[[#This Row],[Column2]]=0,0,ROUND((J28/C28),2))</f>
        <v>1.1200000000000001</v>
      </c>
      <c r="T28" s="77">
        <f>IF(LoadsTable[[#This Row],[Column2]]=0,0,ROUND('Stream Bank Nitrogen Loading'!E149,2))</f>
        <v>0.41</v>
      </c>
      <c r="U28" s="77" t="s">
        <v>92</v>
      </c>
      <c r="V28" s="188">
        <f t="shared" si="1"/>
        <v>1.53</v>
      </c>
      <c r="W28" s="10"/>
      <c r="X28" s="248">
        <f>IF(LoadsTable[[#This Row],[Column2]]=0,0,ROUND((M28/C28),2))</f>
        <v>0.11</v>
      </c>
      <c r="Y28" s="33">
        <f>IF(LoadsTable[[#This Row],[Column2]]=0,0,ROUND('Stream Bank Phosphorus Loading'!E$149,2))</f>
        <v>0.2</v>
      </c>
      <c r="Z28" s="77" t="s">
        <v>92</v>
      </c>
      <c r="AA28" s="196">
        <f t="shared" si="2"/>
        <v>0.31</v>
      </c>
      <c r="AB28" s="149" t="s">
        <v>20</v>
      </c>
    </row>
    <row r="29" spans="1:33">
      <c r="A29" s="399"/>
      <c r="B29" s="11" t="s">
        <v>21</v>
      </c>
      <c r="C29" s="90">
        <f>+'MMW Output'!C34</f>
        <v>79.012345679012341</v>
      </c>
      <c r="D29" s="11" t="e">
        <f>+'MMW Output'!#REF!</f>
        <v>#REF!</v>
      </c>
      <c r="E29" s="11" t="e">
        <f>+'MMW Output'!#REF!</f>
        <v>#REF!</v>
      </c>
      <c r="F29" s="11"/>
      <c r="G29" s="11">
        <f>+'MMW Output'!D34</f>
        <v>2.1564900000000002</v>
      </c>
      <c r="H29" s="11" t="e">
        <f>+'MMW Output'!#REF!</f>
        <v>#REF!</v>
      </c>
      <c r="I29" s="11"/>
      <c r="J29" s="11">
        <f>+'MMW Output'!E34</f>
        <v>89.081999999999994</v>
      </c>
      <c r="K29" s="11" t="e">
        <f>+'MMW Output'!#REF!</f>
        <v>#REF!</v>
      </c>
      <c r="L29" s="11"/>
      <c r="M29" s="11">
        <f>+'MMW Output'!F34</f>
        <v>9.261000000000001</v>
      </c>
      <c r="O29" s="247">
        <f>IF(LoadsTable[[#This Row],[Column2]]=0,0,(G29*2000/C29))</f>
        <v>54.58615312500001</v>
      </c>
      <c r="P29" s="79">
        <f>IF(LoadsTable[[#This Row],[Column2]]=0,0,'Stream Bank SedimentLoadingRate'!E153)</f>
        <v>827.22478586648162</v>
      </c>
      <c r="Q29" s="195">
        <f t="shared" si="0"/>
        <v>881.81093899148163</v>
      </c>
      <c r="R29" s="10"/>
      <c r="S29" s="247">
        <f>IF(LoadsTable[[#This Row],[Column2]]=0,0,ROUND((J29/C29),2))</f>
        <v>1.1299999999999999</v>
      </c>
      <c r="T29" s="76">
        <f>IF(LoadsTable[[#This Row],[Column2]]=0,0,ROUND('Stream Bank Nitrogen Loading'!E150,2))</f>
        <v>0.63</v>
      </c>
      <c r="U29" s="76" t="s">
        <v>92</v>
      </c>
      <c r="V29" s="189">
        <f t="shared" si="1"/>
        <v>1.7599999999999998</v>
      </c>
      <c r="W29" s="10"/>
      <c r="X29" s="247">
        <f>IF(LoadsTable[[#This Row],[Column2]]=0,0,ROUND((M29/C29),2))</f>
        <v>0.12</v>
      </c>
      <c r="Y29" s="79">
        <f>IF(LoadsTable[[#This Row],[Column2]]=0,0,ROUND('Stream Bank Phosphorus Loading'!E$150,2))</f>
        <v>0.28000000000000003</v>
      </c>
      <c r="Z29" s="76" t="s">
        <v>92</v>
      </c>
      <c r="AA29" s="193">
        <f t="shared" si="2"/>
        <v>0.4</v>
      </c>
      <c r="AB29" s="120" t="s">
        <v>21</v>
      </c>
    </row>
    <row r="30" spans="1:33">
      <c r="A30" s="399"/>
      <c r="B30" s="11" t="s">
        <v>22</v>
      </c>
      <c r="C30" s="90">
        <f>+'MMW Output'!C35</f>
        <v>0</v>
      </c>
      <c r="D30" s="11"/>
      <c r="E30" s="11"/>
      <c r="F30" s="11"/>
      <c r="G30" s="11">
        <f>+'MMW Output'!D35</f>
        <v>0</v>
      </c>
      <c r="H30" s="11"/>
      <c r="I30" s="11"/>
      <c r="J30" s="11">
        <f>+'MMW Output'!E35</f>
        <v>0</v>
      </c>
      <c r="K30" s="11"/>
      <c r="L30" s="11"/>
      <c r="M30" s="11">
        <f>+'MMW Output'!F35</f>
        <v>0</v>
      </c>
      <c r="O30" s="248">
        <f>IF(LoadsTable[[#This Row],[Column2]]=0,0,(G30*2000/C30))</f>
        <v>0</v>
      </c>
      <c r="P30" s="33">
        <f>IF(LoadsTable[[#This Row],[Column2]]=0,0,'Stream Bank SedimentLoadingRate'!E151)</f>
        <v>0</v>
      </c>
      <c r="Q30" s="191">
        <f t="shared" si="0"/>
        <v>0</v>
      </c>
      <c r="R30" s="10"/>
      <c r="S30" s="248">
        <f>IF(LoadsTable[[#This Row],[Column2]]=0,0,ROUND((J30/C30),2))</f>
        <v>0</v>
      </c>
      <c r="T30" s="77">
        <f>IF(LoadsTable[[#This Row],[Column2]]=0,0,ROUND('Stream Bank Nitrogen Loading'!E148,2))</f>
        <v>0</v>
      </c>
      <c r="U30" s="77" t="s">
        <v>92</v>
      </c>
      <c r="V30" s="188">
        <f t="shared" si="1"/>
        <v>0</v>
      </c>
      <c r="W30" s="10"/>
      <c r="X30" s="248">
        <f>IF(LoadsTable[[#This Row],[Column2]]=0,0,ROUND((M30/C30),2))</f>
        <v>0</v>
      </c>
      <c r="Y30" s="33">
        <f>IF(LoadsTable[[#This Row],[Column2]]=0,0,ROUND('Stream Bank Phosphorus Loading'!E$148,2))</f>
        <v>0</v>
      </c>
      <c r="Z30" s="77" t="s">
        <v>92</v>
      </c>
      <c r="AA30" s="196">
        <f t="shared" si="2"/>
        <v>0</v>
      </c>
      <c r="AB30" s="149" t="s">
        <v>22</v>
      </c>
    </row>
    <row r="31" spans="1:33">
      <c r="A31" s="399"/>
      <c r="B31" s="11" t="s">
        <v>23</v>
      </c>
      <c r="C31" s="90">
        <f>+'MMW Output'!C36</f>
        <v>0</v>
      </c>
      <c r="D31" s="11"/>
      <c r="E31" s="11"/>
      <c r="F31" s="11"/>
      <c r="G31" s="11">
        <f>+'MMW Output'!D36</f>
        <v>0</v>
      </c>
      <c r="H31" s="11"/>
      <c r="I31" s="11"/>
      <c r="J31" s="11">
        <f>+'MMW Output'!E36</f>
        <v>0</v>
      </c>
      <c r="K31" s="11"/>
      <c r="L31" s="11"/>
      <c r="M31" s="11">
        <f>+'MMW Output'!F36</f>
        <v>0</v>
      </c>
      <c r="O31" s="247">
        <f>IF(LoadsTable[[#This Row],[Column2]]=0,0,(G31*2000/C31))</f>
        <v>0</v>
      </c>
      <c r="P31" s="79">
        <f>IF(LoadsTable[[#This Row],[Column2]]=0,0,'Stream Bank SedimentLoadingRate'!E152)</f>
        <v>0</v>
      </c>
      <c r="Q31" s="195">
        <f t="shared" si="0"/>
        <v>0</v>
      </c>
      <c r="R31" s="10"/>
      <c r="S31" s="247">
        <f>IF(LoadsTable[[#This Row],[Column2]]=0,0,ROUND((J31/C31),2))</f>
        <v>0</v>
      </c>
      <c r="T31" s="76">
        <f>IF(LoadsTable[[#This Row],[Column2]]=0,0,ROUND('Stream Bank Nitrogen Loading'!E149,2))</f>
        <v>0</v>
      </c>
      <c r="U31" s="76" t="s">
        <v>92</v>
      </c>
      <c r="V31" s="189">
        <f t="shared" si="1"/>
        <v>0</v>
      </c>
      <c r="W31" s="10"/>
      <c r="X31" s="247">
        <f>IF(LoadsTable[[#This Row],[Column2]]=0,0,ROUND((M31/C31),2))</f>
        <v>0</v>
      </c>
      <c r="Y31" s="79">
        <f>IF(LoadsTable[[#This Row],[Column2]]=0,0,ROUND('Stream Bank Phosphorus Loading'!E$149,2))</f>
        <v>0</v>
      </c>
      <c r="Z31" s="76" t="s">
        <v>92</v>
      </c>
      <c r="AA31" s="193">
        <f t="shared" si="2"/>
        <v>0</v>
      </c>
      <c r="AB31" s="120" t="s">
        <v>23</v>
      </c>
    </row>
    <row r="32" spans="1:33" ht="14" thickBot="1">
      <c r="A32" s="400"/>
      <c r="B32" s="11" t="s">
        <v>24</v>
      </c>
      <c r="C32" s="90">
        <f>+'MMW Output'!C37</f>
        <v>0</v>
      </c>
      <c r="D32" s="11"/>
      <c r="E32" s="11"/>
      <c r="F32" s="11"/>
      <c r="G32" s="11">
        <f>+'MMW Output'!D37</f>
        <v>0</v>
      </c>
      <c r="H32" s="11"/>
      <c r="I32" s="11"/>
      <c r="J32" s="11">
        <f>+'MMW Output'!E37</f>
        <v>0</v>
      </c>
      <c r="K32" s="11"/>
      <c r="L32" s="11"/>
      <c r="M32" s="11">
        <f>+'MMW Output'!F37</f>
        <v>0</v>
      </c>
      <c r="O32" s="249">
        <f>IF(LoadsTable[[#This Row],[Column2]]=0,0,(G32*2000/C32))</f>
        <v>0</v>
      </c>
      <c r="P32" s="129">
        <f>IF(LoadsTable[[#This Row],[Column2]]=0,0,'Stream Bank SedimentLoadingRate'!E153)</f>
        <v>0</v>
      </c>
      <c r="Q32" s="190">
        <f t="shared" si="0"/>
        <v>0</v>
      </c>
      <c r="R32" s="10"/>
      <c r="S32" s="249">
        <f>IF(LoadsTable[[#This Row],[Column2]]=0,0,ROUND((J32/C32),2))</f>
        <v>0</v>
      </c>
      <c r="T32" s="78">
        <f>IF(LoadsTable[[#This Row],[Column2]]=0,0,ROUND('Stream Bank Nitrogen Loading'!E150,2))</f>
        <v>0</v>
      </c>
      <c r="U32" s="78" t="s">
        <v>92</v>
      </c>
      <c r="V32" s="192">
        <f t="shared" si="1"/>
        <v>0</v>
      </c>
      <c r="W32" s="10"/>
      <c r="X32" s="249">
        <f>IF(LoadsTable[[#This Row],[Column2]]=0,0,ROUND((M32/C32),2))</f>
        <v>0</v>
      </c>
      <c r="Y32" s="80">
        <f>IF(LoadsTable[[#This Row],[Column2]]=0,0,ROUND('Stream Bank Phosphorus Loading'!E$150,2))</f>
        <v>0</v>
      </c>
      <c r="Z32" s="78" t="s">
        <v>92</v>
      </c>
      <c r="AA32" s="210">
        <f t="shared" si="2"/>
        <v>0</v>
      </c>
      <c r="AB32" s="213" t="s">
        <v>24</v>
      </c>
    </row>
    <row r="33" spans="1:30" ht="11.5" customHeight="1"/>
    <row r="34" spans="1:30" ht="26.5" customHeight="1">
      <c r="A34" s="401" t="s">
        <v>103</v>
      </c>
      <c r="B34" s="27" t="s">
        <v>0</v>
      </c>
      <c r="C34" s="28"/>
      <c r="D34" s="29"/>
      <c r="E34" s="29"/>
      <c r="F34" s="29"/>
      <c r="G34" s="14" t="s">
        <v>4</v>
      </c>
      <c r="H34" s="24"/>
      <c r="I34" s="24"/>
      <c r="J34" s="14" t="s">
        <v>37</v>
      </c>
      <c r="K34" s="14" t="s">
        <v>7</v>
      </c>
      <c r="L34" s="14"/>
      <c r="M34" s="15" t="s">
        <v>38</v>
      </c>
      <c r="S34" s="4"/>
      <c r="T34" s="4"/>
      <c r="U34" s="4"/>
      <c r="V34" s="4"/>
      <c r="W34" s="4"/>
      <c r="X34" s="4"/>
      <c r="Y34" s="4"/>
      <c r="Z34" s="4"/>
      <c r="AA34" s="4"/>
      <c r="AB34" s="4"/>
    </row>
    <row r="35" spans="1:30" ht="12" customHeight="1">
      <c r="A35" s="402"/>
      <c r="B35" s="20" t="s">
        <v>36</v>
      </c>
      <c r="C35" s="21"/>
      <c r="D35" s="22" t="s">
        <v>33</v>
      </c>
      <c r="E35" s="22" t="s">
        <v>34</v>
      </c>
      <c r="F35" s="22"/>
      <c r="G35" s="22" t="s">
        <v>34</v>
      </c>
      <c r="H35" s="86"/>
      <c r="I35" s="86"/>
      <c r="J35" s="22" t="s">
        <v>35</v>
      </c>
      <c r="K35" s="22" t="s">
        <v>35</v>
      </c>
      <c r="L35" s="22"/>
      <c r="M35" s="23" t="s">
        <v>35</v>
      </c>
      <c r="Y35" s="4"/>
      <c r="Z35" s="4"/>
      <c r="AA35" s="4"/>
      <c r="AB35" s="4"/>
    </row>
    <row r="36" spans="1:30" ht="18" customHeight="1">
      <c r="A36" s="402"/>
      <c r="B36" s="121" t="s">
        <v>25</v>
      </c>
      <c r="C36" s="122" t="str">
        <f>+'MMW Output'!C38</f>
        <v xml:space="preserve"> </v>
      </c>
      <c r="D36" s="122" t="e">
        <f>+'MMW Output'!#REF!</f>
        <v>#REF!</v>
      </c>
      <c r="E36" s="122" t="e">
        <f>+'MMW Output'!#REF!</f>
        <v>#REF!</v>
      </c>
      <c r="F36" s="122"/>
      <c r="G36" s="123">
        <f>+'MMW Output'!D38</f>
        <v>0</v>
      </c>
      <c r="H36" s="123" t="e">
        <f>+'MMW Output'!#REF!</f>
        <v>#REF!</v>
      </c>
      <c r="I36" s="123"/>
      <c r="J36" s="123">
        <f>+'MMW Output'!E38</f>
        <v>629.30700000000002</v>
      </c>
      <c r="K36" s="123" t="e">
        <f>+'MMW Output'!#REF!</f>
        <v>#REF!</v>
      </c>
      <c r="L36" s="123"/>
      <c r="M36" s="124">
        <f>+'MMW Output'!F38</f>
        <v>165.375</v>
      </c>
      <c r="Y36" s="4"/>
      <c r="Z36" s="4"/>
      <c r="AA36" s="4"/>
      <c r="AB36" s="4"/>
    </row>
    <row r="37" spans="1:30" ht="18" customHeight="1">
      <c r="A37" s="402"/>
      <c r="B37" s="125" t="s">
        <v>27</v>
      </c>
      <c r="C37" s="126" t="str">
        <f>+'MMW Output'!C39</f>
        <v xml:space="preserve"> </v>
      </c>
      <c r="D37" s="126" t="e">
        <f>+'MMW Output'!#REF!</f>
        <v>#REF!</v>
      </c>
      <c r="E37" s="126" t="e">
        <f>+'MMW Output'!#REF!</f>
        <v>#REF!</v>
      </c>
      <c r="F37" s="126"/>
      <c r="G37" s="127">
        <f>+'MMW Output'!D39</f>
        <v>0</v>
      </c>
      <c r="H37" s="127" t="e">
        <f>+'MMW Output'!#REF!</f>
        <v>#REF!</v>
      </c>
      <c r="I37" s="127"/>
      <c r="J37" s="127">
        <f>+'MMW Output'!E39</f>
        <v>0</v>
      </c>
      <c r="K37" s="127" t="e">
        <f>+'MMW Output'!#REF!</f>
        <v>#REF!</v>
      </c>
      <c r="L37" s="127"/>
      <c r="M37" s="128">
        <f>+'MMW Output'!F39</f>
        <v>0</v>
      </c>
      <c r="P37" s="1"/>
    </row>
    <row r="38" spans="1:30" ht="18" customHeight="1">
      <c r="A38" s="400"/>
      <c r="B38" s="315" t="s">
        <v>113</v>
      </c>
      <c r="C38" s="323" t="str">
        <f>+'MMW Output'!C40</f>
        <v xml:space="preserve"> </v>
      </c>
      <c r="D38" s="316" t="e">
        <f>+'MMW Output'!#REF!</f>
        <v>#REF!</v>
      </c>
      <c r="E38" s="316" t="e">
        <f>+'MMW Output'!#REF!</f>
        <v>#REF!</v>
      </c>
      <c r="F38" s="316"/>
      <c r="G38" s="317">
        <f>+'MMW Output'!D40</f>
        <v>707.203035</v>
      </c>
      <c r="H38" s="317" t="e">
        <f>+'MMW Output'!#REF!</f>
        <v>#REF!</v>
      </c>
      <c r="I38" s="317"/>
      <c r="J38" s="317">
        <f>+'MMW Output'!E40</f>
        <v>813.64499999999998</v>
      </c>
      <c r="K38" s="317" t="e">
        <f>+'MMW Output'!#REF!</f>
        <v>#REF!</v>
      </c>
      <c r="L38" s="317"/>
      <c r="M38" s="325">
        <f>+'MMW Output'!F40</f>
        <v>476.28000000000003</v>
      </c>
      <c r="P38" s="1"/>
      <c r="Q38" s="103"/>
    </row>
    <row r="39" spans="1:30" ht="18" customHeight="1">
      <c r="A39" s="314"/>
      <c r="B39" s="322" t="s">
        <v>29</v>
      </c>
      <c r="C39" s="324"/>
      <c r="D39" s="320"/>
      <c r="E39" s="320"/>
      <c r="F39" s="320"/>
      <c r="G39" s="321">
        <v>0</v>
      </c>
      <c r="H39" s="321"/>
      <c r="I39" s="321"/>
      <c r="J39" s="321">
        <f>+'MMW Output'!E41</f>
        <v>21699.846000000001</v>
      </c>
      <c r="K39" s="321"/>
      <c r="L39" s="321"/>
      <c r="M39" s="326">
        <f>+'MMW Output'!F41</f>
        <v>295.911</v>
      </c>
      <c r="P39" s="1"/>
    </row>
    <row r="40" spans="1:30" s="4" customFormat="1" ht="18" customHeight="1">
      <c r="A40" s="318"/>
      <c r="B40" s="332" t="s">
        <v>30</v>
      </c>
      <c r="C40" s="333"/>
      <c r="D40" s="334"/>
      <c r="E40" s="334"/>
      <c r="F40" s="334"/>
      <c r="G40" s="335">
        <v>0</v>
      </c>
      <c r="H40" s="335"/>
      <c r="I40" s="335"/>
      <c r="J40" s="317">
        <f>+'MMW Output'!E42</f>
        <v>495.46350000000001</v>
      </c>
      <c r="K40" s="335"/>
      <c r="L40" s="335"/>
      <c r="M40" s="325">
        <f>+'MMW Output'!F42</f>
        <v>352.8</v>
      </c>
    </row>
    <row r="41" spans="1:30" ht="18" customHeight="1">
      <c r="A41" s="314"/>
      <c r="B41" s="327" t="s">
        <v>31</v>
      </c>
      <c r="C41" s="328"/>
      <c r="D41" s="329"/>
      <c r="E41" s="329"/>
      <c r="F41" s="329"/>
      <c r="G41" s="330">
        <v>0</v>
      </c>
      <c r="H41" s="330"/>
      <c r="I41" s="330"/>
      <c r="J41" s="330">
        <f>+'MMW Output'!E43</f>
        <v>920.14650000000006</v>
      </c>
      <c r="K41" s="330"/>
      <c r="L41" s="330"/>
      <c r="M41" s="331">
        <f>+'MMW Output'!F43</f>
        <v>0</v>
      </c>
      <c r="P41" s="1"/>
    </row>
    <row r="42" spans="1:30" s="4" customFormat="1" ht="18" customHeight="1">
      <c r="A42" s="318"/>
      <c r="B42" s="319"/>
      <c r="C42" s="320"/>
      <c r="D42" s="320"/>
      <c r="E42" s="320"/>
      <c r="F42" s="320"/>
      <c r="G42" s="321"/>
      <c r="H42" s="321"/>
      <c r="I42" s="321"/>
      <c r="J42" s="321"/>
      <c r="K42" s="321"/>
      <c r="L42" s="321"/>
      <c r="M42" s="321"/>
    </row>
    <row r="43" spans="1:30" s="4" customFormat="1" ht="18" customHeight="1">
      <c r="A43" s="318"/>
      <c r="B43" s="319"/>
      <c r="C43" s="320"/>
      <c r="D43" s="320"/>
      <c r="E43" s="320"/>
      <c r="F43" s="320"/>
      <c r="G43" s="321"/>
      <c r="H43" s="321"/>
      <c r="I43" s="321"/>
      <c r="J43" s="321"/>
      <c r="K43" s="321"/>
      <c r="L43" s="321"/>
      <c r="M43" s="321"/>
    </row>
    <row r="44" spans="1:30" ht="15" customHeight="1">
      <c r="P44" s="1"/>
      <c r="AB44" s="4"/>
      <c r="AC44" s="4"/>
      <c r="AD44" s="4"/>
    </row>
    <row r="45" spans="1:30" s="85" customFormat="1">
      <c r="B45" s="85" t="s">
        <v>109</v>
      </c>
    </row>
    <row r="46" spans="1:30" ht="29" customHeight="1">
      <c r="B46" s="403" t="s">
        <v>243</v>
      </c>
      <c r="C46" s="403"/>
      <c r="D46" s="403"/>
      <c r="E46" s="403"/>
      <c r="F46" s="403"/>
      <c r="G46" s="403"/>
      <c r="H46" s="403"/>
      <c r="I46" s="403"/>
      <c r="J46" s="403"/>
      <c r="K46" s="403"/>
      <c r="L46" s="403"/>
      <c r="M46" s="403"/>
      <c r="N46" s="403"/>
      <c r="O46" s="403"/>
      <c r="P46" s="403"/>
      <c r="Q46" s="403"/>
      <c r="R46" s="403"/>
      <c r="S46" s="403"/>
      <c r="T46" s="403"/>
      <c r="U46" s="403"/>
      <c r="V46" s="403"/>
      <c r="W46" s="403"/>
      <c r="X46" s="403"/>
      <c r="Y46" s="403"/>
      <c r="Z46" s="403"/>
      <c r="AA46" s="403"/>
    </row>
    <row r="47" spans="1:30" ht="41.5" customHeight="1">
      <c r="B47" s="403" t="s">
        <v>244</v>
      </c>
      <c r="C47" s="403"/>
      <c r="D47" s="403"/>
      <c r="E47" s="403"/>
      <c r="F47" s="403"/>
      <c r="G47" s="403"/>
      <c r="H47" s="403"/>
      <c r="I47" s="403"/>
      <c r="J47" s="403"/>
      <c r="K47" s="403"/>
      <c r="L47" s="403"/>
      <c r="M47" s="403"/>
      <c r="N47" s="403"/>
      <c r="O47" s="403"/>
      <c r="P47" s="403"/>
      <c r="Q47" s="403"/>
      <c r="R47" s="403"/>
      <c r="S47" s="403"/>
      <c r="T47" s="403"/>
      <c r="U47" s="403"/>
      <c r="V47" s="403"/>
      <c r="W47" s="403"/>
      <c r="X47" s="403"/>
      <c r="Y47" s="403"/>
      <c r="Z47" s="403"/>
      <c r="AA47" s="403"/>
    </row>
    <row r="48" spans="1:30" hidden="1">
      <c r="B48" s="2" t="s">
        <v>29</v>
      </c>
      <c r="C48" s="7" t="str">
        <f>+'MMW Output'!C41</f>
        <v xml:space="preserve"> </v>
      </c>
      <c r="D48" s="7" t="e">
        <f>+'MMW Output'!#REF!</f>
        <v>#REF!</v>
      </c>
      <c r="E48" s="7" t="e">
        <f>+'MMW Output'!#REF!</f>
        <v>#REF!</v>
      </c>
      <c r="F48" s="7"/>
      <c r="G48" s="7">
        <f>+'MMW Output'!D41</f>
        <v>0</v>
      </c>
      <c r="H48" s="7" t="e">
        <f>+'MMW Output'!#REF!</f>
        <v>#REF!</v>
      </c>
      <c r="I48" s="7"/>
      <c r="J48" s="7">
        <f>+'MMW Output'!E41</f>
        <v>21699.846000000001</v>
      </c>
      <c r="K48" s="7" t="e">
        <f>+'MMW Output'!#REF!</f>
        <v>#REF!</v>
      </c>
      <c r="L48" s="7"/>
      <c r="M48" s="7">
        <f>+'MMW Output'!F41</f>
        <v>295.911</v>
      </c>
    </row>
    <row r="49" spans="2:17" hidden="1">
      <c r="B49" s="2" t="s">
        <v>30</v>
      </c>
      <c r="C49" s="7" t="str">
        <f>+'MMW Output'!C42</f>
        <v xml:space="preserve"> </v>
      </c>
      <c r="D49" s="7" t="e">
        <f>+'MMW Output'!#REF!</f>
        <v>#REF!</v>
      </c>
      <c r="E49" s="7" t="e">
        <f>+'MMW Output'!#REF!</f>
        <v>#REF!</v>
      </c>
      <c r="F49" s="7"/>
      <c r="G49" s="7">
        <f>+'MMW Output'!D42</f>
        <v>0</v>
      </c>
      <c r="H49" s="7" t="e">
        <f>+'MMW Output'!#REF!</f>
        <v>#REF!</v>
      </c>
      <c r="I49" s="7"/>
      <c r="J49" s="7">
        <f>+'MMW Output'!E42</f>
        <v>495.46350000000001</v>
      </c>
      <c r="K49" s="7" t="e">
        <f>+'MMW Output'!#REF!</f>
        <v>#REF!</v>
      </c>
      <c r="L49" s="7"/>
      <c r="M49" s="7">
        <f>+'MMW Output'!F42</f>
        <v>352.8</v>
      </c>
    </row>
    <row r="50" spans="2:17" ht="14" hidden="1" thickBot="1">
      <c r="B50" s="3" t="s">
        <v>31</v>
      </c>
      <c r="C50" s="7" t="str">
        <f>+'MMW Output'!C43</f>
        <v xml:space="preserve"> </v>
      </c>
      <c r="D50" s="7" t="e">
        <f>+'MMW Output'!#REF!</f>
        <v>#REF!</v>
      </c>
      <c r="E50" s="7" t="e">
        <f>+'MMW Output'!#REF!</f>
        <v>#REF!</v>
      </c>
      <c r="F50" s="7"/>
      <c r="G50" s="7">
        <f>+'MMW Output'!D43</f>
        <v>0</v>
      </c>
      <c r="H50" s="7" t="e">
        <f>+'MMW Output'!#REF!</f>
        <v>#REF!</v>
      </c>
      <c r="I50" s="7"/>
      <c r="J50" s="7">
        <f>+'MMW Output'!E43</f>
        <v>920.14650000000006</v>
      </c>
      <c r="K50" s="7" t="e">
        <f>+'MMW Output'!#REF!</f>
        <v>#REF!</v>
      </c>
      <c r="L50" s="7"/>
      <c r="M50" s="7">
        <f>+'MMW Output'!F43</f>
        <v>0</v>
      </c>
    </row>
    <row r="51" spans="2:17" ht="29" customHeight="1">
      <c r="B51" s="87"/>
      <c r="C51" s="4"/>
      <c r="D51" s="4"/>
      <c r="E51" s="4"/>
      <c r="F51" s="4"/>
      <c r="G51" s="4"/>
      <c r="H51" s="4"/>
      <c r="I51" s="4"/>
      <c r="J51" s="4"/>
      <c r="K51" s="4"/>
      <c r="L51" s="4"/>
      <c r="M51" s="4"/>
    </row>
    <row r="52" spans="2:17">
      <c r="P52" s="1"/>
      <c r="Q52" s="105"/>
    </row>
    <row r="53" spans="2:17" ht="18">
      <c r="B53" s="87"/>
    </row>
  </sheetData>
  <mergeCells count="10">
    <mergeCell ref="A17:A32"/>
    <mergeCell ref="O13:Q13"/>
    <mergeCell ref="A34:A38"/>
    <mergeCell ref="B46:AA46"/>
    <mergeCell ref="B47:AA47"/>
    <mergeCell ref="F5:G5"/>
    <mergeCell ref="O11:AB11"/>
    <mergeCell ref="S13:V13"/>
    <mergeCell ref="X13:AA13"/>
    <mergeCell ref="B11:M11"/>
  </mergeCells>
  <phoneticPr fontId="47" type="noConversion"/>
  <pageMargins left="0.5" right="0.25" top="0.5" bottom="0.75" header="0.3" footer="0.3"/>
  <pageSetup paperSize="17" fitToWidth="0" fitToHeight="0" orientation="landscape" r:id="rId1"/>
  <headerFooter>
    <oddFooter>&amp;L&amp;"Arial,Regular"&amp;9Section 2: Land Use Loading Rates Look-Up Table&amp;C&amp;"Arial,Regular"&amp;9Page &amp;P of &amp;N&amp;R&amp;"Arial,Regular"&amp;9Christina Basin Loading Rates Tool (May 5, 2017)</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P92"/>
  <sheetViews>
    <sheetView zoomScale="120" zoomScaleNormal="120" zoomScaleSheetLayoutView="100" workbookViewId="0">
      <selection activeCell="N67" sqref="N67"/>
    </sheetView>
  </sheetViews>
  <sheetFormatPr baseColWidth="10" defaultColWidth="8.83203125" defaultRowHeight="13"/>
  <cols>
    <col min="1" max="1" width="15.1640625" style="1" customWidth="1"/>
    <col min="2" max="2" width="1.5" style="1" customWidth="1"/>
    <col min="3" max="3" width="13.5" style="1" customWidth="1"/>
    <col min="4" max="4" width="13.33203125" style="1" customWidth="1"/>
    <col min="5" max="5" width="14" style="1" customWidth="1"/>
    <col min="6" max="6" width="13.83203125" style="1" customWidth="1"/>
    <col min="7" max="10" width="8.83203125" style="1"/>
    <col min="11" max="11" width="16.33203125" style="1" customWidth="1"/>
    <col min="12" max="12" width="14.5" style="1" customWidth="1"/>
    <col min="13" max="13" width="12.33203125" style="1" customWidth="1"/>
    <col min="14" max="14" width="16.5" style="1" customWidth="1"/>
    <col min="15" max="15" width="14.83203125" style="1" customWidth="1"/>
    <col min="16" max="16" width="14" style="1" customWidth="1"/>
    <col min="17" max="16384" width="8.83203125" style="1"/>
  </cols>
  <sheetData>
    <row r="1" spans="1:6" ht="16">
      <c r="A1" s="1" t="s">
        <v>240</v>
      </c>
      <c r="B1" s="39"/>
    </row>
    <row r="2" spans="1:6" ht="6.5" customHeight="1"/>
    <row r="3" spans="1:6">
      <c r="A3" s="81" t="s">
        <v>138</v>
      </c>
      <c r="B3" s="1" t="str">
        <f>+C15</f>
        <v>User Specified</v>
      </c>
    </row>
    <row r="4" spans="1:6" ht="6" customHeight="1"/>
    <row r="5" spans="1:6">
      <c r="A5" s="1" t="s">
        <v>93</v>
      </c>
      <c r="B5" s="391" t="str">
        <f>+C16</f>
        <v>User Specified</v>
      </c>
      <c r="C5" s="391"/>
    </row>
    <row r="7" spans="1:6">
      <c r="A7" s="223" t="s">
        <v>148</v>
      </c>
      <c r="B7" s="95" t="s">
        <v>241</v>
      </c>
    </row>
    <row r="9" spans="1:6" ht="133.5" customHeight="1">
      <c r="A9" s="405" t="s">
        <v>242</v>
      </c>
      <c r="B9" s="405"/>
      <c r="C9" s="405"/>
      <c r="D9" s="405"/>
      <c r="E9" s="405"/>
      <c r="F9" s="405"/>
    </row>
    <row r="10" spans="1:6" ht="14">
      <c r="A10" s="82"/>
    </row>
    <row r="11" spans="1:6" ht="9" customHeight="1"/>
    <row r="12" spans="1:6">
      <c r="A12" s="38"/>
      <c r="B12" s="5" t="s">
        <v>79</v>
      </c>
      <c r="C12" s="371" t="s">
        <v>232</v>
      </c>
    </row>
    <row r="13" spans="1:6">
      <c r="B13" s="5" t="s">
        <v>81</v>
      </c>
      <c r="C13" s="375" t="s">
        <v>232</v>
      </c>
      <c r="F13" s="88"/>
    </row>
    <row r="14" spans="1:6">
      <c r="A14" s="6"/>
      <c r="B14" s="6" t="s">
        <v>80</v>
      </c>
      <c r="C14" s="371" t="s">
        <v>232</v>
      </c>
      <c r="D14" s="4"/>
    </row>
    <row r="15" spans="1:6">
      <c r="B15" s="6" t="s">
        <v>100</v>
      </c>
      <c r="C15" s="371" t="s">
        <v>232</v>
      </c>
    </row>
    <row r="16" spans="1:6">
      <c r="A16" s="5"/>
      <c r="B16" s="5" t="s">
        <v>82</v>
      </c>
      <c r="C16" s="372" t="s">
        <v>232</v>
      </c>
    </row>
    <row r="17" spans="1:8" ht="5" customHeight="1">
      <c r="A17" s="5"/>
      <c r="B17" s="5"/>
      <c r="C17" s="4"/>
    </row>
    <row r="18" spans="1:8" ht="14" thickBot="1">
      <c r="C18" s="404" t="s">
        <v>229</v>
      </c>
      <c r="D18" s="404"/>
      <c r="E18" s="404"/>
      <c r="F18" s="404"/>
    </row>
    <row r="19" spans="1:8" ht="4.25" customHeight="1" thickBot="1"/>
    <row r="20" spans="1:8" ht="16.25" customHeight="1">
      <c r="A20" s="208" t="s">
        <v>0</v>
      </c>
      <c r="B20" s="206"/>
      <c r="C20" s="204" t="s">
        <v>1</v>
      </c>
      <c r="D20" s="204" t="s">
        <v>4</v>
      </c>
      <c r="E20" s="204" t="s">
        <v>6</v>
      </c>
      <c r="F20" s="202" t="s">
        <v>8</v>
      </c>
    </row>
    <row r="21" spans="1:8" ht="13.25" customHeight="1" thickBot="1">
      <c r="A21" s="200" t="s">
        <v>36</v>
      </c>
      <c r="B21" s="221"/>
      <c r="C21" s="220" t="s">
        <v>32</v>
      </c>
      <c r="D21" s="220" t="s">
        <v>77</v>
      </c>
      <c r="E21" s="220" t="s">
        <v>78</v>
      </c>
      <c r="F21" s="212" t="s">
        <v>78</v>
      </c>
    </row>
    <row r="22" spans="1:8" ht="13.25" customHeight="1">
      <c r="A22" s="209" t="s">
        <v>9</v>
      </c>
      <c r="B22" s="222"/>
      <c r="C22" s="228">
        <f>F62</f>
        <v>1180.2469135802469</v>
      </c>
      <c r="D22" s="228">
        <f t="shared" ref="D22:F25" si="0">N50</f>
        <v>169.19251650000001</v>
      </c>
      <c r="E22" s="228">
        <f t="shared" si="0"/>
        <v>1744.8164999999999</v>
      </c>
      <c r="F22" s="207">
        <f t="shared" si="0"/>
        <v>893.02499999999998</v>
      </c>
    </row>
    <row r="23" spans="1:8" ht="13.25" customHeight="1">
      <c r="A23" s="209" t="s">
        <v>10</v>
      </c>
      <c r="B23" s="222"/>
      <c r="C23" s="228">
        <f>F63</f>
        <v>323.45679012345676</v>
      </c>
      <c r="D23" s="228">
        <f t="shared" si="0"/>
        <v>473.41140525000003</v>
      </c>
      <c r="E23" s="228">
        <f t="shared" si="0"/>
        <v>3426.3495000000003</v>
      </c>
      <c r="F23" s="207">
        <f t="shared" si="0"/>
        <v>1474.4835</v>
      </c>
    </row>
    <row r="24" spans="1:8" ht="13.25" customHeight="1">
      <c r="A24" s="209" t="s">
        <v>11</v>
      </c>
      <c r="B24" s="222"/>
      <c r="C24" s="228">
        <f>SUM(F57:F59)+F60</f>
        <v>417.28395061728395</v>
      </c>
      <c r="D24" s="228">
        <f t="shared" si="0"/>
        <v>0.69060599999999994</v>
      </c>
      <c r="E24" s="228">
        <f t="shared" si="0"/>
        <v>59.975999999999999</v>
      </c>
      <c r="F24" s="207">
        <f t="shared" si="0"/>
        <v>4.8510000000000009</v>
      </c>
    </row>
    <row r="25" spans="1:8" ht="13.25" customHeight="1">
      <c r="A25" s="209" t="s">
        <v>12</v>
      </c>
      <c r="B25" s="222"/>
      <c r="C25" s="228">
        <f>F64+F65</f>
        <v>14.814814814814813</v>
      </c>
      <c r="D25" s="228">
        <f t="shared" si="0"/>
        <v>3.2854500000000002E-2</v>
      </c>
      <c r="E25" s="228">
        <f t="shared" si="0"/>
        <v>6.1739999999999995</v>
      </c>
      <c r="F25" s="207">
        <f t="shared" si="0"/>
        <v>0.44100000000000006</v>
      </c>
    </row>
    <row r="26" spans="1:8" ht="13.25" customHeight="1">
      <c r="A26" s="209" t="s">
        <v>13</v>
      </c>
      <c r="B26" s="222"/>
      <c r="C26" s="228">
        <v>0</v>
      </c>
      <c r="D26" s="228">
        <v>0</v>
      </c>
      <c r="E26" s="228">
        <v>0</v>
      </c>
      <c r="F26" s="207">
        <v>0</v>
      </c>
      <c r="H26" s="374"/>
    </row>
    <row r="27" spans="1:8" ht="13.25" customHeight="1">
      <c r="A27" s="209" t="s">
        <v>14</v>
      </c>
      <c r="B27" s="222"/>
      <c r="C27" s="228">
        <v>0</v>
      </c>
      <c r="D27" s="228">
        <v>0</v>
      </c>
      <c r="E27" s="228">
        <v>0</v>
      </c>
      <c r="F27" s="207">
        <v>0</v>
      </c>
    </row>
    <row r="28" spans="1:8" ht="13.25" customHeight="1">
      <c r="A28" s="209" t="s">
        <v>15</v>
      </c>
      <c r="B28" s="222"/>
      <c r="C28" s="228">
        <f>F61</f>
        <v>111.1111111111111</v>
      </c>
      <c r="D28" s="228">
        <f t="shared" ref="D28:F29" si="1">N54</f>
        <v>5.4832837500000009</v>
      </c>
      <c r="E28" s="228">
        <f t="shared" si="1"/>
        <v>135.60750000000002</v>
      </c>
      <c r="F28" s="207">
        <f t="shared" si="1"/>
        <v>16.9785</v>
      </c>
    </row>
    <row r="29" spans="1:8" ht="13.25" customHeight="1">
      <c r="A29" s="209" t="s">
        <v>16</v>
      </c>
      <c r="B29" s="222"/>
      <c r="C29" s="228">
        <f>F56</f>
        <v>49.382716049382715</v>
      </c>
      <c r="D29" s="228">
        <f t="shared" si="1"/>
        <v>6.1740000000000003E-2</v>
      </c>
      <c r="E29" s="228">
        <f t="shared" si="1"/>
        <v>29.988</v>
      </c>
      <c r="F29" s="207">
        <f t="shared" si="1"/>
        <v>1.1025</v>
      </c>
    </row>
    <row r="30" spans="1:8" ht="13.25" customHeight="1">
      <c r="A30" s="209" t="s">
        <v>17</v>
      </c>
      <c r="B30" s="222"/>
      <c r="C30" s="228">
        <v>0</v>
      </c>
      <c r="D30" s="228">
        <v>0</v>
      </c>
      <c r="E30" s="228">
        <v>0</v>
      </c>
      <c r="F30" s="207">
        <v>0</v>
      </c>
    </row>
    <row r="31" spans="1:8" ht="13.25" customHeight="1">
      <c r="A31" s="209" t="s">
        <v>18</v>
      </c>
      <c r="B31" s="222"/>
      <c r="C31" s="228">
        <v>0</v>
      </c>
      <c r="D31" s="228">
        <v>0</v>
      </c>
      <c r="E31" s="228">
        <v>0</v>
      </c>
      <c r="F31" s="207">
        <v>0</v>
      </c>
    </row>
    <row r="32" spans="1:8">
      <c r="A32" s="209" t="s">
        <v>19</v>
      </c>
      <c r="B32" s="222"/>
      <c r="C32" s="228">
        <f>F52+F53</f>
        <v>2000</v>
      </c>
      <c r="D32" s="228">
        <f t="shared" ref="D32:F34" si="2">N56</f>
        <v>9.8619727500000014</v>
      </c>
      <c r="E32" s="228">
        <f t="shared" si="2"/>
        <v>532.94849999999997</v>
      </c>
      <c r="F32" s="207">
        <f t="shared" si="2"/>
        <v>59.975999999999999</v>
      </c>
    </row>
    <row r="33" spans="1:11" ht="13.25" customHeight="1">
      <c r="A33" s="209" t="s">
        <v>20</v>
      </c>
      <c r="B33" s="222"/>
      <c r="C33" s="228">
        <f>F54</f>
        <v>293.82716049382714</v>
      </c>
      <c r="D33" s="228">
        <f t="shared" si="2"/>
        <v>7.9404254999999999</v>
      </c>
      <c r="E33" s="228">
        <f t="shared" si="2"/>
        <v>327.88349999999997</v>
      </c>
      <c r="F33" s="207">
        <f t="shared" si="2"/>
        <v>33.736499999999999</v>
      </c>
      <c r="K33" s="100"/>
    </row>
    <row r="34" spans="1:11" ht="13.25" customHeight="1">
      <c r="A34" s="209" t="s">
        <v>21</v>
      </c>
      <c r="B34" s="222"/>
      <c r="C34" s="228">
        <f>F55</f>
        <v>79.012345679012341</v>
      </c>
      <c r="D34" s="228">
        <f t="shared" si="2"/>
        <v>2.1564900000000002</v>
      </c>
      <c r="E34" s="228">
        <f t="shared" si="2"/>
        <v>89.081999999999994</v>
      </c>
      <c r="F34" s="207">
        <f t="shared" si="2"/>
        <v>9.261000000000001</v>
      </c>
    </row>
    <row r="35" spans="1:11" ht="13.25" customHeight="1">
      <c r="A35" s="209" t="s">
        <v>22</v>
      </c>
      <c r="B35" s="222"/>
      <c r="C35" s="228">
        <v>0</v>
      </c>
      <c r="D35" s="228">
        <v>0</v>
      </c>
      <c r="E35" s="228">
        <v>0</v>
      </c>
      <c r="F35" s="207">
        <v>0</v>
      </c>
      <c r="K35" s="100"/>
    </row>
    <row r="36" spans="1:11" ht="13.25" customHeight="1">
      <c r="A36" s="209" t="s">
        <v>23</v>
      </c>
      <c r="B36" s="222"/>
      <c r="C36" s="228">
        <v>0</v>
      </c>
      <c r="D36" s="228">
        <v>0</v>
      </c>
      <c r="E36" s="228">
        <v>0</v>
      </c>
      <c r="F36" s="207">
        <v>0</v>
      </c>
      <c r="K36" s="100"/>
    </row>
    <row r="37" spans="1:11" ht="13.25" customHeight="1">
      <c r="A37" s="209" t="s">
        <v>24</v>
      </c>
      <c r="B37" s="222"/>
      <c r="C37" s="228">
        <v>0</v>
      </c>
      <c r="D37" s="228">
        <v>0</v>
      </c>
      <c r="E37" s="228">
        <v>0</v>
      </c>
      <c r="F37" s="207">
        <v>0</v>
      </c>
      <c r="K37" s="100"/>
    </row>
    <row r="38" spans="1:11" ht="13.25" customHeight="1">
      <c r="A38" s="209" t="s">
        <v>25</v>
      </c>
      <c r="B38" s="222"/>
      <c r="C38" s="228" t="s">
        <v>26</v>
      </c>
      <c r="D38" s="228">
        <f>N60</f>
        <v>0</v>
      </c>
      <c r="E38" s="228">
        <f>O60</f>
        <v>629.30700000000002</v>
      </c>
      <c r="F38" s="207">
        <f>P60</f>
        <v>165.375</v>
      </c>
    </row>
    <row r="39" spans="1:11" ht="13.25" customHeight="1">
      <c r="A39" s="209" t="s">
        <v>27</v>
      </c>
      <c r="B39" s="222"/>
      <c r="C39" s="228" t="s">
        <v>26</v>
      </c>
      <c r="D39" s="228">
        <v>0</v>
      </c>
      <c r="E39" s="228">
        <v>0</v>
      </c>
      <c r="F39" s="207">
        <v>0</v>
      </c>
    </row>
    <row r="40" spans="1:11" ht="13.25" customHeight="1">
      <c r="A40" s="209" t="s">
        <v>28</v>
      </c>
      <c r="B40" s="222"/>
      <c r="C40" s="228" t="s">
        <v>26</v>
      </c>
      <c r="D40" s="228">
        <f t="shared" ref="D40:F43" si="3">N61</f>
        <v>707.203035</v>
      </c>
      <c r="E40" s="228">
        <f t="shared" si="3"/>
        <v>813.64499999999998</v>
      </c>
      <c r="F40" s="207">
        <f t="shared" si="3"/>
        <v>476.28000000000003</v>
      </c>
    </row>
    <row r="41" spans="1:11" ht="13.25" customHeight="1">
      <c r="A41" s="209" t="s">
        <v>29</v>
      </c>
      <c r="B41" s="222"/>
      <c r="C41" s="228" t="s">
        <v>26</v>
      </c>
      <c r="D41" s="228">
        <f t="shared" si="3"/>
        <v>0</v>
      </c>
      <c r="E41" s="228">
        <f t="shared" si="3"/>
        <v>21699.846000000001</v>
      </c>
      <c r="F41" s="207">
        <f t="shared" si="3"/>
        <v>295.911</v>
      </c>
    </row>
    <row r="42" spans="1:11" ht="13.25" customHeight="1">
      <c r="A42" s="209" t="s">
        <v>30</v>
      </c>
      <c r="B42" s="222"/>
      <c r="C42" s="228" t="s">
        <v>26</v>
      </c>
      <c r="D42" s="228">
        <f t="shared" si="3"/>
        <v>0</v>
      </c>
      <c r="E42" s="228">
        <f t="shared" si="3"/>
        <v>495.46350000000001</v>
      </c>
      <c r="F42" s="207">
        <f t="shared" si="3"/>
        <v>352.8</v>
      </c>
    </row>
    <row r="43" spans="1:11" ht="14" customHeight="1" thickBot="1">
      <c r="A43" s="205" t="s">
        <v>31</v>
      </c>
      <c r="B43" s="203"/>
      <c r="C43" s="201" t="s">
        <v>26</v>
      </c>
      <c r="D43" s="201">
        <f t="shared" si="3"/>
        <v>0</v>
      </c>
      <c r="E43" s="201">
        <f t="shared" si="3"/>
        <v>920.14650000000006</v>
      </c>
      <c r="F43" s="211">
        <f t="shared" si="3"/>
        <v>0</v>
      </c>
    </row>
    <row r="44" spans="1:11">
      <c r="A44" s="4"/>
      <c r="B44" s="4"/>
      <c r="C44" s="4"/>
      <c r="D44" s="4"/>
      <c r="E44" s="4"/>
      <c r="F44" s="4"/>
    </row>
    <row r="45" spans="1:11" s="377" customFormat="1">
      <c r="A45" s="379" t="s">
        <v>370</v>
      </c>
      <c r="B45" s="379"/>
      <c r="C45" s="380">
        <f>SUM(C22:C43)</f>
        <v>4469.1358024691353</v>
      </c>
      <c r="D45" s="380">
        <f t="shared" ref="D45:F45" si="4">SUM(D22:D43)</f>
        <v>1376.0343292499999</v>
      </c>
      <c r="E45" s="380">
        <f t="shared" si="4"/>
        <v>30911.233500000002</v>
      </c>
      <c r="F45" s="380">
        <f t="shared" si="4"/>
        <v>3784.2210000000005</v>
      </c>
    </row>
    <row r="47" spans="1:11">
      <c r="A47" s="38" t="s">
        <v>371</v>
      </c>
      <c r="H47" s="38" t="s">
        <v>367</v>
      </c>
    </row>
    <row r="48" spans="1:11">
      <c r="A48" s="38"/>
    </row>
    <row r="49" spans="1:16">
      <c r="A49" s="1" t="s">
        <v>331</v>
      </c>
      <c r="C49" s="100"/>
      <c r="D49" s="1" t="s">
        <v>332</v>
      </c>
      <c r="F49" s="100" t="s">
        <v>349</v>
      </c>
      <c r="H49" s="1" t="s">
        <v>351</v>
      </c>
      <c r="K49" s="1" t="s">
        <v>363</v>
      </c>
      <c r="L49" s="1" t="s">
        <v>364</v>
      </c>
      <c r="M49" s="1" t="s">
        <v>365</v>
      </c>
      <c r="N49" s="1" t="s">
        <v>366</v>
      </c>
      <c r="O49" s="1" t="s">
        <v>368</v>
      </c>
      <c r="P49" s="1" t="s">
        <v>369</v>
      </c>
    </row>
    <row r="50" spans="1:16">
      <c r="A50" s="1" t="s">
        <v>333</v>
      </c>
      <c r="D50" s="381">
        <v>0</v>
      </c>
      <c r="F50" s="100">
        <f t="shared" ref="F50:F65" si="5">(D50*100)/0.405</f>
        <v>0</v>
      </c>
      <c r="H50" s="1" t="s">
        <v>71</v>
      </c>
      <c r="K50" s="382">
        <v>153462.6</v>
      </c>
      <c r="L50" s="382">
        <v>791.3</v>
      </c>
      <c r="M50" s="382">
        <v>405</v>
      </c>
      <c r="N50" s="1">
        <f>(2.205*K50)/2000</f>
        <v>169.19251650000001</v>
      </c>
      <c r="O50" s="1">
        <f>L50*2.205</f>
        <v>1744.8164999999999</v>
      </c>
      <c r="P50" s="1">
        <f>M50*2.205</f>
        <v>893.02499999999998</v>
      </c>
    </row>
    <row r="51" spans="1:16">
      <c r="A51" s="1" t="s">
        <v>334</v>
      </c>
      <c r="D51" s="381">
        <v>0</v>
      </c>
      <c r="F51" s="100">
        <f t="shared" si="5"/>
        <v>0</v>
      </c>
      <c r="H51" s="1" t="s">
        <v>10</v>
      </c>
      <c r="K51" s="382">
        <v>429398.1</v>
      </c>
      <c r="L51" s="382">
        <v>1553.9</v>
      </c>
      <c r="M51" s="382">
        <v>668.7</v>
      </c>
      <c r="N51" s="1">
        <f t="shared" ref="N51:N64" si="6">(2.205*K51)/2000</f>
        <v>473.41140525000003</v>
      </c>
      <c r="O51" s="1">
        <f t="shared" ref="O51:O64" si="7">L51*2.205</f>
        <v>3426.3495000000003</v>
      </c>
      <c r="P51" s="1">
        <f t="shared" ref="P51:P64" si="8">M51*2.205</f>
        <v>1474.4835</v>
      </c>
    </row>
    <row r="52" spans="1:16">
      <c r="A52" s="1" t="s">
        <v>335</v>
      </c>
      <c r="D52" s="381">
        <v>4.66</v>
      </c>
      <c r="F52" s="100">
        <f t="shared" si="5"/>
        <v>1150.6172839506173</v>
      </c>
      <c r="H52" s="1" t="s">
        <v>352</v>
      </c>
      <c r="K52" s="382">
        <v>626.4</v>
      </c>
      <c r="L52" s="381">
        <v>27.2</v>
      </c>
      <c r="M52" s="381">
        <v>2.2000000000000002</v>
      </c>
      <c r="N52" s="1">
        <f t="shared" si="6"/>
        <v>0.69060599999999994</v>
      </c>
      <c r="O52" s="1">
        <f t="shared" si="7"/>
        <v>59.975999999999999</v>
      </c>
      <c r="P52" s="1">
        <f t="shared" si="8"/>
        <v>4.8510000000000009</v>
      </c>
    </row>
    <row r="53" spans="1:16">
      <c r="A53" s="1" t="s">
        <v>336</v>
      </c>
      <c r="D53" s="381">
        <v>3.44</v>
      </c>
      <c r="F53" s="100">
        <f t="shared" si="5"/>
        <v>849.38271604938268</v>
      </c>
      <c r="H53" s="1" t="s">
        <v>353</v>
      </c>
      <c r="K53" s="381">
        <v>29.8</v>
      </c>
      <c r="L53" s="381">
        <v>2.8</v>
      </c>
      <c r="M53" s="381">
        <v>0.2</v>
      </c>
      <c r="N53" s="1">
        <f t="shared" si="6"/>
        <v>3.2854500000000002E-2</v>
      </c>
      <c r="O53" s="1">
        <f t="shared" si="7"/>
        <v>6.1739999999999995</v>
      </c>
      <c r="P53" s="1">
        <f t="shared" si="8"/>
        <v>0.44100000000000006</v>
      </c>
    </row>
    <row r="54" spans="1:16">
      <c r="A54" s="1" t="s">
        <v>337</v>
      </c>
      <c r="D54" s="381">
        <v>1.19</v>
      </c>
      <c r="F54" s="100">
        <f t="shared" si="5"/>
        <v>293.82716049382714</v>
      </c>
      <c r="H54" s="1" t="s">
        <v>354</v>
      </c>
      <c r="K54" s="382">
        <v>4973.5</v>
      </c>
      <c r="L54" s="381">
        <v>61.5</v>
      </c>
      <c r="M54" s="381">
        <v>7.7</v>
      </c>
      <c r="N54" s="1">
        <f t="shared" si="6"/>
        <v>5.4832837500000009</v>
      </c>
      <c r="O54" s="1">
        <f t="shared" si="7"/>
        <v>135.60750000000002</v>
      </c>
      <c r="P54" s="1">
        <f t="shared" si="8"/>
        <v>16.9785</v>
      </c>
    </row>
    <row r="55" spans="1:16">
      <c r="A55" s="1" t="s">
        <v>338</v>
      </c>
      <c r="D55" s="381">
        <v>0.32</v>
      </c>
      <c r="F55" s="100">
        <f t="shared" si="5"/>
        <v>79.012345679012341</v>
      </c>
      <c r="H55" s="1" t="s">
        <v>355</v>
      </c>
      <c r="K55" s="381">
        <v>56</v>
      </c>
      <c r="L55" s="381">
        <v>13.6</v>
      </c>
      <c r="M55" s="381">
        <v>0.5</v>
      </c>
      <c r="N55" s="1">
        <f t="shared" si="6"/>
        <v>6.1740000000000003E-2</v>
      </c>
      <c r="O55" s="1">
        <f t="shared" si="7"/>
        <v>29.988</v>
      </c>
      <c r="P55" s="1">
        <f t="shared" si="8"/>
        <v>1.1025</v>
      </c>
    </row>
    <row r="56" spans="1:16">
      <c r="A56" s="1" t="s">
        <v>339</v>
      </c>
      <c r="D56" s="381">
        <v>0.2</v>
      </c>
      <c r="F56" s="100">
        <f t="shared" si="5"/>
        <v>49.382716049382715</v>
      </c>
      <c r="H56" s="1" t="s">
        <v>356</v>
      </c>
      <c r="K56" s="382">
        <v>8945.1</v>
      </c>
      <c r="L56" s="382">
        <v>241.7</v>
      </c>
      <c r="M56" s="381">
        <v>27.2</v>
      </c>
      <c r="N56" s="1">
        <f t="shared" si="6"/>
        <v>9.8619727500000014</v>
      </c>
      <c r="O56" s="1">
        <f t="shared" si="7"/>
        <v>532.94849999999997</v>
      </c>
      <c r="P56" s="1">
        <f t="shared" si="8"/>
        <v>59.975999999999999</v>
      </c>
    </row>
    <row r="57" spans="1:16">
      <c r="A57" s="1" t="s">
        <v>340</v>
      </c>
      <c r="D57" s="381">
        <v>1</v>
      </c>
      <c r="F57" s="100">
        <f t="shared" si="5"/>
        <v>246.91358024691357</v>
      </c>
      <c r="H57" s="1" t="s">
        <v>357</v>
      </c>
      <c r="K57" s="382">
        <v>7202.2</v>
      </c>
      <c r="L57" s="381">
        <v>148.69999999999999</v>
      </c>
      <c r="M57" s="381">
        <v>15.3</v>
      </c>
      <c r="N57" s="1">
        <f t="shared" si="6"/>
        <v>7.9404254999999999</v>
      </c>
      <c r="O57" s="1">
        <f t="shared" si="7"/>
        <v>327.88349999999997</v>
      </c>
      <c r="P57" s="1">
        <f t="shared" si="8"/>
        <v>33.736499999999999</v>
      </c>
    </row>
    <row r="58" spans="1:16">
      <c r="A58" s="1" t="s">
        <v>341</v>
      </c>
      <c r="D58" s="381">
        <v>0.03</v>
      </c>
      <c r="F58" s="100">
        <f t="shared" si="5"/>
        <v>7.4074074074074066</v>
      </c>
      <c r="H58" s="1" t="s">
        <v>358</v>
      </c>
      <c r="K58" s="382">
        <v>1956</v>
      </c>
      <c r="L58" s="381">
        <v>40.4</v>
      </c>
      <c r="M58" s="381">
        <v>4.2</v>
      </c>
      <c r="N58" s="1">
        <f t="shared" si="6"/>
        <v>2.1564900000000002</v>
      </c>
      <c r="O58" s="1">
        <f t="shared" si="7"/>
        <v>89.081999999999994</v>
      </c>
      <c r="P58" s="1">
        <f t="shared" si="8"/>
        <v>9.261000000000001</v>
      </c>
    </row>
    <row r="59" spans="1:16">
      <c r="A59" s="1" t="s">
        <v>342</v>
      </c>
      <c r="D59" s="381">
        <v>0.02</v>
      </c>
      <c r="F59" s="100">
        <f t="shared" si="5"/>
        <v>4.9382716049382713</v>
      </c>
      <c r="H59" s="1" t="s">
        <v>359</v>
      </c>
      <c r="K59" s="381">
        <v>0</v>
      </c>
      <c r="L59" s="381">
        <v>0</v>
      </c>
      <c r="M59" s="381">
        <v>0</v>
      </c>
      <c r="N59" s="1">
        <f t="shared" si="6"/>
        <v>0</v>
      </c>
      <c r="O59" s="1">
        <f t="shared" si="7"/>
        <v>0</v>
      </c>
      <c r="P59" s="1">
        <f t="shared" si="8"/>
        <v>0</v>
      </c>
    </row>
    <row r="60" spans="1:16">
      <c r="A60" s="1" t="s">
        <v>343</v>
      </c>
      <c r="D60" s="381">
        <v>0.64</v>
      </c>
      <c r="F60" s="100">
        <f t="shared" si="5"/>
        <v>158.02469135802468</v>
      </c>
      <c r="H60" s="1" t="s">
        <v>25</v>
      </c>
      <c r="K60" s="381">
        <v>0</v>
      </c>
      <c r="L60" s="382">
        <v>285.39999999999998</v>
      </c>
      <c r="M60" s="382">
        <v>75</v>
      </c>
      <c r="N60" s="1">
        <f t="shared" si="6"/>
        <v>0</v>
      </c>
      <c r="O60" s="1">
        <f t="shared" si="7"/>
        <v>629.30700000000002</v>
      </c>
      <c r="P60" s="1">
        <f t="shared" si="8"/>
        <v>165.375</v>
      </c>
    </row>
    <row r="61" spans="1:16">
      <c r="A61" s="1" t="s">
        <v>344</v>
      </c>
      <c r="D61" s="381">
        <v>0.45</v>
      </c>
      <c r="F61" s="100">
        <f t="shared" si="5"/>
        <v>111.1111111111111</v>
      </c>
      <c r="H61" s="1" t="s">
        <v>360</v>
      </c>
      <c r="K61" s="382">
        <v>641454</v>
      </c>
      <c r="L61" s="382">
        <v>369</v>
      </c>
      <c r="M61" s="382">
        <v>216</v>
      </c>
      <c r="N61" s="1">
        <f t="shared" si="6"/>
        <v>707.203035</v>
      </c>
      <c r="O61" s="1">
        <f t="shared" si="7"/>
        <v>813.64499999999998</v>
      </c>
      <c r="P61" s="1">
        <f t="shared" si="8"/>
        <v>476.28000000000003</v>
      </c>
    </row>
    <row r="62" spans="1:16">
      <c r="A62" s="1" t="s">
        <v>345</v>
      </c>
      <c r="D62" s="381">
        <v>4.78</v>
      </c>
      <c r="F62" s="100">
        <f t="shared" si="5"/>
        <v>1180.2469135802469</v>
      </c>
      <c r="H62" s="1" t="s">
        <v>361</v>
      </c>
      <c r="K62" s="381">
        <v>0</v>
      </c>
      <c r="L62" s="382">
        <v>9841.2000000000007</v>
      </c>
      <c r="M62" s="382">
        <v>134.19999999999999</v>
      </c>
      <c r="N62" s="1">
        <f t="shared" si="6"/>
        <v>0</v>
      </c>
      <c r="O62" s="1">
        <f t="shared" si="7"/>
        <v>21699.846000000001</v>
      </c>
      <c r="P62" s="1">
        <f t="shared" si="8"/>
        <v>295.911</v>
      </c>
    </row>
    <row r="63" spans="1:16">
      <c r="A63" s="1" t="s">
        <v>346</v>
      </c>
      <c r="D63" s="381">
        <v>1.31</v>
      </c>
      <c r="F63" s="100">
        <f t="shared" si="5"/>
        <v>323.45679012345676</v>
      </c>
      <c r="H63" s="1" t="s">
        <v>362</v>
      </c>
      <c r="K63" s="381">
        <v>0</v>
      </c>
      <c r="L63" s="382">
        <v>224.7</v>
      </c>
      <c r="M63" s="382">
        <v>160</v>
      </c>
      <c r="N63" s="1">
        <f t="shared" si="6"/>
        <v>0</v>
      </c>
      <c r="O63" s="1">
        <f t="shared" si="7"/>
        <v>495.46350000000001</v>
      </c>
      <c r="P63" s="1">
        <f t="shared" si="8"/>
        <v>352.8</v>
      </c>
    </row>
    <row r="64" spans="1:16">
      <c r="A64" s="1" t="s">
        <v>347</v>
      </c>
      <c r="D64" s="381">
        <v>0.06</v>
      </c>
      <c r="F64" s="100">
        <f t="shared" si="5"/>
        <v>14.814814814814813</v>
      </c>
      <c r="H64" s="1" t="s">
        <v>31</v>
      </c>
      <c r="K64" s="381">
        <v>0</v>
      </c>
      <c r="L64" s="382">
        <v>417.3</v>
      </c>
      <c r="M64" s="381">
        <v>0</v>
      </c>
      <c r="N64" s="1">
        <f t="shared" si="6"/>
        <v>0</v>
      </c>
      <c r="O64" s="1">
        <f t="shared" si="7"/>
        <v>920.14650000000006</v>
      </c>
      <c r="P64" s="1">
        <f t="shared" si="8"/>
        <v>0</v>
      </c>
    </row>
    <row r="65" spans="1:16">
      <c r="A65" s="1" t="s">
        <v>348</v>
      </c>
      <c r="D65" s="381">
        <v>0</v>
      </c>
      <c r="F65" s="100">
        <f t="shared" si="5"/>
        <v>0</v>
      </c>
    </row>
    <row r="67" spans="1:16" s="377" customFormat="1">
      <c r="A67" s="377" t="s">
        <v>370</v>
      </c>
      <c r="D67" s="378">
        <f>SUM(D51:D65)</f>
        <v>18.099999999999994</v>
      </c>
      <c r="F67" s="378">
        <f>SUM(F51:F65)</f>
        <v>4469.1358024691363</v>
      </c>
      <c r="H67" s="377" t="s">
        <v>370</v>
      </c>
      <c r="K67" s="378">
        <f>SUM(K50:K65)</f>
        <v>1248103.7</v>
      </c>
      <c r="L67" s="378">
        <f t="shared" ref="L67:P67" si="9">SUM(L50:L65)</f>
        <v>14018.7</v>
      </c>
      <c r="M67" s="378">
        <f t="shared" si="9"/>
        <v>1716.2000000000003</v>
      </c>
      <c r="N67" s="378">
        <f t="shared" si="9"/>
        <v>1376.0343292499999</v>
      </c>
      <c r="O67" s="378">
        <f t="shared" si="9"/>
        <v>30911.233500000002</v>
      </c>
      <c r="P67" s="378">
        <f t="shared" si="9"/>
        <v>3784.2210000000005</v>
      </c>
    </row>
    <row r="70" spans="1:16">
      <c r="A70" s="383" t="s">
        <v>372</v>
      </c>
    </row>
    <row r="72" spans="1:16">
      <c r="A72" s="38" t="s">
        <v>373</v>
      </c>
    </row>
    <row r="74" spans="1:16">
      <c r="A74" s="1" t="s">
        <v>331</v>
      </c>
      <c r="C74" s="100"/>
      <c r="D74" s="1" t="s">
        <v>332</v>
      </c>
      <c r="F74" s="100" t="s">
        <v>349</v>
      </c>
    </row>
    <row r="75" spans="1:16">
      <c r="A75" s="1" t="s">
        <v>333</v>
      </c>
      <c r="D75" s="381">
        <v>0</v>
      </c>
      <c r="F75" s="100">
        <f t="shared" ref="F75:F90" si="10">(D75*100)/0.405</f>
        <v>0</v>
      </c>
    </row>
    <row r="76" spans="1:16">
      <c r="A76" s="1" t="s">
        <v>334</v>
      </c>
      <c r="D76" s="381">
        <v>0</v>
      </c>
      <c r="F76" s="100">
        <f t="shared" si="10"/>
        <v>0</v>
      </c>
    </row>
    <row r="77" spans="1:16">
      <c r="A77" s="1" t="s">
        <v>335</v>
      </c>
      <c r="D77" s="381">
        <v>2.97</v>
      </c>
      <c r="F77" s="100">
        <f t="shared" si="10"/>
        <v>733.33333333333326</v>
      </c>
    </row>
    <row r="78" spans="1:16">
      <c r="A78" s="1" t="s">
        <v>336</v>
      </c>
      <c r="D78" s="381">
        <v>1.82</v>
      </c>
      <c r="F78" s="100">
        <f t="shared" si="10"/>
        <v>449.38271604938268</v>
      </c>
    </row>
    <row r="79" spans="1:16">
      <c r="A79" s="1" t="s">
        <v>337</v>
      </c>
      <c r="D79" s="381">
        <v>0.53</v>
      </c>
      <c r="F79" s="100">
        <f t="shared" si="10"/>
        <v>130.86419753086417</v>
      </c>
    </row>
    <row r="80" spans="1:16">
      <c r="A80" s="1" t="s">
        <v>338</v>
      </c>
      <c r="D80" s="381">
        <v>0.16</v>
      </c>
      <c r="F80" s="100">
        <f t="shared" si="10"/>
        <v>39.506172839506171</v>
      </c>
    </row>
    <row r="81" spans="1:6">
      <c r="A81" s="1" t="s">
        <v>339</v>
      </c>
      <c r="D81" s="381">
        <v>0.09</v>
      </c>
      <c r="F81" s="100">
        <f t="shared" si="10"/>
        <v>22.222222222222221</v>
      </c>
    </row>
    <row r="82" spans="1:6">
      <c r="A82" s="1" t="s">
        <v>340</v>
      </c>
      <c r="D82" s="381">
        <v>0.56999999999999995</v>
      </c>
      <c r="F82" s="100">
        <f t="shared" si="10"/>
        <v>140.7407407407407</v>
      </c>
    </row>
    <row r="83" spans="1:6">
      <c r="A83" s="1" t="s">
        <v>341</v>
      </c>
      <c r="D83" s="381">
        <v>0</v>
      </c>
      <c r="F83" s="100">
        <f t="shared" si="10"/>
        <v>0</v>
      </c>
    </row>
    <row r="84" spans="1:6">
      <c r="A84" s="1" t="s">
        <v>342</v>
      </c>
      <c r="D84" s="381">
        <v>0.01</v>
      </c>
      <c r="F84" s="100">
        <f t="shared" si="10"/>
        <v>2.4691358024691357</v>
      </c>
    </row>
    <row r="85" spans="1:6">
      <c r="A85" s="1" t="s">
        <v>343</v>
      </c>
      <c r="D85" s="381">
        <v>0.38</v>
      </c>
      <c r="F85" s="100">
        <f t="shared" si="10"/>
        <v>93.827160493827151</v>
      </c>
    </row>
    <row r="86" spans="1:6">
      <c r="A86" s="1" t="s">
        <v>344</v>
      </c>
      <c r="D86" s="381">
        <v>0.21</v>
      </c>
      <c r="F86" s="100">
        <f t="shared" si="10"/>
        <v>51.851851851851848</v>
      </c>
    </row>
    <row r="87" spans="1:6">
      <c r="A87" s="1" t="s">
        <v>345</v>
      </c>
      <c r="D87" s="381">
        <v>3.51</v>
      </c>
      <c r="F87" s="100">
        <f t="shared" si="10"/>
        <v>866.66666666666663</v>
      </c>
    </row>
    <row r="88" spans="1:6">
      <c r="A88" s="1" t="s">
        <v>346</v>
      </c>
      <c r="D88" s="381">
        <v>0.87</v>
      </c>
      <c r="F88" s="100">
        <f t="shared" si="10"/>
        <v>214.81481481481481</v>
      </c>
    </row>
    <row r="89" spans="1:6">
      <c r="A89" s="1" t="s">
        <v>347</v>
      </c>
      <c r="D89" s="381">
        <v>0.01</v>
      </c>
      <c r="F89" s="100">
        <f t="shared" si="10"/>
        <v>2.4691358024691357</v>
      </c>
    </row>
    <row r="90" spans="1:6">
      <c r="A90" s="1" t="s">
        <v>348</v>
      </c>
      <c r="D90" s="381">
        <v>0</v>
      </c>
      <c r="F90" s="100">
        <f t="shared" si="10"/>
        <v>0</v>
      </c>
    </row>
    <row r="92" spans="1:6">
      <c r="A92" s="377" t="s">
        <v>370</v>
      </c>
      <c r="B92" s="377"/>
      <c r="C92" s="377"/>
      <c r="D92" s="378">
        <f>SUM(D76:D90)</f>
        <v>11.129999999999999</v>
      </c>
      <c r="E92" s="377"/>
      <c r="F92" s="378">
        <f>SUM(F76:F90)</f>
        <v>2748.1481481481478</v>
      </c>
    </row>
  </sheetData>
  <mergeCells count="3">
    <mergeCell ref="C18:F18"/>
    <mergeCell ref="A9:F9"/>
    <mergeCell ref="B5:C5"/>
  </mergeCells>
  <phoneticPr fontId="47" type="noConversion"/>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38"/>
  <sheetViews>
    <sheetView topLeftCell="D9" zoomScale="120" zoomScaleNormal="120" workbookViewId="0">
      <selection activeCell="P23" sqref="P23"/>
    </sheetView>
  </sheetViews>
  <sheetFormatPr baseColWidth="10" defaultColWidth="8.83203125" defaultRowHeight="13"/>
  <cols>
    <col min="1" max="1" width="1.83203125" style="1" customWidth="1"/>
    <col min="2" max="2" width="3.33203125" style="1" customWidth="1"/>
    <col min="3" max="3" width="34.6640625" style="1" customWidth="1"/>
    <col min="4" max="4" width="11.83203125" style="1" customWidth="1"/>
    <col min="5" max="5" width="13.5" style="1" customWidth="1"/>
    <col min="6" max="6" width="9.5" style="1" customWidth="1"/>
    <col min="7" max="7" width="9.83203125" style="1" customWidth="1"/>
    <col min="8" max="8" width="11" style="1" customWidth="1"/>
    <col min="9" max="9" width="5" style="1" customWidth="1"/>
    <col min="10" max="10" width="10.5" style="1" customWidth="1"/>
    <col min="11" max="11" width="8.83203125" style="1"/>
    <col min="12" max="12" width="10.1640625" style="1" bestFit="1" customWidth="1"/>
    <col min="13" max="13" width="3.5" style="1" customWidth="1"/>
    <col min="14" max="16384" width="8.83203125" style="1"/>
  </cols>
  <sheetData>
    <row r="1" spans="1:8" ht="14.5" customHeight="1">
      <c r="A1" s="215" t="s">
        <v>231</v>
      </c>
      <c r="B1" s="215"/>
      <c r="C1" s="52"/>
    </row>
    <row r="2" spans="1:8" ht="5.5" customHeight="1"/>
    <row r="3" spans="1:8" ht="14.5" customHeight="1">
      <c r="A3" s="1" t="str">
        <f>CONCATENATE("Watershed: ",'MMW Output'!B3)</f>
        <v>Watershed: User Specified</v>
      </c>
    </row>
    <row r="4" spans="1:8" ht="5.5" customHeight="1"/>
    <row r="5" spans="1:8" ht="14.5" customHeight="1">
      <c r="A5" s="1" t="str">
        <f>CONCATENATE("Year: ",'MMW Output'!C16)</f>
        <v>Year: User Specified</v>
      </c>
    </row>
    <row r="6" spans="1:8" ht="9" customHeight="1"/>
    <row r="7" spans="1:8" ht="18" customHeight="1">
      <c r="A7" s="406" t="s">
        <v>245</v>
      </c>
      <c r="B7" s="406"/>
      <c r="C7" s="406"/>
      <c r="D7" s="406"/>
      <c r="E7" s="406"/>
      <c r="F7" s="406"/>
      <c r="G7" s="118"/>
    </row>
    <row r="8" spans="1:8" ht="99" customHeight="1">
      <c r="A8" s="403" t="s">
        <v>262</v>
      </c>
      <c r="B8" s="403"/>
      <c r="C8" s="403"/>
      <c r="D8" s="403"/>
      <c r="E8" s="403"/>
      <c r="F8" s="403"/>
      <c r="G8" s="403"/>
      <c r="H8" s="403"/>
    </row>
    <row r="9" spans="1:8" ht="6" customHeight="1"/>
    <row r="10" spans="1:8" ht="8.5" customHeight="1"/>
    <row r="11" spans="1:8" ht="27.5" customHeight="1">
      <c r="A11" s="403" t="s">
        <v>263</v>
      </c>
      <c r="B11" s="403"/>
      <c r="C11" s="403"/>
      <c r="D11" s="403"/>
      <c r="E11" s="403"/>
      <c r="F11" s="403"/>
      <c r="G11" s="403"/>
      <c r="H11" s="9"/>
    </row>
    <row r="12" spans="1:8" ht="9.5" customHeight="1"/>
    <row r="13" spans="1:8" ht="14.5" customHeight="1">
      <c r="B13" s="38"/>
    </row>
    <row r="14" spans="1:8" ht="45" customHeight="1">
      <c r="B14" s="173" t="s">
        <v>264</v>
      </c>
      <c r="C14" s="216"/>
      <c r="D14" s="70" t="s">
        <v>37</v>
      </c>
      <c r="E14" s="70" t="s">
        <v>38</v>
      </c>
    </row>
    <row r="15" spans="1:8" ht="19.25" customHeight="1">
      <c r="C15" s="132" t="s">
        <v>72</v>
      </c>
      <c r="D15" s="144">
        <f>+'MMW Output'!E38</f>
        <v>629.30700000000002</v>
      </c>
      <c r="E15" s="144">
        <f>+'MMW Output'!F38</f>
        <v>165.375</v>
      </c>
      <c r="F15" s="133" t="s">
        <v>50</v>
      </c>
      <c r="G15" s="408" t="s">
        <v>266</v>
      </c>
      <c r="H15" s="409"/>
    </row>
    <row r="16" spans="1:8" ht="8" customHeight="1">
      <c r="F16" s="69"/>
      <c r="G16" s="410"/>
      <c r="H16" s="411"/>
    </row>
    <row r="17" spans="1:8" ht="28.25" customHeight="1">
      <c r="B17" s="38" t="s">
        <v>265</v>
      </c>
      <c r="F17" s="69"/>
      <c r="G17" s="412"/>
      <c r="H17" s="413"/>
    </row>
    <row r="18" spans="1:8" ht="30.75" customHeight="1">
      <c r="C18" s="57" t="s">
        <v>0</v>
      </c>
      <c r="D18" s="58" t="s">
        <v>51</v>
      </c>
      <c r="F18" s="69"/>
      <c r="G18" s="134"/>
      <c r="H18" s="134"/>
    </row>
    <row r="19" spans="1:8" ht="18" customHeight="1">
      <c r="B19" s="131"/>
      <c r="C19" s="132" t="s">
        <v>71</v>
      </c>
      <c r="D19" s="144">
        <f>+'MMW Output'!C22</f>
        <v>1180.2469135802469</v>
      </c>
      <c r="G19" s="135"/>
      <c r="H19" s="135"/>
    </row>
    <row r="20" spans="1:8" ht="18" customHeight="1">
      <c r="B20" s="131"/>
      <c r="C20" s="138" t="s">
        <v>10</v>
      </c>
      <c r="D20" s="172">
        <f>+'MMW Output'!C23</f>
        <v>323.45679012345676</v>
      </c>
    </row>
    <row r="21" spans="1:8" ht="29.5" customHeight="1">
      <c r="B21" s="407" t="s">
        <v>116</v>
      </c>
      <c r="C21" s="407"/>
      <c r="D21" s="407"/>
      <c r="E21" s="407"/>
      <c r="F21" s="407"/>
      <c r="G21" s="407"/>
    </row>
    <row r="22" spans="1:8" ht="6" customHeight="1">
      <c r="D22" s="41"/>
    </row>
    <row r="23" spans="1:8" ht="15.5" customHeight="1"/>
    <row r="24" spans="1:8" ht="13.25" customHeight="1">
      <c r="A24" s="403" t="s">
        <v>111</v>
      </c>
      <c r="B24" s="403"/>
      <c r="C24" s="403"/>
      <c r="D24" s="403"/>
      <c r="E24" s="403"/>
      <c r="F24" s="403"/>
      <c r="G24" s="403"/>
      <c r="H24" s="403"/>
    </row>
    <row r="25" spans="1:8" ht="6" customHeight="1">
      <c r="C25" s="42"/>
      <c r="D25" s="43"/>
      <c r="E25" s="40"/>
    </row>
    <row r="26" spans="1:8" ht="14.5" customHeight="1">
      <c r="C26" s="72" t="s">
        <v>73</v>
      </c>
      <c r="D26" s="97">
        <f>+D19+D20</f>
        <v>1503.7037037037037</v>
      </c>
      <c r="E26" s="119" t="s">
        <v>112</v>
      </c>
      <c r="F26" s="1" t="str">
        <f>CONCATENATE("[ ",ROUND(D19,2)," acres + ",ROUND(D20,2)," acres"," ]")</f>
        <v>[ 1180.25 acres + 323.46 acres ]</v>
      </c>
    </row>
    <row r="27" spans="1:8" ht="6" customHeight="1">
      <c r="C27" s="42"/>
      <c r="D27" s="43"/>
      <c r="E27" s="40"/>
    </row>
    <row r="28" spans="1:8" ht="11" customHeight="1">
      <c r="C28" s="42"/>
      <c r="D28" s="43"/>
      <c r="E28" s="40"/>
    </row>
    <row r="29" spans="1:8" ht="31.25" customHeight="1">
      <c r="A29" s="403" t="s">
        <v>142</v>
      </c>
      <c r="B29" s="403"/>
      <c r="C29" s="403"/>
      <c r="D29" s="403"/>
      <c r="E29" s="403"/>
      <c r="F29" s="403"/>
      <c r="G29" s="403"/>
      <c r="H29" s="403"/>
    </row>
    <row r="30" spans="1:8" ht="6" customHeight="1">
      <c r="D30" s="41"/>
    </row>
    <row r="31" spans="1:8" ht="27.5" customHeight="1">
      <c r="C31" s="44"/>
      <c r="D31" s="70" t="s">
        <v>37</v>
      </c>
      <c r="E31" s="70" t="s">
        <v>38</v>
      </c>
    </row>
    <row r="32" spans="1:8" ht="19.25" customHeight="1">
      <c r="C32" s="139" t="s">
        <v>72</v>
      </c>
      <c r="D32" s="144">
        <f>+D15</f>
        <v>629.30700000000002</v>
      </c>
      <c r="E32" s="144">
        <f>+E15</f>
        <v>165.375</v>
      </c>
      <c r="F32" s="140" t="s">
        <v>75</v>
      </c>
      <c r="G32" s="136"/>
      <c r="H32" s="10"/>
    </row>
    <row r="33" spans="1:8" ht="19.25" customHeight="1">
      <c r="C33" s="141" t="s">
        <v>115</v>
      </c>
      <c r="D33" s="145">
        <f>+D26</f>
        <v>1503.7037037037037</v>
      </c>
      <c r="E33" s="145">
        <f>+D26</f>
        <v>1503.7037037037037</v>
      </c>
      <c r="F33" s="142" t="s">
        <v>76</v>
      </c>
      <c r="G33" s="137"/>
      <c r="H33" s="10"/>
    </row>
    <row r="34" spans="1:8" ht="5.5" customHeight="1">
      <c r="C34" s="141"/>
      <c r="D34" s="146"/>
      <c r="E34" s="145"/>
      <c r="F34" s="143"/>
      <c r="G34" s="130"/>
      <c r="H34" s="10"/>
    </row>
    <row r="35" spans="1:8" ht="19.25" customHeight="1">
      <c r="C35" s="139" t="s">
        <v>74</v>
      </c>
      <c r="D35" s="174">
        <f>+D32/D33</f>
        <v>0.41850465517241381</v>
      </c>
      <c r="E35" s="174">
        <f>+E32/E33</f>
        <v>0.10997844827586208</v>
      </c>
      <c r="F35" s="175" t="s">
        <v>63</v>
      </c>
      <c r="G35" s="136"/>
      <c r="H35" s="10"/>
    </row>
    <row r="36" spans="1:8" ht="10.25" customHeight="1">
      <c r="C36" s="56"/>
      <c r="D36" s="64"/>
      <c r="E36" s="63"/>
      <c r="F36" s="48"/>
    </row>
    <row r="37" spans="1:8">
      <c r="C37" s="92"/>
    </row>
    <row r="38" spans="1:8" ht="40.25" customHeight="1">
      <c r="A38" s="403" t="s">
        <v>143</v>
      </c>
      <c r="B38" s="403"/>
      <c r="C38" s="403"/>
      <c r="D38" s="403"/>
      <c r="E38" s="403"/>
      <c r="F38" s="403"/>
      <c r="G38" s="403"/>
      <c r="H38" s="403"/>
    </row>
  </sheetData>
  <mergeCells count="8">
    <mergeCell ref="A24:H24"/>
    <mergeCell ref="A29:H29"/>
    <mergeCell ref="A38:H38"/>
    <mergeCell ref="A7:F7"/>
    <mergeCell ref="A8:H8"/>
    <mergeCell ref="A11:G11"/>
    <mergeCell ref="B21:G21"/>
    <mergeCell ref="G15:H17"/>
  </mergeCells>
  <phoneticPr fontId="47" type="noConversion"/>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8"/>
  <sheetViews>
    <sheetView topLeftCell="A142" zoomScale="120" zoomScaleNormal="120" zoomScaleSheetLayoutView="80" workbookViewId="0">
      <selection activeCell="G22" sqref="G22"/>
    </sheetView>
  </sheetViews>
  <sheetFormatPr baseColWidth="10" defaultColWidth="8.83203125" defaultRowHeight="13"/>
  <cols>
    <col min="1" max="1" width="2.6640625" style="1" customWidth="1"/>
    <col min="2" max="2" width="25" style="1" customWidth="1"/>
    <col min="3" max="3" width="20" style="1" customWidth="1"/>
    <col min="4" max="4" width="9.83203125" style="1" customWidth="1"/>
    <col min="5" max="5" width="9.5" style="1" customWidth="1"/>
    <col min="6" max="6" width="9.83203125" style="1" customWidth="1"/>
    <col min="7" max="7" width="16.5" style="1" customWidth="1"/>
    <col min="8" max="8" width="5" style="1" customWidth="1"/>
    <col min="9" max="9" width="10.5" style="1" customWidth="1"/>
    <col min="10" max="10" width="8.83203125" style="1"/>
    <col min="11" max="11" width="10.1640625" style="1" bestFit="1" customWidth="1"/>
    <col min="12" max="12" width="3.5" style="1" customWidth="1"/>
    <col min="13" max="16384" width="8.83203125" style="1"/>
  </cols>
  <sheetData>
    <row r="1" spans="1:11" ht="14.5" customHeight="1">
      <c r="A1" s="215" t="s">
        <v>233</v>
      </c>
      <c r="B1" s="52"/>
    </row>
    <row r="2" spans="1:11" ht="6" customHeight="1"/>
    <row r="3" spans="1:11" ht="14.5" customHeight="1">
      <c r="A3" s="1" t="str">
        <f>CONCATENATE("Watershed: ",'MMW Output'!$B$3)</f>
        <v>Watershed: User Specified</v>
      </c>
    </row>
    <row r="4" spans="1:11" ht="6" customHeight="1"/>
    <row r="5" spans="1:11" ht="14.5" customHeight="1">
      <c r="A5" s="1" t="str">
        <f>CONCATENATE("Year: ",'MMW Output'!$C$16)</f>
        <v>Year: User Specified</v>
      </c>
    </row>
    <row r="6" spans="1:11" ht="11.5" customHeight="1"/>
    <row r="7" spans="1:11" ht="18.75" customHeight="1">
      <c r="A7" s="406" t="s">
        <v>246</v>
      </c>
      <c r="B7" s="406"/>
      <c r="C7" s="406"/>
      <c r="D7" s="406"/>
      <c r="E7" s="406"/>
      <c r="F7" s="406"/>
    </row>
    <row r="8" spans="1:11" ht="95" customHeight="1">
      <c r="A8" s="403" t="s">
        <v>302</v>
      </c>
      <c r="B8" s="403"/>
      <c r="C8" s="403"/>
      <c r="D8" s="403"/>
      <c r="E8" s="403"/>
      <c r="F8" s="403"/>
      <c r="G8" s="403"/>
    </row>
    <row r="9" spans="1:11" ht="8.5" customHeight="1"/>
    <row r="10" spans="1:11" ht="8.5" customHeight="1"/>
    <row r="11" spans="1:11" ht="27.5" customHeight="1">
      <c r="A11" s="403" t="s">
        <v>117</v>
      </c>
      <c r="B11" s="403"/>
      <c r="C11" s="403"/>
      <c r="D11" s="403"/>
      <c r="E11" s="403"/>
      <c r="F11" s="403"/>
      <c r="G11" s="403"/>
    </row>
    <row r="12" spans="1:11" ht="6" customHeight="1"/>
    <row r="13" spans="1:11">
      <c r="B13" s="45"/>
      <c r="C13" s="53" t="s">
        <v>4</v>
      </c>
      <c r="D13" s="53"/>
    </row>
    <row r="14" spans="1:11" ht="13.25" customHeight="1">
      <c r="B14" s="55" t="s">
        <v>28</v>
      </c>
      <c r="C14" s="83">
        <f>ROUND('MMW Output'!D40,2)</f>
        <v>707.2</v>
      </c>
      <c r="D14" s="55" t="s">
        <v>49</v>
      </c>
      <c r="E14" s="420" t="s">
        <v>309</v>
      </c>
      <c r="F14" s="421"/>
      <c r="G14" s="422"/>
    </row>
    <row r="15" spans="1:11" ht="8" customHeight="1">
      <c r="E15" s="423"/>
      <c r="F15" s="424"/>
      <c r="G15" s="425"/>
    </row>
    <row r="16" spans="1:11">
      <c r="B16" s="57" t="s">
        <v>0</v>
      </c>
      <c r="C16" s="58" t="s">
        <v>51</v>
      </c>
      <c r="E16" s="426"/>
      <c r="F16" s="427"/>
      <c r="G16" s="428"/>
      <c r="K16" s="75"/>
    </row>
    <row r="17" spans="1:3" ht="13.25" customHeight="1">
      <c r="A17" s="429" t="s">
        <v>39</v>
      </c>
      <c r="B17" s="256" t="s">
        <v>71</v>
      </c>
      <c r="C17" s="257">
        <f>+'MMW Output'!C22</f>
        <v>1180.2469135802469</v>
      </c>
    </row>
    <row r="18" spans="1:3" ht="13.25" customHeight="1">
      <c r="A18" s="430"/>
      <c r="B18" s="258" t="s">
        <v>10</v>
      </c>
      <c r="C18" s="259">
        <f>+'MMW Output'!C23</f>
        <v>323.45679012345676</v>
      </c>
    </row>
    <row r="19" spans="1:3" ht="13.25" customHeight="1">
      <c r="A19" s="430"/>
      <c r="B19" s="260" t="s">
        <v>11</v>
      </c>
      <c r="C19" s="261">
        <f>+'MMW Output'!C24</f>
        <v>417.28395061728395</v>
      </c>
    </row>
    <row r="20" spans="1:3" ht="13.25" customHeight="1">
      <c r="A20" s="430"/>
      <c r="B20" s="258" t="s">
        <v>12</v>
      </c>
      <c r="C20" s="259">
        <f>+'MMW Output'!C25</f>
        <v>14.814814814814813</v>
      </c>
    </row>
    <row r="21" spans="1:3" ht="13.25" customHeight="1">
      <c r="A21" s="430"/>
      <c r="B21" s="260" t="s">
        <v>13</v>
      </c>
      <c r="C21" s="261">
        <f>+'MMW Output'!C26</f>
        <v>0</v>
      </c>
    </row>
    <row r="22" spans="1:3" ht="13.25" customHeight="1">
      <c r="A22" s="430"/>
      <c r="B22" s="258" t="s">
        <v>14</v>
      </c>
      <c r="C22" s="259">
        <f>+'MMW Output'!C27</f>
        <v>0</v>
      </c>
    </row>
    <row r="23" spans="1:3" ht="13.25" customHeight="1">
      <c r="A23" s="430"/>
      <c r="B23" s="260" t="s">
        <v>15</v>
      </c>
      <c r="C23" s="261">
        <f>+'MMW Output'!C28</f>
        <v>111.1111111111111</v>
      </c>
    </row>
    <row r="24" spans="1:3" ht="13.25" customHeight="1">
      <c r="A24" s="430"/>
      <c r="B24" s="258" t="s">
        <v>16</v>
      </c>
      <c r="C24" s="259">
        <f>+'MMW Output'!C29</f>
        <v>49.382716049382715</v>
      </c>
    </row>
    <row r="25" spans="1:3" ht="13.25" customHeight="1">
      <c r="A25" s="430"/>
      <c r="B25" s="260" t="s">
        <v>17</v>
      </c>
      <c r="C25" s="261">
        <f>+'MMW Output'!C30</f>
        <v>0</v>
      </c>
    </row>
    <row r="26" spans="1:3" ht="13.25" customHeight="1">
      <c r="A26" s="430"/>
      <c r="B26" s="258" t="s">
        <v>18</v>
      </c>
      <c r="C26" s="259">
        <f>+'MMW Output'!C31</f>
        <v>0</v>
      </c>
    </row>
    <row r="27" spans="1:3" ht="13.25" customHeight="1">
      <c r="A27" s="430"/>
      <c r="B27" s="260" t="s">
        <v>19</v>
      </c>
      <c r="C27" s="261">
        <f>+'MMW Output'!C32</f>
        <v>2000</v>
      </c>
    </row>
    <row r="28" spans="1:3" ht="13.25" customHeight="1">
      <c r="A28" s="430"/>
      <c r="B28" s="258" t="s">
        <v>20</v>
      </c>
      <c r="C28" s="259">
        <f>+'MMW Output'!C33</f>
        <v>293.82716049382714</v>
      </c>
    </row>
    <row r="29" spans="1:3" ht="13.25" customHeight="1">
      <c r="A29" s="430"/>
      <c r="B29" s="260" t="s">
        <v>21</v>
      </c>
      <c r="C29" s="261">
        <f>+'MMW Output'!C34</f>
        <v>79.012345679012341</v>
      </c>
    </row>
    <row r="30" spans="1:3" ht="13.25" customHeight="1">
      <c r="A30" s="430"/>
      <c r="B30" s="258" t="s">
        <v>22</v>
      </c>
      <c r="C30" s="259">
        <f>+'MMW Output'!C35</f>
        <v>0</v>
      </c>
    </row>
    <row r="31" spans="1:3" ht="13.25" customHeight="1">
      <c r="A31" s="430"/>
      <c r="B31" s="260" t="s">
        <v>23</v>
      </c>
      <c r="C31" s="261">
        <f>+'MMW Output'!C36</f>
        <v>0</v>
      </c>
    </row>
    <row r="32" spans="1:3" ht="13.25" customHeight="1">
      <c r="A32" s="431"/>
      <c r="B32" s="262" t="s">
        <v>24</v>
      </c>
      <c r="C32" s="263">
        <f>+'MMW Output'!C37</f>
        <v>0</v>
      </c>
    </row>
    <row r="33" spans="1:7" ht="6" customHeight="1">
      <c r="C33" s="147"/>
    </row>
    <row r="34" spans="1:7" ht="15.5" customHeight="1">
      <c r="B34" s="38" t="s">
        <v>144</v>
      </c>
      <c r="C34" s="148">
        <f>SUM(C17:C33)</f>
        <v>4469.1358024691353</v>
      </c>
    </row>
    <row r="35" spans="1:7" ht="17" customHeight="1"/>
    <row r="36" spans="1:7">
      <c r="A36" s="403" t="s">
        <v>94</v>
      </c>
      <c r="B36" s="403"/>
      <c r="C36" s="403"/>
      <c r="D36" s="403"/>
      <c r="E36" s="403"/>
      <c r="F36" s="403"/>
      <c r="G36" s="403"/>
    </row>
    <row r="37" spans="1:7" ht="6" customHeight="1">
      <c r="B37" s="42"/>
      <c r="C37" s="43"/>
      <c r="D37" s="40"/>
    </row>
    <row r="38" spans="1:7">
      <c r="B38" s="45"/>
      <c r="C38" s="53" t="s">
        <v>64</v>
      </c>
      <c r="D38" s="53"/>
    </row>
    <row r="39" spans="1:7">
      <c r="B39" s="55" t="s">
        <v>28</v>
      </c>
      <c r="C39" s="55">
        <f>+C14*2000</f>
        <v>1414400</v>
      </c>
      <c r="D39" s="55" t="s">
        <v>50</v>
      </c>
      <c r="E39" s="1" t="str">
        <f>CONCATENATE("= [ ",ROUND(C14,2)," tons x 2,000 pounds per ton]")</f>
        <v>= [ 707.2 tons x 2,000 pounds per ton]</v>
      </c>
    </row>
    <row r="40" spans="1:7" ht="6" customHeight="1">
      <c r="B40" s="42"/>
      <c r="D40" s="40"/>
    </row>
    <row r="41" spans="1:7" ht="17" customHeight="1">
      <c r="B41" s="42"/>
      <c r="C41" s="43"/>
      <c r="D41" s="40"/>
    </row>
    <row r="42" spans="1:7">
      <c r="A42" s="403" t="str">
        <f>CONCATENATE("Step 3. Sum the total acres in the ", 'MMW Output'!C15," watershed.")</f>
        <v>Step 3. Sum the total acres in the User Specified watershed.</v>
      </c>
      <c r="B42" s="403"/>
      <c r="C42" s="403"/>
      <c r="D42" s="403"/>
      <c r="E42" s="403"/>
      <c r="F42" s="403"/>
      <c r="G42" s="403"/>
    </row>
    <row r="43" spans="1:7" ht="6" customHeight="1">
      <c r="A43" s="60"/>
      <c r="B43" s="60"/>
      <c r="C43" s="60"/>
      <c r="D43" s="60"/>
      <c r="E43" s="60"/>
      <c r="F43" s="60"/>
      <c r="G43" s="60"/>
    </row>
    <row r="44" spans="1:7">
      <c r="B44" s="59" t="s">
        <v>118</v>
      </c>
      <c r="C44" s="97">
        <f>SUM(C17:C33)</f>
        <v>4469.1358024691353</v>
      </c>
      <c r="D44" s="56" t="s">
        <v>32</v>
      </c>
    </row>
    <row r="45" spans="1:7" ht="6" customHeight="1">
      <c r="B45" s="42"/>
      <c r="C45" s="43"/>
      <c r="D45" s="40"/>
    </row>
    <row r="46" spans="1:7" ht="4.25" customHeight="1">
      <c r="B46" s="42"/>
      <c r="C46" s="43"/>
      <c r="D46" s="40"/>
    </row>
    <row r="47" spans="1:7" ht="14.5" customHeight="1">
      <c r="A47" s="1" t="s">
        <v>119</v>
      </c>
      <c r="B47" s="42"/>
      <c r="C47" s="43"/>
      <c r="D47" s="40"/>
    </row>
    <row r="48" spans="1:7" ht="6" customHeight="1">
      <c r="B48" s="42"/>
      <c r="C48" s="43"/>
      <c r="D48" s="40"/>
    </row>
    <row r="49" spans="1:7" ht="14" customHeight="1">
      <c r="A49" s="1" t="str">
        <f>CONCATENATE("Watershed: ",'MMW Output'!$B$3)</f>
        <v>Watershed: User Specified</v>
      </c>
      <c r="B49" s="42"/>
      <c r="C49" s="43"/>
      <c r="D49" s="40"/>
    </row>
    <row r="50" spans="1:7" ht="6" customHeight="1">
      <c r="B50" s="42"/>
      <c r="C50" s="43"/>
      <c r="D50" s="40"/>
    </row>
    <row r="51" spans="1:7" ht="14" customHeight="1">
      <c r="A51" s="1" t="str">
        <f>CONCATENATE("Year: ",'MMW Output'!$C$16)</f>
        <v>Year: User Specified</v>
      </c>
      <c r="B51" s="42"/>
      <c r="C51" s="43"/>
      <c r="D51" s="40"/>
    </row>
    <row r="52" spans="1:7" ht="11" customHeight="1">
      <c r="B52" s="42"/>
      <c r="C52" s="43"/>
      <c r="D52" s="40"/>
    </row>
    <row r="53" spans="1:7" ht="51" customHeight="1">
      <c r="A53" s="403" t="s">
        <v>183</v>
      </c>
      <c r="B53" s="403"/>
      <c r="C53" s="403"/>
      <c r="D53" s="403"/>
      <c r="E53" s="403"/>
      <c r="F53" s="403"/>
      <c r="G53" s="403"/>
    </row>
    <row r="54" spans="1:7" ht="6" customHeight="1">
      <c r="C54" s="41"/>
    </row>
    <row r="55" spans="1:7">
      <c r="B55" s="44" t="s">
        <v>68</v>
      </c>
      <c r="C55" s="66" t="s">
        <v>32</v>
      </c>
      <c r="D55" s="66" t="s">
        <v>69</v>
      </c>
    </row>
    <row r="56" spans="1:7">
      <c r="B56" s="120" t="s">
        <v>52</v>
      </c>
      <c r="C56" s="160">
        <f>+C27+C30</f>
        <v>2000</v>
      </c>
      <c r="D56" s="156">
        <f>+C56/C$59</f>
        <v>0.84287200832466169</v>
      </c>
      <c r="E56" s="71" t="s">
        <v>84</v>
      </c>
      <c r="F56" s="55"/>
      <c r="G56" s="37"/>
    </row>
    <row r="57" spans="1:7">
      <c r="B57" s="149" t="s">
        <v>53</v>
      </c>
      <c r="C57" s="161">
        <f>+C28+C31</f>
        <v>293.82716049382714</v>
      </c>
      <c r="D57" s="157">
        <f>+C57/C$59</f>
        <v>0.12382934443288239</v>
      </c>
      <c r="E57" s="73" t="s">
        <v>85</v>
      </c>
      <c r="F57" s="54"/>
      <c r="G57" s="36"/>
    </row>
    <row r="58" spans="1:7" ht="14" thickBot="1">
      <c r="B58" s="150" t="s">
        <v>54</v>
      </c>
      <c r="C58" s="164">
        <f>+C29+C32</f>
        <v>79.012345679012341</v>
      </c>
      <c r="D58" s="177">
        <f>+C58/C$59</f>
        <v>3.3298647242455771E-2</v>
      </c>
      <c r="E58" s="71" t="s">
        <v>86</v>
      </c>
      <c r="F58" s="55"/>
      <c r="G58" s="37"/>
    </row>
    <row r="59" spans="1:7">
      <c r="B59" s="56" t="s">
        <v>55</v>
      </c>
      <c r="C59" s="176">
        <f>+C56+C57+C58</f>
        <v>2372.8395061728397</v>
      </c>
      <c r="D59" s="178">
        <f>+C59/C$59</f>
        <v>1</v>
      </c>
      <c r="E59" s="48" t="s">
        <v>87</v>
      </c>
    </row>
    <row r="60" spans="1:7" ht="6.5" customHeight="1"/>
    <row r="62" spans="1:7">
      <c r="A62" s="1" t="s">
        <v>120</v>
      </c>
    </row>
    <row r="63" spans="1:7">
      <c r="B63" s="1" t="s">
        <v>317</v>
      </c>
    </row>
    <row r="64" spans="1:7">
      <c r="B64" s="1" t="s">
        <v>318</v>
      </c>
    </row>
    <row r="65" spans="1:7" ht="8" customHeight="1"/>
    <row r="66" spans="1:7">
      <c r="B66" s="1" t="s">
        <v>58</v>
      </c>
      <c r="C66" s="99">
        <f>C39</f>
        <v>1414400</v>
      </c>
      <c r="D66" s="1" t="s">
        <v>50</v>
      </c>
      <c r="E66" s="48" t="s">
        <v>66</v>
      </c>
    </row>
    <row r="67" spans="1:7">
      <c r="B67" s="1" t="s">
        <v>59</v>
      </c>
      <c r="C67" s="98">
        <f>+C59</f>
        <v>2372.8395061728397</v>
      </c>
      <c r="D67" s="1" t="s">
        <v>32</v>
      </c>
      <c r="E67" s="48" t="s">
        <v>65</v>
      </c>
    </row>
    <row r="68" spans="1:7" ht="13.25" customHeight="1">
      <c r="B68" s="1" t="s">
        <v>118</v>
      </c>
      <c r="C68" s="98">
        <f>+C44</f>
        <v>4469.1358024691353</v>
      </c>
      <c r="D68" s="1" t="s">
        <v>32</v>
      </c>
      <c r="E68" s="48" t="s">
        <v>67</v>
      </c>
    </row>
    <row r="69" spans="1:7" ht="25.25" customHeight="1">
      <c r="B69" s="151" t="s">
        <v>101</v>
      </c>
      <c r="C69" s="47">
        <f>+C67/C68</f>
        <v>0.53093922651933712</v>
      </c>
      <c r="D69" s="48" t="s">
        <v>121</v>
      </c>
      <c r="E69" s="1" t="str">
        <f>CONCATENATE("[ ",ROUND(C67,2)," acres / ",ROUND(C68,2)," acres ]")</f>
        <v>[ 2372.84 acres / 4469.14 acres ]</v>
      </c>
    </row>
    <row r="70" spans="1:7" s="9" customFormat="1" ht="17.25" customHeight="1"/>
    <row r="71" spans="1:7" ht="42" customHeight="1">
      <c r="A71" s="61"/>
      <c r="B71" s="9" t="s">
        <v>324</v>
      </c>
      <c r="C71" s="101">
        <f>+C66*(C59/C68)*0.75</f>
        <v>563220.33149171271</v>
      </c>
      <c r="D71" s="1" t="s">
        <v>122</v>
      </c>
      <c r="E71" s="1" t="str">
        <f>CONCATENATE("[ 75% x ",ROUND(C66,2)," pounds x ",ROUND(C69*100,0),"% ]")</f>
        <v>[ 75% x 1414400 pounds x 53% ]</v>
      </c>
    </row>
    <row r="72" spans="1:7" ht="27" thickBot="1">
      <c r="A72" s="61"/>
      <c r="B72" s="152" t="s">
        <v>325</v>
      </c>
      <c r="C72" s="153">
        <f>+C66*0.25</f>
        <v>353600</v>
      </c>
      <c r="D72" s="154" t="s">
        <v>122</v>
      </c>
      <c r="E72" s="1" t="str">
        <f>CONCATENATE("[ 25% x ",ROUND(C66,2)," pounds ]")</f>
        <v>[ 25% x 1414400 pounds ]</v>
      </c>
    </row>
    <row r="73" spans="1:7" ht="29" customHeight="1">
      <c r="B73" s="155" t="s">
        <v>97</v>
      </c>
      <c r="C73" s="102">
        <f>+C72+C71</f>
        <v>916820.33149171271</v>
      </c>
      <c r="D73" s="62" t="s">
        <v>50</v>
      </c>
    </row>
    <row r="74" spans="1:7" ht="6.5" customHeight="1"/>
    <row r="75" spans="1:7" ht="8.5" customHeight="1"/>
    <row r="76" spans="1:7" ht="42" customHeight="1">
      <c r="A76" s="403" t="s">
        <v>124</v>
      </c>
      <c r="B76" s="403"/>
      <c r="C76" s="403"/>
      <c r="D76" s="403"/>
      <c r="E76" s="403"/>
      <c r="F76" s="403"/>
      <c r="G76" s="403"/>
    </row>
    <row r="77" spans="1:7" ht="6" customHeight="1"/>
    <row r="78" spans="1:7">
      <c r="B78" s="38" t="s">
        <v>123</v>
      </c>
    </row>
    <row r="79" spans="1:7" ht="12.75" customHeight="1">
      <c r="B79" s="120" t="s">
        <v>52</v>
      </c>
      <c r="C79" s="158">
        <v>0.15</v>
      </c>
    </row>
    <row r="80" spans="1:7">
      <c r="B80" s="149" t="s">
        <v>53</v>
      </c>
      <c r="C80" s="159">
        <v>0.52</v>
      </c>
    </row>
    <row r="81" spans="1:7">
      <c r="B81" s="120" t="s">
        <v>54</v>
      </c>
      <c r="C81" s="158">
        <v>0.87</v>
      </c>
    </row>
    <row r="82" spans="1:7" ht="6" customHeight="1"/>
    <row r="83" spans="1:7" ht="11.5" customHeight="1"/>
    <row r="84" spans="1:7" ht="24.5" customHeight="1">
      <c r="A84" s="403" t="s">
        <v>127</v>
      </c>
      <c r="B84" s="403"/>
      <c r="C84" s="403"/>
      <c r="D84" s="403"/>
      <c r="E84" s="403"/>
      <c r="F84" s="403"/>
      <c r="G84" s="403"/>
    </row>
    <row r="85" spans="1:7" ht="6" customHeight="1"/>
    <row r="86" spans="1:7">
      <c r="B86" s="38" t="s">
        <v>56</v>
      </c>
    </row>
    <row r="87" spans="1:7">
      <c r="B87" s="96" t="s">
        <v>52</v>
      </c>
      <c r="C87" s="160">
        <f>+C56*C79</f>
        <v>300</v>
      </c>
      <c r="D87" s="55" t="s">
        <v>125</v>
      </c>
      <c r="E87" s="179" t="str">
        <f>CONCATENATE(" [ ",ROUND(C56,2)," acres x ",C79*100," percent ]")</f>
        <v xml:space="preserve"> [ 2000 acres x 15 percent ]</v>
      </c>
      <c r="F87" s="55"/>
      <c r="G87" s="37"/>
    </row>
    <row r="88" spans="1:7">
      <c r="B88" s="74" t="s">
        <v>53</v>
      </c>
      <c r="C88" s="161">
        <f>+C57*C80</f>
        <v>152.79012345679013</v>
      </c>
      <c r="D88" s="54" t="s">
        <v>125</v>
      </c>
      <c r="E88" s="180" t="str">
        <f>CONCATENATE(" [ ",ROUND(C57,2)," acres x ",C80*100," percent ]")</f>
        <v xml:space="preserve"> [ 293.83 acres x 52 percent ]</v>
      </c>
      <c r="F88" s="54"/>
      <c r="G88" s="36"/>
    </row>
    <row r="89" spans="1:7" ht="14" thickBot="1">
      <c r="B89" s="163" t="s">
        <v>54</v>
      </c>
      <c r="C89" s="164">
        <f>+C58*C81</f>
        <v>68.740740740740733</v>
      </c>
      <c r="D89" s="181" t="s">
        <v>125</v>
      </c>
      <c r="E89" s="179" t="str">
        <f>CONCATENATE(" [ ",ROUND(C58,2)," acres x ",C81*100," percent ]")</f>
        <v xml:space="preserve"> [ 79.01 acres x 87 percent ]</v>
      </c>
      <c r="F89" s="55"/>
      <c r="G89" s="37"/>
    </row>
    <row r="90" spans="1:7" ht="29" customHeight="1">
      <c r="B90" s="12" t="s">
        <v>126</v>
      </c>
      <c r="C90" s="162">
        <f>+C87+C88+C89</f>
        <v>521.53086419753083</v>
      </c>
      <c r="D90" s="1" t="s">
        <v>32</v>
      </c>
    </row>
    <row r="91" spans="1:7" ht="6" customHeight="1"/>
    <row r="93" spans="1:7">
      <c r="A93" s="1" t="s">
        <v>180</v>
      </c>
    </row>
    <row r="94" spans="1:7" ht="6" customHeight="1"/>
    <row r="95" spans="1:7">
      <c r="A95" s="1" t="str">
        <f>CONCATENATE("Watershed: ",'MMW Output'!$B$3)</f>
        <v>Watershed: User Specified</v>
      </c>
    </row>
    <row r="96" spans="1:7" ht="6" customHeight="1"/>
    <row r="97" spans="1:7">
      <c r="A97" s="1" t="str">
        <f>CONCATENATE("Year: ",'MMW Output'!$C$16)</f>
        <v>Year: User Specified</v>
      </c>
    </row>
    <row r="99" spans="1:7">
      <c r="A99" s="1" t="s">
        <v>128</v>
      </c>
    </row>
    <row r="100" spans="1:7" ht="6" customHeight="1"/>
    <row r="101" spans="1:7">
      <c r="B101" s="38" t="s">
        <v>57</v>
      </c>
    </row>
    <row r="102" spans="1:7">
      <c r="B102" s="120" t="s">
        <v>52</v>
      </c>
      <c r="C102" s="158">
        <f>+C87/(C$87+C$88+C$89)</f>
        <v>0.57522961840734788</v>
      </c>
      <c r="D102" s="165" t="s">
        <v>129</v>
      </c>
      <c r="E102" s="179" t="str">
        <f>CONCATENATE(" [ ",ROUND(C87,2)," acres / ",ROUND(C90,2)," acres ]")</f>
        <v xml:space="preserve"> [ 300 acres / 521.53 acres ]</v>
      </c>
      <c r="F102" s="55"/>
      <c r="G102" s="37"/>
    </row>
    <row r="103" spans="1:7">
      <c r="B103" s="149" t="s">
        <v>53</v>
      </c>
      <c r="C103" s="159">
        <f>+C88/(C$87+C$88+C$89)</f>
        <v>0.29296468137486981</v>
      </c>
      <c r="D103" s="166" t="s">
        <v>129</v>
      </c>
      <c r="E103" s="180" t="str">
        <f>CONCATENATE(" [ ",ROUND(C88,2)," acres / ",ROUND(C90,2)," acres ]")</f>
        <v xml:space="preserve"> [ 152.79 acres / 521.53 acres ]</v>
      </c>
      <c r="F103" s="54"/>
      <c r="G103" s="36"/>
    </row>
    <row r="104" spans="1:7" ht="14" thickBot="1">
      <c r="B104" s="150" t="s">
        <v>54</v>
      </c>
      <c r="C104" s="182">
        <f>+C89/(C$87+C$88+C$89)</f>
        <v>0.1318057002177824</v>
      </c>
      <c r="D104" s="165" t="s">
        <v>129</v>
      </c>
      <c r="E104" s="179" t="str">
        <f>CONCATENATE(" [ ",ROUND(C89,2)," acres / ",ROUND(C90,2)," acres ]")</f>
        <v xml:space="preserve"> [ 68.74 acres / 521.53 acres ]</v>
      </c>
      <c r="F104" s="55"/>
      <c r="G104" s="37"/>
    </row>
    <row r="105" spans="1:7">
      <c r="B105" s="1" t="s">
        <v>55</v>
      </c>
      <c r="C105" s="183">
        <f>+C102+C103+C104</f>
        <v>1</v>
      </c>
    </row>
    <row r="106" spans="1:7" ht="7.25" customHeight="1"/>
    <row r="107" spans="1:7" ht="13.25" customHeight="1"/>
    <row r="108" spans="1:7" ht="24" customHeight="1">
      <c r="A108" s="403" t="s">
        <v>310</v>
      </c>
      <c r="B108" s="403"/>
      <c r="C108" s="403"/>
      <c r="D108" s="403"/>
      <c r="E108" s="403"/>
      <c r="F108" s="403"/>
      <c r="G108" s="403"/>
    </row>
    <row r="109" spans="1:7" ht="6" customHeight="1"/>
    <row r="110" spans="1:7" ht="25.5" customHeight="1">
      <c r="B110" s="230" t="s">
        <v>97</v>
      </c>
      <c r="C110" s="100">
        <f>+C73</f>
        <v>916820.33149171271</v>
      </c>
      <c r="D110" s="1" t="s">
        <v>130</v>
      </c>
      <c r="E110" s="48" t="s">
        <v>88</v>
      </c>
    </row>
    <row r="111" spans="1:7" ht="25.5" customHeight="1">
      <c r="B111" s="217" t="s">
        <v>311</v>
      </c>
      <c r="C111" s="101">
        <f>+C71</f>
        <v>563220.33149171271</v>
      </c>
      <c r="D111" s="1" t="s">
        <v>130</v>
      </c>
      <c r="E111" s="48" t="s">
        <v>88</v>
      </c>
    </row>
    <row r="112" spans="1:7" ht="25.5" customHeight="1">
      <c r="B112" s="217" t="s">
        <v>312</v>
      </c>
      <c r="C112" s="101">
        <f>+C72</f>
        <v>353600</v>
      </c>
      <c r="D112" s="1" t="s">
        <v>130</v>
      </c>
      <c r="E112" s="48" t="s">
        <v>88</v>
      </c>
    </row>
    <row r="113" spans="1:7" ht="6" customHeight="1"/>
    <row r="114" spans="1:7" ht="13.25" customHeight="1"/>
    <row r="115" spans="1:7" ht="14" customHeight="1">
      <c r="A115" s="403" t="s">
        <v>145</v>
      </c>
      <c r="B115" s="403"/>
      <c r="C115" s="403"/>
      <c r="D115" s="403"/>
      <c r="E115" s="403"/>
      <c r="F115" s="403"/>
      <c r="G115" s="403"/>
    </row>
    <row r="116" spans="1:7" ht="15" customHeight="1">
      <c r="A116" s="403" t="str">
        <f>CONCATENATE("multiplying the 'Percent of Total Impervious Surfaces' (Step 8) by ",ROUND(C112,2)," pounds (calculated in Step 9):")</f>
        <v>multiplying the 'Percent of Total Impervious Surfaces' (Step 8) by 353600 pounds (calculated in Step 9):</v>
      </c>
      <c r="B116" s="403"/>
      <c r="C116" s="403"/>
      <c r="D116" s="403"/>
      <c r="E116" s="403"/>
      <c r="F116" s="403"/>
      <c r="G116" s="403"/>
    </row>
    <row r="117" spans="1:7" ht="6" customHeight="1">
      <c r="A117" s="60"/>
      <c r="B117" s="60"/>
      <c r="C117" s="60"/>
      <c r="D117" s="60"/>
      <c r="E117" s="60"/>
      <c r="F117" s="60"/>
      <c r="G117" s="60"/>
    </row>
    <row r="118" spans="1:7" ht="16.25" customHeight="1">
      <c r="B118" s="38" t="s">
        <v>131</v>
      </c>
      <c r="C118" s="12"/>
      <c r="D118" s="12"/>
      <c r="E118" s="12"/>
      <c r="F118" s="9"/>
    </row>
    <row r="119" spans="1:7">
      <c r="B119" s="120" t="s">
        <v>52</v>
      </c>
      <c r="C119" s="83">
        <f>C102*C$112</f>
        <v>203401.19306883821</v>
      </c>
      <c r="D119" s="414" t="str">
        <f>CONCATENATE("=   [ ",ROUND(C102*100,0)," % x ",ROUND(C$112,2)," pounds ]")</f>
        <v>=   [ 58 % x 353600 pounds ]</v>
      </c>
      <c r="E119" s="415"/>
      <c r="F119" s="415"/>
      <c r="G119" s="415"/>
    </row>
    <row r="120" spans="1:7">
      <c r="B120" s="149" t="s">
        <v>53</v>
      </c>
      <c r="C120" s="84">
        <f>C103*C$112</f>
        <v>103592.31133415396</v>
      </c>
      <c r="D120" s="416" t="str">
        <f>CONCATENATE("=   [ ",ROUND(C103*100,0)," % x ",ROUND(C$112,2)," pounds ]")</f>
        <v>=   [ 29 % x 353600 pounds ]</v>
      </c>
      <c r="E120" s="417"/>
      <c r="F120" s="417"/>
      <c r="G120" s="417"/>
    </row>
    <row r="121" spans="1:7">
      <c r="B121" s="120" t="s">
        <v>54</v>
      </c>
      <c r="C121" s="83">
        <f>C104*C$112</f>
        <v>46606.495597007859</v>
      </c>
      <c r="D121" s="414" t="str">
        <f>CONCATENATE("=   [ ",ROUND(C104*100,0)," % x ",ROUND(C$112,2)," pounds ]")</f>
        <v>=   [ 13 % x 353600 pounds ]</v>
      </c>
      <c r="E121" s="415"/>
      <c r="F121" s="415"/>
      <c r="G121" s="415"/>
    </row>
    <row r="122" spans="1:7" ht="6" customHeight="1">
      <c r="C122" s="50"/>
    </row>
    <row r="124" spans="1:7">
      <c r="A124" s="403" t="s">
        <v>133</v>
      </c>
      <c r="B124" s="403"/>
      <c r="C124" s="403"/>
      <c r="D124" s="403"/>
      <c r="E124" s="403"/>
      <c r="F124" s="403"/>
      <c r="G124" s="403"/>
    </row>
    <row r="125" spans="1:7">
      <c r="A125" s="403" t="str">
        <f>CONCATENATE("the 'Percent of Area of Developed Lands' (from Step 4) by ",ROUND(C111,2)," pounds (calculated in Step 9):")</f>
        <v>the 'Percent of Area of Developed Lands' (from Step 4) by 563220.33 pounds (calculated in Step 9):</v>
      </c>
      <c r="B125" s="403"/>
      <c r="C125" s="403"/>
      <c r="D125" s="403"/>
      <c r="E125" s="403"/>
      <c r="F125" s="403"/>
      <c r="G125" s="403"/>
    </row>
    <row r="126" spans="1:7" ht="6" customHeight="1"/>
    <row r="127" spans="1:7" ht="17" customHeight="1">
      <c r="B127" s="38" t="s">
        <v>132</v>
      </c>
      <c r="C127" s="12"/>
      <c r="D127" s="12"/>
      <c r="E127" s="12"/>
    </row>
    <row r="128" spans="1:7">
      <c r="B128" s="120" t="s">
        <v>52</v>
      </c>
      <c r="C128" s="83">
        <f>(C56/C$59)*C$111</f>
        <v>474722.65193370159</v>
      </c>
      <c r="D128" s="414" t="str">
        <f>CONCATENATE("=   [ ",ROUND(D56*100,0)," % x ",ROUND(C$111,2)," pounds ]")</f>
        <v>=   [ 84 % x 563220.33 pounds ]</v>
      </c>
      <c r="E128" s="415"/>
      <c r="F128" s="415"/>
      <c r="G128" s="415"/>
    </row>
    <row r="129" spans="1:13">
      <c r="B129" s="149" t="s">
        <v>53</v>
      </c>
      <c r="C129" s="84">
        <f>(C57/C$59)*C$111</f>
        <v>69743.204419889487</v>
      </c>
      <c r="D129" s="416" t="str">
        <f>CONCATENATE("=   [ ",ROUND(D57*100,0)," % x ",ROUND(C$111,2)," pounds ]")</f>
        <v>=   [ 12 % x 563220.33 pounds ]</v>
      </c>
      <c r="E129" s="417"/>
      <c r="F129" s="417"/>
      <c r="G129" s="417"/>
    </row>
    <row r="130" spans="1:13">
      <c r="B130" s="120" t="s">
        <v>54</v>
      </c>
      <c r="C130" s="83">
        <f>(C58/C$59)*C$111</f>
        <v>18754.475138121546</v>
      </c>
      <c r="D130" s="414" t="str">
        <f>CONCATENATE("=   [ ",ROUND(D58*100,0)," % x ",ROUND(C$111,2)," pounds ] ")</f>
        <v xml:space="preserve">=   [ 3 % x 563220.33 pounds ] </v>
      </c>
      <c r="E130" s="415"/>
      <c r="F130" s="415"/>
      <c r="G130" s="415"/>
    </row>
    <row r="131" spans="1:13" ht="7.25" customHeight="1"/>
    <row r="133" spans="1:13" ht="26.5" customHeight="1">
      <c r="A133" s="403" t="s">
        <v>134</v>
      </c>
      <c r="B133" s="403"/>
      <c r="C133" s="403"/>
      <c r="D133" s="403"/>
      <c r="E133" s="403"/>
      <c r="F133" s="403"/>
      <c r="G133" s="403"/>
    </row>
    <row r="134" spans="1:13" ht="6" customHeight="1"/>
    <row r="135" spans="1:13" ht="16.25" customHeight="1">
      <c r="B135" s="38" t="s">
        <v>135</v>
      </c>
      <c r="C135" s="167"/>
      <c r="D135" s="167"/>
      <c r="E135" s="12"/>
      <c r="F135" s="12"/>
      <c r="G135" s="12"/>
      <c r="H135" s="12"/>
      <c r="I135" s="12"/>
      <c r="J135" s="12"/>
      <c r="K135" s="12"/>
      <c r="L135" s="13"/>
      <c r="M135" s="65"/>
    </row>
    <row r="136" spans="1:13">
      <c r="B136" s="120" t="s">
        <v>52</v>
      </c>
      <c r="C136" s="55">
        <f>+C119+C128</f>
        <v>678123.84500253981</v>
      </c>
      <c r="D136" s="96" t="str">
        <f>CONCATENATE("   =   [ ",ROUND(C119,2)," pounds + ",ROUND(C128,2)," pounds ]")</f>
        <v xml:space="preserve">   =   [ 203401.19 pounds + 474722.65 pounds ]</v>
      </c>
      <c r="E136" s="37"/>
      <c r="F136" s="55"/>
      <c r="G136" s="37"/>
      <c r="I136" s="46"/>
      <c r="J136" s="46"/>
      <c r="K136" s="49"/>
      <c r="M136" s="51"/>
    </row>
    <row r="137" spans="1:13">
      <c r="B137" s="149" t="s">
        <v>53</v>
      </c>
      <c r="C137" s="54">
        <f>+C120+C129</f>
        <v>173335.51575404344</v>
      </c>
      <c r="D137" s="74" t="str">
        <f>CONCATENATE("   =   [ ",ROUND(C120,2)," pounds + ",ROUND(C129,2)," pounds ]")</f>
        <v xml:space="preserve">   =   [ 103592.31 pounds + 69743.2 pounds ]</v>
      </c>
      <c r="E137" s="36"/>
      <c r="F137" s="54"/>
      <c r="G137" s="36"/>
      <c r="I137" s="46"/>
      <c r="J137" s="46"/>
      <c r="K137" s="49"/>
      <c r="M137" s="51"/>
    </row>
    <row r="138" spans="1:13">
      <c r="B138" s="120" t="s">
        <v>54</v>
      </c>
      <c r="C138" s="55">
        <f>+C121+C130</f>
        <v>65360.970735129406</v>
      </c>
      <c r="D138" s="96" t="str">
        <f>CONCATENATE("   =   [ ",ROUND(C121,2)," pounds + ",ROUND(C130,2)," pounds ]")</f>
        <v xml:space="preserve">   =   [ 46606.5 pounds + 18754.48 pounds ]</v>
      </c>
      <c r="E138" s="37"/>
      <c r="F138" s="55"/>
      <c r="G138" s="37"/>
      <c r="I138" s="46"/>
      <c r="J138" s="46"/>
      <c r="K138" s="49"/>
      <c r="M138" s="51"/>
    </row>
    <row r="139" spans="1:13" ht="7.25" customHeight="1">
      <c r="M139" s="50"/>
    </row>
    <row r="142" spans="1:13">
      <c r="A142" s="1" t="s">
        <v>179</v>
      </c>
    </row>
    <row r="143" spans="1:13" ht="6" customHeight="1"/>
    <row r="144" spans="1:13">
      <c r="A144" s="1" t="str">
        <f>CONCATENATE("Watershed: ",'MMW Output'!$B$3)</f>
        <v>Watershed: User Specified</v>
      </c>
    </row>
    <row r="145" spans="1:7" ht="6" customHeight="1"/>
    <row r="146" spans="1:7">
      <c r="A146" s="1" t="str">
        <f>CONCATENATE("Year: ",'MMW Output'!$C$16)</f>
        <v>Year: User Specified</v>
      </c>
    </row>
    <row r="148" spans="1:7" ht="28.25" customHeight="1">
      <c r="A148" s="403" t="s">
        <v>139</v>
      </c>
      <c r="B148" s="403"/>
      <c r="C148" s="403"/>
      <c r="D148" s="403"/>
      <c r="E148" s="403"/>
      <c r="F148" s="403"/>
      <c r="G148" s="403"/>
    </row>
    <row r="149" spans="1:7" ht="8.5" customHeight="1"/>
    <row r="150" spans="1:7" ht="53.5" customHeight="1">
      <c r="A150" s="419" t="s">
        <v>146</v>
      </c>
      <c r="B150" s="419"/>
      <c r="C150" s="231" t="s">
        <v>50</v>
      </c>
      <c r="D150" s="168" t="s">
        <v>70</v>
      </c>
      <c r="E150" s="418" t="s">
        <v>136</v>
      </c>
      <c r="F150" s="418"/>
    </row>
    <row r="151" spans="1:7">
      <c r="B151" s="169" t="s">
        <v>52</v>
      </c>
      <c r="C151" s="55">
        <f>+C136</f>
        <v>678123.84500253981</v>
      </c>
      <c r="D151" s="55">
        <f>+C56</f>
        <v>2000</v>
      </c>
      <c r="E151" s="218">
        <f>+C151/D151</f>
        <v>339.06192250126992</v>
      </c>
      <c r="F151" s="232" t="str">
        <f>CONCATENATE("= [",ROUND(C151,2)," lbs / ",(ROUND(D151,2))," acres ]")</f>
        <v>= [678123.85 lbs / 2000 acres ]</v>
      </c>
      <c r="G151" s="37"/>
    </row>
    <row r="152" spans="1:7">
      <c r="B152" s="170" t="s">
        <v>53</v>
      </c>
      <c r="C152" s="54">
        <f>+C137</f>
        <v>173335.51575404344</v>
      </c>
      <c r="D152" s="54">
        <f>+C57</f>
        <v>293.82716049382714</v>
      </c>
      <c r="E152" s="219">
        <f>+C152/D152</f>
        <v>589.92339395283693</v>
      </c>
      <c r="F152" s="233" t="str">
        <f>CONCATENATE("= [",ROUND(C152,2)," lbs / ",(ROUND(D152,2))," acres ]")</f>
        <v>= [173335.52 lbs / 293.83 acres ]</v>
      </c>
      <c r="G152" s="36"/>
    </row>
    <row r="153" spans="1:7">
      <c r="B153" s="169" t="s">
        <v>54</v>
      </c>
      <c r="C153" s="55">
        <f>+C138</f>
        <v>65360.970735129406</v>
      </c>
      <c r="D153" s="55">
        <f>+C58</f>
        <v>79.012345679012341</v>
      </c>
      <c r="E153" s="218">
        <f>+C153/D153</f>
        <v>827.22478586648162</v>
      </c>
      <c r="F153" s="232" t="str">
        <f>CONCATENATE("= [",ROUND(C153,2)," lbs / ",(ROUND(D153,2))," acres ]")</f>
        <v>= [65360.97 lbs / 79.01 acres ]</v>
      </c>
      <c r="G153" s="37"/>
    </row>
    <row r="154" spans="1:7" ht="6" customHeight="1"/>
    <row r="155" spans="1:7" ht="7.25" customHeight="1"/>
    <row r="157" spans="1:7">
      <c r="A157" s="1" t="s">
        <v>140</v>
      </c>
    </row>
    <row r="158" spans="1:7" ht="6" customHeight="1"/>
    <row r="159" spans="1:7">
      <c r="B159" s="1" t="s">
        <v>60</v>
      </c>
      <c r="C159" s="101">
        <f>+C39</f>
        <v>1414400</v>
      </c>
      <c r="D159" s="1" t="s">
        <v>130</v>
      </c>
      <c r="E159" s="48" t="s">
        <v>89</v>
      </c>
    </row>
    <row r="160" spans="1:7">
      <c r="B160" s="67" t="s">
        <v>96</v>
      </c>
      <c r="C160" s="104">
        <f>+C73</f>
        <v>916820.33149171271</v>
      </c>
      <c r="D160" s="45" t="s">
        <v>130</v>
      </c>
      <c r="E160" s="48" t="s">
        <v>90</v>
      </c>
    </row>
    <row r="161" spans="1:7" ht="26">
      <c r="B161" s="9" t="s">
        <v>61</v>
      </c>
      <c r="C161" s="100">
        <f>+C159-C160</f>
        <v>497579.66850828729</v>
      </c>
      <c r="D161" s="1" t="s">
        <v>130</v>
      </c>
      <c r="E161" s="171" t="str">
        <f>CONCATENATE("[ ",ROUND(C159,2)," pounds - ",ROUND(C160,2)," pounds ]")</f>
        <v>[ 1414400 pounds - 916820.33 pounds ]</v>
      </c>
    </row>
    <row r="162" spans="1:7" ht="8.5" customHeight="1"/>
    <row r="163" spans="1:7">
      <c r="B163" s="1" t="s">
        <v>62</v>
      </c>
      <c r="C163" s="103">
        <f>+C44-C59</f>
        <v>2096.2962962962956</v>
      </c>
      <c r="D163" s="1" t="s">
        <v>137</v>
      </c>
      <c r="E163" s="48" t="s">
        <v>91</v>
      </c>
    </row>
    <row r="164" spans="1:7" ht="9" customHeight="1"/>
    <row r="165" spans="1:7" ht="39">
      <c r="B165" s="68" t="s">
        <v>95</v>
      </c>
      <c r="C165" s="89">
        <f>+C161/C163</f>
        <v>237.3613259668509</v>
      </c>
      <c r="D165" s="68" t="s">
        <v>63</v>
      </c>
      <c r="E165" s="1" t="str">
        <f>CONCATENATE("=  [ ",ROUND(C161,2)," pounds / ",ROUND(C163,2)," acres ]")</f>
        <v>=  [ 497579.67 pounds / 2096.3 acres ]</v>
      </c>
    </row>
    <row r="166" spans="1:7" ht="8" customHeight="1"/>
    <row r="168" spans="1:7" ht="51" customHeight="1">
      <c r="A168" s="403" t="s">
        <v>184</v>
      </c>
      <c r="B168" s="403"/>
      <c r="C168" s="403"/>
      <c r="D168" s="403"/>
      <c r="E168" s="403"/>
      <c r="F168" s="403"/>
      <c r="G168" s="403"/>
    </row>
  </sheetData>
  <mergeCells count="26">
    <mergeCell ref="A150:B150"/>
    <mergeCell ref="A53:G53"/>
    <mergeCell ref="E14:G16"/>
    <mergeCell ref="A76:G76"/>
    <mergeCell ref="A7:F7"/>
    <mergeCell ref="A11:G11"/>
    <mergeCell ref="A17:A32"/>
    <mergeCell ref="A36:G36"/>
    <mergeCell ref="A42:G42"/>
    <mergeCell ref="A8:G8"/>
    <mergeCell ref="A168:G168"/>
    <mergeCell ref="A84:G84"/>
    <mergeCell ref="D119:G119"/>
    <mergeCell ref="D120:G120"/>
    <mergeCell ref="D121:G121"/>
    <mergeCell ref="D128:G128"/>
    <mergeCell ref="E150:F150"/>
    <mergeCell ref="A124:G124"/>
    <mergeCell ref="A125:G125"/>
    <mergeCell ref="A133:G133"/>
    <mergeCell ref="D129:G129"/>
    <mergeCell ref="D130:G130"/>
    <mergeCell ref="A148:G148"/>
    <mergeCell ref="A115:G115"/>
    <mergeCell ref="A108:G108"/>
    <mergeCell ref="A116:G116"/>
  </mergeCells>
  <phoneticPr fontId="47" type="noConversion"/>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rowBreaks count="3" manualBreakCount="3">
    <brk id="45" max="16383" man="1"/>
    <brk id="91" max="16383" man="1"/>
    <brk id="14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65"/>
  <sheetViews>
    <sheetView zoomScale="120" zoomScaleNormal="120" zoomScaleSheetLayoutView="80" workbookViewId="0">
      <selection activeCell="G1" sqref="G1"/>
    </sheetView>
  </sheetViews>
  <sheetFormatPr baseColWidth="10" defaultColWidth="8.83203125" defaultRowHeight="13"/>
  <cols>
    <col min="1" max="1" width="2.6640625" style="1" customWidth="1"/>
    <col min="2" max="2" width="25" style="1" customWidth="1"/>
    <col min="3" max="3" width="16.33203125" style="1" customWidth="1"/>
    <col min="4" max="4" width="9.83203125" style="1" customWidth="1"/>
    <col min="5" max="5" width="9.5" style="1" customWidth="1"/>
    <col min="6" max="6" width="9.83203125" style="1" customWidth="1"/>
    <col min="7" max="7" width="16.5" style="1" customWidth="1"/>
    <col min="8" max="8" width="5" style="1" customWidth="1"/>
    <col min="9" max="9" width="10.5" style="1" customWidth="1"/>
    <col min="10" max="10" width="8.83203125" style="1"/>
    <col min="11" max="11" width="10.1640625" style="1" bestFit="1" customWidth="1"/>
    <col min="12" max="12" width="3.5" style="1" customWidth="1"/>
    <col min="13" max="16384" width="8.83203125" style="1"/>
  </cols>
  <sheetData>
    <row r="1" spans="1:11" ht="14.5" customHeight="1">
      <c r="A1" s="215" t="s">
        <v>231</v>
      </c>
      <c r="B1" s="52"/>
    </row>
    <row r="2" spans="1:11" ht="6" customHeight="1"/>
    <row r="3" spans="1:11" ht="14.5" customHeight="1">
      <c r="A3" s="1" t="str">
        <f>CONCATENATE("Watershed: ",'MMW Output'!$B$3)</f>
        <v>Watershed: User Specified</v>
      </c>
    </row>
    <row r="4" spans="1:11" ht="6" customHeight="1"/>
    <row r="5" spans="1:11" ht="14.5" customHeight="1">
      <c r="A5" s="1" t="str">
        <f>CONCATENATE("Year: ",'MMW Output'!$C$16)</f>
        <v>Year: User Specified</v>
      </c>
    </row>
    <row r="6" spans="1:11" ht="11.5" customHeight="1"/>
    <row r="7" spans="1:11" ht="18.75" customHeight="1">
      <c r="A7" s="406" t="s">
        <v>247</v>
      </c>
      <c r="B7" s="406"/>
      <c r="C7" s="406"/>
      <c r="D7" s="406"/>
      <c r="E7" s="406"/>
      <c r="F7" s="406"/>
    </row>
    <row r="8" spans="1:11" ht="95" customHeight="1">
      <c r="A8" s="403" t="s">
        <v>188</v>
      </c>
      <c r="B8" s="403"/>
      <c r="C8" s="403"/>
      <c r="D8" s="403"/>
      <c r="E8" s="403"/>
      <c r="F8" s="403"/>
      <c r="G8" s="403"/>
    </row>
    <row r="9" spans="1:11" ht="8.5" customHeight="1"/>
    <row r="10" spans="1:11" ht="8.5" customHeight="1"/>
    <row r="11" spans="1:11" ht="27.5" customHeight="1">
      <c r="A11" s="403" t="s">
        <v>149</v>
      </c>
      <c r="B11" s="403"/>
      <c r="C11" s="403"/>
      <c r="D11" s="403"/>
      <c r="E11" s="403"/>
      <c r="F11" s="403"/>
      <c r="G11" s="403"/>
    </row>
    <row r="12" spans="1:11" ht="6" customHeight="1"/>
    <row r="13" spans="1:11">
      <c r="B13" s="57" t="s">
        <v>0</v>
      </c>
      <c r="C13" s="58" t="s">
        <v>51</v>
      </c>
      <c r="E13" s="237"/>
      <c r="F13" s="237"/>
      <c r="G13" s="237"/>
      <c r="K13" s="75"/>
    </row>
    <row r="14" spans="1:11" ht="13.25" customHeight="1">
      <c r="A14" s="429" t="s">
        <v>39</v>
      </c>
      <c r="B14" s="256" t="s">
        <v>71</v>
      </c>
      <c r="C14" s="257">
        <f>+'MMW Output'!C22</f>
        <v>1180.2469135802469</v>
      </c>
    </row>
    <row r="15" spans="1:11" ht="13.25" customHeight="1">
      <c r="A15" s="430"/>
      <c r="B15" s="258" t="s">
        <v>10</v>
      </c>
      <c r="C15" s="259">
        <f>+'MMW Output'!C23</f>
        <v>323.45679012345676</v>
      </c>
    </row>
    <row r="16" spans="1:11" ht="13.25" customHeight="1">
      <c r="A16" s="430"/>
      <c r="B16" s="260" t="s">
        <v>11</v>
      </c>
      <c r="C16" s="261">
        <f>+'MMW Output'!C24</f>
        <v>417.28395061728395</v>
      </c>
    </row>
    <row r="17" spans="1:3" ht="13.25" customHeight="1">
      <c r="A17" s="430"/>
      <c r="B17" s="258" t="s">
        <v>12</v>
      </c>
      <c r="C17" s="259">
        <f>+'MMW Output'!C25</f>
        <v>14.814814814814813</v>
      </c>
    </row>
    <row r="18" spans="1:3" ht="13.25" customHeight="1">
      <c r="A18" s="430"/>
      <c r="B18" s="260" t="s">
        <v>13</v>
      </c>
      <c r="C18" s="261">
        <f>+'MMW Output'!C26</f>
        <v>0</v>
      </c>
    </row>
    <row r="19" spans="1:3" ht="13.25" customHeight="1">
      <c r="A19" s="430"/>
      <c r="B19" s="258" t="s">
        <v>14</v>
      </c>
      <c r="C19" s="259">
        <f>+'MMW Output'!C27</f>
        <v>0</v>
      </c>
    </row>
    <row r="20" spans="1:3" ht="13.25" customHeight="1">
      <c r="A20" s="430"/>
      <c r="B20" s="260" t="s">
        <v>15</v>
      </c>
      <c r="C20" s="261">
        <f>+'MMW Output'!C28</f>
        <v>111.1111111111111</v>
      </c>
    </row>
    <row r="21" spans="1:3" ht="13.25" customHeight="1">
      <c r="A21" s="430"/>
      <c r="B21" s="258" t="s">
        <v>16</v>
      </c>
      <c r="C21" s="259">
        <f>+'MMW Output'!C29</f>
        <v>49.382716049382715</v>
      </c>
    </row>
    <row r="22" spans="1:3" ht="13.25" customHeight="1">
      <c r="A22" s="430"/>
      <c r="B22" s="260" t="s">
        <v>17</v>
      </c>
      <c r="C22" s="261">
        <f>+'MMW Output'!C30</f>
        <v>0</v>
      </c>
    </row>
    <row r="23" spans="1:3" ht="13.25" customHeight="1">
      <c r="A23" s="430"/>
      <c r="B23" s="258" t="s">
        <v>18</v>
      </c>
      <c r="C23" s="259">
        <f>+'MMW Output'!C31</f>
        <v>0</v>
      </c>
    </row>
    <row r="24" spans="1:3" ht="13.25" customHeight="1">
      <c r="A24" s="430"/>
      <c r="B24" s="260" t="s">
        <v>19</v>
      </c>
      <c r="C24" s="261">
        <f>+'MMW Output'!C32</f>
        <v>2000</v>
      </c>
    </row>
    <row r="25" spans="1:3" ht="13.25" customHeight="1">
      <c r="A25" s="430"/>
      <c r="B25" s="258" t="s">
        <v>20</v>
      </c>
      <c r="C25" s="259">
        <f>+'MMW Output'!C33</f>
        <v>293.82716049382714</v>
      </c>
    </row>
    <row r="26" spans="1:3" ht="13.25" customHeight="1">
      <c r="A26" s="430"/>
      <c r="B26" s="260" t="s">
        <v>21</v>
      </c>
      <c r="C26" s="261">
        <f>+'MMW Output'!C34</f>
        <v>79.012345679012341</v>
      </c>
    </row>
    <row r="27" spans="1:3" ht="13.25" customHeight="1">
      <c r="A27" s="430"/>
      <c r="B27" s="258" t="s">
        <v>22</v>
      </c>
      <c r="C27" s="259">
        <f>+'MMW Output'!C35</f>
        <v>0</v>
      </c>
    </row>
    <row r="28" spans="1:3" ht="13.25" customHeight="1">
      <c r="A28" s="430"/>
      <c r="B28" s="260" t="s">
        <v>23</v>
      </c>
      <c r="C28" s="261">
        <f>+'MMW Output'!C36</f>
        <v>0</v>
      </c>
    </row>
    <row r="29" spans="1:3" ht="13.25" customHeight="1">
      <c r="A29" s="431"/>
      <c r="B29" s="262" t="s">
        <v>24</v>
      </c>
      <c r="C29" s="263">
        <f>+'MMW Output'!C37</f>
        <v>0</v>
      </c>
    </row>
    <row r="30" spans="1:3" ht="6" customHeight="1">
      <c r="C30" s="147"/>
    </row>
    <row r="31" spans="1:3" ht="15.5" customHeight="1">
      <c r="B31" s="38" t="s">
        <v>144</v>
      </c>
      <c r="C31" s="148">
        <f>SUM(C14:C30)</f>
        <v>4469.1358024691353</v>
      </c>
    </row>
    <row r="32" spans="1:3" ht="17" customHeight="1"/>
    <row r="33" spans="1:7">
      <c r="A33" s="403" t="s">
        <v>150</v>
      </c>
      <c r="B33" s="403"/>
      <c r="C33" s="403"/>
      <c r="D33" s="403"/>
      <c r="E33" s="403"/>
      <c r="F33" s="403"/>
      <c r="G33" s="403"/>
    </row>
    <row r="34" spans="1:7" ht="6" customHeight="1">
      <c r="B34" s="42"/>
      <c r="C34" s="43"/>
      <c r="D34" s="40"/>
    </row>
    <row r="35" spans="1:7">
      <c r="B35" s="45"/>
      <c r="C35" s="53" t="s">
        <v>151</v>
      </c>
      <c r="D35" s="53"/>
    </row>
    <row r="36" spans="1:7">
      <c r="B36" s="55" t="s">
        <v>28</v>
      </c>
      <c r="C36" s="55">
        <f>+'MMW Output'!E40</f>
        <v>813.64499999999998</v>
      </c>
      <c r="D36" s="55" t="s">
        <v>50</v>
      </c>
    </row>
    <row r="37" spans="1:7" ht="6" customHeight="1">
      <c r="B37" s="42"/>
      <c r="D37" s="40"/>
    </row>
    <row r="38" spans="1:7" ht="17" customHeight="1">
      <c r="B38" s="42"/>
      <c r="C38" s="43"/>
      <c r="D38" s="40"/>
    </row>
    <row r="39" spans="1:7">
      <c r="A39" s="403" t="str">
        <f>CONCATENATE("Step 3. Sum the total acres in the ", 'MMW Output'!C15," watershed.")</f>
        <v>Step 3. Sum the total acres in the User Specified watershed.</v>
      </c>
      <c r="B39" s="403"/>
      <c r="C39" s="403"/>
      <c r="D39" s="403"/>
      <c r="E39" s="403"/>
      <c r="F39" s="403"/>
      <c r="G39" s="403"/>
    </row>
    <row r="40" spans="1:7" ht="6" customHeight="1">
      <c r="A40" s="236"/>
      <c r="B40" s="236"/>
      <c r="C40" s="236"/>
      <c r="D40" s="236"/>
      <c r="E40" s="236"/>
      <c r="F40" s="236"/>
      <c r="G40" s="236"/>
    </row>
    <row r="41" spans="1:7">
      <c r="B41" s="59" t="s">
        <v>118</v>
      </c>
      <c r="C41" s="97">
        <f>SUM(C14:C30)</f>
        <v>4469.1358024691353</v>
      </c>
      <c r="D41" s="56" t="s">
        <v>32</v>
      </c>
    </row>
    <row r="42" spans="1:7" ht="6" customHeight="1">
      <c r="B42" s="42"/>
      <c r="C42" s="43"/>
      <c r="D42" s="40"/>
    </row>
    <row r="43" spans="1:7" ht="4.25" customHeight="1">
      <c r="B43" s="42"/>
      <c r="C43" s="43"/>
      <c r="D43" s="40"/>
    </row>
    <row r="44" spans="1:7" ht="14.5" customHeight="1">
      <c r="A44" s="1" t="s">
        <v>152</v>
      </c>
      <c r="B44" s="42"/>
      <c r="C44" s="43"/>
      <c r="D44" s="40"/>
    </row>
    <row r="45" spans="1:7" ht="6" customHeight="1">
      <c r="B45" s="42"/>
      <c r="C45" s="43"/>
      <c r="D45" s="40"/>
    </row>
    <row r="46" spans="1:7" ht="14" customHeight="1">
      <c r="A46" s="1" t="str">
        <f>CONCATENATE("Watershed: ",'MMW Output'!$B$3)</f>
        <v>Watershed: User Specified</v>
      </c>
      <c r="B46" s="42"/>
      <c r="C46" s="43"/>
      <c r="D46" s="40"/>
    </row>
    <row r="47" spans="1:7" ht="6" customHeight="1">
      <c r="B47" s="42"/>
      <c r="C47" s="43"/>
      <c r="D47" s="40"/>
    </row>
    <row r="48" spans="1:7" ht="14" customHeight="1">
      <c r="A48" s="1" t="str">
        <f>CONCATENATE("Year: ",'MMW Output'!$C$16)</f>
        <v>Year: User Specified</v>
      </c>
      <c r="B48" s="42"/>
      <c r="C48" s="43"/>
      <c r="D48" s="40"/>
    </row>
    <row r="49" spans="1:7" ht="11" customHeight="1">
      <c r="B49" s="42"/>
      <c r="C49" s="43"/>
      <c r="D49" s="40"/>
    </row>
    <row r="50" spans="1:7" ht="51" customHeight="1">
      <c r="A50" s="403" t="s">
        <v>185</v>
      </c>
      <c r="B50" s="403"/>
      <c r="C50" s="403"/>
      <c r="D50" s="403"/>
      <c r="E50" s="403"/>
      <c r="F50" s="403"/>
      <c r="G50" s="403"/>
    </row>
    <row r="51" spans="1:7" ht="6" customHeight="1">
      <c r="C51" s="41"/>
    </row>
    <row r="52" spans="1:7">
      <c r="B52" s="44" t="s">
        <v>68</v>
      </c>
      <c r="C52" s="66" t="s">
        <v>32</v>
      </c>
      <c r="D52" s="66" t="s">
        <v>69</v>
      </c>
    </row>
    <row r="53" spans="1:7">
      <c r="B53" s="120" t="s">
        <v>52</v>
      </c>
      <c r="C53" s="160">
        <f>+C24+C27</f>
        <v>2000</v>
      </c>
      <c r="D53" s="156">
        <f>+C53/C$56</f>
        <v>0.84287200832466169</v>
      </c>
      <c r="E53" s="71" t="s">
        <v>84</v>
      </c>
      <c r="F53" s="55"/>
      <c r="G53" s="37"/>
    </row>
    <row r="54" spans="1:7">
      <c r="B54" s="149" t="s">
        <v>53</v>
      </c>
      <c r="C54" s="161">
        <f>+C25+C28</f>
        <v>293.82716049382714</v>
      </c>
      <c r="D54" s="157">
        <f>+C54/C$56</f>
        <v>0.12382934443288239</v>
      </c>
      <c r="E54" s="73" t="s">
        <v>85</v>
      </c>
      <c r="F54" s="54"/>
      <c r="G54" s="36"/>
    </row>
    <row r="55" spans="1:7" ht="14" thickBot="1">
      <c r="B55" s="150" t="s">
        <v>54</v>
      </c>
      <c r="C55" s="164">
        <f>+C26+C29</f>
        <v>79.012345679012341</v>
      </c>
      <c r="D55" s="177">
        <f>+C55/C$56</f>
        <v>3.3298647242455771E-2</v>
      </c>
      <c r="E55" s="71" t="s">
        <v>86</v>
      </c>
      <c r="F55" s="55"/>
      <c r="G55" s="37"/>
    </row>
    <row r="56" spans="1:7">
      <c r="B56" s="56" t="s">
        <v>55</v>
      </c>
      <c r="C56" s="176">
        <f>+C53+C54+C55</f>
        <v>2372.8395061728397</v>
      </c>
      <c r="D56" s="178">
        <f>+C56/C$56</f>
        <v>1</v>
      </c>
      <c r="E56" s="48" t="s">
        <v>87</v>
      </c>
    </row>
    <row r="57" spans="1:7" ht="6.5" customHeight="1"/>
    <row r="59" spans="1:7">
      <c r="A59" s="1" t="s">
        <v>154</v>
      </c>
    </row>
    <row r="60" spans="1:7">
      <c r="B60" s="1" t="s">
        <v>313</v>
      </c>
    </row>
    <row r="61" spans="1:7">
      <c r="B61" s="1" t="s">
        <v>314</v>
      </c>
    </row>
    <row r="62" spans="1:7" ht="8" customHeight="1"/>
    <row r="63" spans="1:7">
      <c r="B63" s="1" t="s">
        <v>153</v>
      </c>
      <c r="C63" s="99">
        <f>C36</f>
        <v>813.64499999999998</v>
      </c>
      <c r="D63" s="1" t="s">
        <v>50</v>
      </c>
      <c r="E63" s="48" t="s">
        <v>66</v>
      </c>
    </row>
    <row r="64" spans="1:7">
      <c r="B64" s="1" t="s">
        <v>59</v>
      </c>
      <c r="C64" s="98">
        <f>+C56</f>
        <v>2372.8395061728397</v>
      </c>
      <c r="D64" s="1" t="s">
        <v>32</v>
      </c>
      <c r="E64" s="48" t="s">
        <v>65</v>
      </c>
    </row>
    <row r="65" spans="1:7" ht="13.25" customHeight="1">
      <c r="B65" s="1" t="s">
        <v>118</v>
      </c>
      <c r="C65" s="98">
        <f>+C41</f>
        <v>4469.1358024691353</v>
      </c>
      <c r="D65" s="1" t="s">
        <v>32</v>
      </c>
      <c r="E65" s="48" t="s">
        <v>67</v>
      </c>
    </row>
    <row r="66" spans="1:7" ht="25.25" customHeight="1">
      <c r="B66" s="151" t="s">
        <v>101</v>
      </c>
      <c r="C66" s="47">
        <f>+C64/C65</f>
        <v>0.53093922651933712</v>
      </c>
      <c r="D66" s="48" t="s">
        <v>121</v>
      </c>
      <c r="E66" s="1" t="str">
        <f>CONCATENATE("[ ",ROUND(C64,2)," acres / ",ROUND(C65,2)," acres ]")</f>
        <v>[ 2372.84 acres / 4469.14 acres ]</v>
      </c>
    </row>
    <row r="67" spans="1:7" ht="7.25" customHeight="1"/>
    <row r="68" spans="1:7" ht="42" customHeight="1">
      <c r="A68" s="61"/>
      <c r="B68" s="9" t="s">
        <v>326</v>
      </c>
      <c r="C68" s="101">
        <f>+C63*C66*0.75</f>
        <v>323.99703522099452</v>
      </c>
      <c r="D68" s="1" t="s">
        <v>122</v>
      </c>
      <c r="E68" s="1" t="str">
        <f>CONCATENATE("[ 75% x ",ROUND(C63,2)," pounds x ",ROUND(C66*100,0),"% ]")</f>
        <v>[ 75% x 813.65 pounds x 53% ]</v>
      </c>
    </row>
    <row r="69" spans="1:7" ht="27" thickBot="1">
      <c r="A69" s="61"/>
      <c r="B69" s="152" t="s">
        <v>327</v>
      </c>
      <c r="C69" s="153">
        <f>+C63*0.25</f>
        <v>203.41125</v>
      </c>
      <c r="D69" s="154" t="s">
        <v>122</v>
      </c>
      <c r="E69" s="1" t="str">
        <f>CONCATENATE("[ 25% x ",ROUND(C63,2)," pounds ]")</f>
        <v>[ 25% x 813.65 pounds ]</v>
      </c>
    </row>
    <row r="70" spans="1:7" ht="29" customHeight="1">
      <c r="B70" s="155" t="s">
        <v>97</v>
      </c>
      <c r="C70" s="102">
        <f>+C69+C68</f>
        <v>527.40828522099446</v>
      </c>
      <c r="D70" s="62" t="s">
        <v>50</v>
      </c>
    </row>
    <row r="71" spans="1:7" ht="6.5" customHeight="1"/>
    <row r="72" spans="1:7" ht="8.5" customHeight="1"/>
    <row r="73" spans="1:7" ht="42" customHeight="1">
      <c r="A73" s="403" t="s">
        <v>155</v>
      </c>
      <c r="B73" s="403"/>
      <c r="C73" s="403"/>
      <c r="D73" s="403"/>
      <c r="E73" s="403"/>
      <c r="F73" s="403"/>
      <c r="G73" s="403"/>
    </row>
    <row r="74" spans="1:7" ht="6" customHeight="1"/>
    <row r="75" spans="1:7">
      <c r="B75" s="38" t="s">
        <v>123</v>
      </c>
    </row>
    <row r="76" spans="1:7" ht="12.75" customHeight="1">
      <c r="B76" s="120" t="s">
        <v>52</v>
      </c>
      <c r="C76" s="158">
        <v>0.15</v>
      </c>
    </row>
    <row r="77" spans="1:7">
      <c r="B77" s="149" t="s">
        <v>53</v>
      </c>
      <c r="C77" s="159">
        <v>0.52</v>
      </c>
    </row>
    <row r="78" spans="1:7">
      <c r="B78" s="120" t="s">
        <v>54</v>
      </c>
      <c r="C78" s="158">
        <v>0.87</v>
      </c>
    </row>
    <row r="79" spans="1:7" ht="6" customHeight="1"/>
    <row r="80" spans="1:7" ht="11.5" customHeight="1"/>
    <row r="81" spans="1:7" ht="24.5" customHeight="1">
      <c r="A81" s="403" t="s">
        <v>127</v>
      </c>
      <c r="B81" s="403"/>
      <c r="C81" s="403"/>
      <c r="D81" s="403"/>
      <c r="E81" s="403"/>
      <c r="F81" s="403"/>
      <c r="G81" s="403"/>
    </row>
    <row r="82" spans="1:7" ht="6" customHeight="1"/>
    <row r="83" spans="1:7">
      <c r="B83" s="38" t="s">
        <v>56</v>
      </c>
    </row>
    <row r="84" spans="1:7">
      <c r="B84" s="96" t="s">
        <v>52</v>
      </c>
      <c r="C84" s="160">
        <f>+C53*C76</f>
        <v>300</v>
      </c>
      <c r="D84" s="55" t="s">
        <v>125</v>
      </c>
      <c r="E84" s="179" t="str">
        <f>CONCATENATE(" [ ",ROUND(C53,2)," acres x ",C76*100," percent ]")</f>
        <v xml:space="preserve"> [ 2000 acres x 15 percent ]</v>
      </c>
      <c r="F84" s="55"/>
      <c r="G84" s="37"/>
    </row>
    <row r="85" spans="1:7">
      <c r="B85" s="74" t="s">
        <v>53</v>
      </c>
      <c r="C85" s="161">
        <f>+C54*C77</f>
        <v>152.79012345679013</v>
      </c>
      <c r="D85" s="54" t="s">
        <v>125</v>
      </c>
      <c r="E85" s="180" t="str">
        <f>CONCATENATE(" [ ",ROUND(C54,2)," acres x ",C77*100," percent ]")</f>
        <v xml:space="preserve"> [ 293.83 acres x 52 percent ]</v>
      </c>
      <c r="F85" s="54"/>
      <c r="G85" s="36"/>
    </row>
    <row r="86" spans="1:7" ht="14" thickBot="1">
      <c r="B86" s="163" t="s">
        <v>54</v>
      </c>
      <c r="C86" s="164">
        <f>+C55*C78</f>
        <v>68.740740740740733</v>
      </c>
      <c r="D86" s="181" t="s">
        <v>125</v>
      </c>
      <c r="E86" s="179" t="str">
        <f>CONCATENATE(" [ ",ROUND(C55,2)," acres x ",C78*100," percent ]")</f>
        <v xml:space="preserve"> [ 79.01 acres x 87 percent ]</v>
      </c>
      <c r="F86" s="55"/>
      <c r="G86" s="37"/>
    </row>
    <row r="87" spans="1:7" ht="29" customHeight="1">
      <c r="B87" s="12" t="s">
        <v>126</v>
      </c>
      <c r="C87" s="162">
        <f>+C84+C85+C86</f>
        <v>521.53086419753083</v>
      </c>
      <c r="D87" s="1" t="s">
        <v>32</v>
      </c>
    </row>
    <row r="88" spans="1:7" ht="6" customHeight="1"/>
    <row r="90" spans="1:7">
      <c r="A90" s="1" t="s">
        <v>178</v>
      </c>
    </row>
    <row r="91" spans="1:7" ht="6" customHeight="1"/>
    <row r="92" spans="1:7">
      <c r="A92" s="1" t="str">
        <f>CONCATENATE("Watershed: ",'MMW Output'!$B$3)</f>
        <v>Watershed: User Specified</v>
      </c>
    </row>
    <row r="93" spans="1:7" ht="6" customHeight="1"/>
    <row r="94" spans="1:7">
      <c r="A94" s="1" t="str">
        <f>CONCATENATE("Year: ",'MMW Output'!$C$16)</f>
        <v>Year: User Specified</v>
      </c>
    </row>
    <row r="96" spans="1:7">
      <c r="A96" s="1" t="s">
        <v>128</v>
      </c>
    </row>
    <row r="97" spans="1:7" ht="6" customHeight="1"/>
    <row r="98" spans="1:7">
      <c r="B98" s="38" t="s">
        <v>57</v>
      </c>
    </row>
    <row r="99" spans="1:7">
      <c r="B99" s="120" t="s">
        <v>52</v>
      </c>
      <c r="C99" s="158">
        <f>+C84/(C$84+C$85+C$86)</f>
        <v>0.57522961840734788</v>
      </c>
      <c r="D99" s="165" t="s">
        <v>129</v>
      </c>
      <c r="E99" s="179" t="str">
        <f>CONCATENATE(" [ ",ROUND(C84,2)," acres / ",ROUND(C87,2)," acres ]")</f>
        <v xml:space="preserve"> [ 300 acres / 521.53 acres ]</v>
      </c>
      <c r="F99" s="55"/>
      <c r="G99" s="37"/>
    </row>
    <row r="100" spans="1:7">
      <c r="B100" s="149" t="s">
        <v>53</v>
      </c>
      <c r="C100" s="159">
        <f>+C85/(C$84+C$85+C$86)</f>
        <v>0.29296468137486981</v>
      </c>
      <c r="D100" s="166" t="s">
        <v>129</v>
      </c>
      <c r="E100" s="180" t="str">
        <f>CONCATENATE(" [ ",ROUND(C85,2)," acres / ",ROUND(C87,2)," acres ]")</f>
        <v xml:space="preserve"> [ 152.79 acres / 521.53 acres ]</v>
      </c>
      <c r="F100" s="54"/>
      <c r="G100" s="36"/>
    </row>
    <row r="101" spans="1:7" ht="14" thickBot="1">
      <c r="B101" s="150" t="s">
        <v>54</v>
      </c>
      <c r="C101" s="182">
        <f>+C86/(C$84+C$85+C$86)</f>
        <v>0.1318057002177824</v>
      </c>
      <c r="D101" s="165" t="s">
        <v>129</v>
      </c>
      <c r="E101" s="179" t="str">
        <f>CONCATENATE(" [ ",ROUND(C86,2)," acres / ",ROUND(C87,2)," acres ]")</f>
        <v xml:space="preserve"> [ 68.74 acres / 521.53 acres ]</v>
      </c>
      <c r="F101" s="55"/>
      <c r="G101" s="37"/>
    </row>
    <row r="102" spans="1:7">
      <c r="B102" s="1" t="s">
        <v>55</v>
      </c>
      <c r="C102" s="183">
        <f>+C99+C100+C101</f>
        <v>1</v>
      </c>
    </row>
    <row r="103" spans="1:7" ht="7.25" customHeight="1"/>
    <row r="104" spans="1:7" ht="13.25" customHeight="1"/>
    <row r="105" spans="1:7" ht="24" customHeight="1">
      <c r="A105" s="403" t="s">
        <v>316</v>
      </c>
      <c r="B105" s="403"/>
      <c r="C105" s="403"/>
      <c r="D105" s="403"/>
      <c r="E105" s="403"/>
      <c r="F105" s="403"/>
      <c r="G105" s="403"/>
    </row>
    <row r="106" spans="1:7" ht="6" customHeight="1"/>
    <row r="107" spans="1:7" ht="25.5" customHeight="1">
      <c r="B107" s="230" t="s">
        <v>97</v>
      </c>
      <c r="C107" s="100">
        <f>+C70</f>
        <v>527.40828522099446</v>
      </c>
      <c r="D107" s="1" t="s">
        <v>130</v>
      </c>
      <c r="E107" s="48" t="s">
        <v>88</v>
      </c>
    </row>
    <row r="108" spans="1:7" ht="25.5" customHeight="1">
      <c r="B108" s="236" t="s">
        <v>319</v>
      </c>
      <c r="C108" s="101">
        <f>+C68</f>
        <v>323.99703522099452</v>
      </c>
      <c r="D108" s="1" t="s">
        <v>130</v>
      </c>
      <c r="E108" s="48" t="s">
        <v>88</v>
      </c>
    </row>
    <row r="109" spans="1:7" ht="25.5" customHeight="1">
      <c r="B109" s="236" t="s">
        <v>315</v>
      </c>
      <c r="C109" s="101">
        <f>+C69</f>
        <v>203.41125</v>
      </c>
      <c r="D109" s="1" t="s">
        <v>130</v>
      </c>
      <c r="E109" s="48" t="s">
        <v>88</v>
      </c>
    </row>
    <row r="110" spans="1:7" ht="6" customHeight="1"/>
    <row r="111" spans="1:7" ht="13.25" customHeight="1"/>
    <row r="112" spans="1:7" ht="14" customHeight="1">
      <c r="A112" s="403" t="s">
        <v>145</v>
      </c>
      <c r="B112" s="403"/>
      <c r="C112" s="403"/>
      <c r="D112" s="403"/>
      <c r="E112" s="403"/>
      <c r="F112" s="403"/>
      <c r="G112" s="403"/>
    </row>
    <row r="113" spans="1:7" ht="15" customHeight="1">
      <c r="A113" s="403" t="str">
        <f>CONCATENATE("multiplying the 'Percent of Total Impervious Surfaces' (Step 8) by ",ROUND(C109,2)," pounds (calculated in Step 9):")</f>
        <v>multiplying the 'Percent of Total Impervious Surfaces' (Step 8) by 203.41 pounds (calculated in Step 9):</v>
      </c>
      <c r="B113" s="403"/>
      <c r="C113" s="403"/>
      <c r="D113" s="403"/>
      <c r="E113" s="403"/>
      <c r="F113" s="403"/>
      <c r="G113" s="403"/>
    </row>
    <row r="114" spans="1:7" ht="6" customHeight="1">
      <c r="A114" s="236"/>
      <c r="B114" s="236"/>
      <c r="C114" s="236"/>
      <c r="D114" s="236"/>
      <c r="E114" s="236"/>
      <c r="F114" s="236"/>
      <c r="G114" s="236"/>
    </row>
    <row r="115" spans="1:7" ht="16.25" customHeight="1">
      <c r="B115" s="38" t="s">
        <v>156</v>
      </c>
      <c r="C115" s="12"/>
      <c r="D115" s="12"/>
      <c r="E115" s="12"/>
      <c r="F115" s="9"/>
    </row>
    <row r="116" spans="1:7">
      <c r="B116" s="120" t="s">
        <v>52</v>
      </c>
      <c r="C116" s="83">
        <f>C99*C$108</f>
        <v>186.37269093528474</v>
      </c>
      <c r="D116" s="414" t="str">
        <f>CONCATENATE("=   [ ",ROUND(C99*100,0)," % x ",ROUND(C$109,2)," pounds ]")</f>
        <v>=   [ 58 % x 203.41 pounds ]</v>
      </c>
      <c r="E116" s="415"/>
      <c r="F116" s="415"/>
      <c r="G116" s="415"/>
    </row>
    <row r="117" spans="1:7">
      <c r="B117" s="149" t="s">
        <v>53</v>
      </c>
      <c r="C117" s="84">
        <f>C100*C$108</f>
        <v>94.919688189921132</v>
      </c>
      <c r="D117" s="416" t="str">
        <f>CONCATENATE("=   [ ",ROUND(C100*100,0)," % x ",ROUND(C$109,2)," pounds ]")</f>
        <v>=   [ 29 % x 203.41 pounds ]</v>
      </c>
      <c r="E117" s="417"/>
      <c r="F117" s="417"/>
      <c r="G117" s="417"/>
    </row>
    <row r="118" spans="1:7">
      <c r="B118" s="120" t="s">
        <v>54</v>
      </c>
      <c r="C118" s="83">
        <f>C101*C$108</f>
        <v>42.704656095788692</v>
      </c>
      <c r="D118" s="414" t="str">
        <f>CONCATENATE("=   [ ",ROUND(C101*100,0)," % x ",ROUND(C$109,2)," pounds ]")</f>
        <v>=   [ 13 % x 203.41 pounds ]</v>
      </c>
      <c r="E118" s="415"/>
      <c r="F118" s="415"/>
      <c r="G118" s="415"/>
    </row>
    <row r="119" spans="1:7" ht="6" customHeight="1">
      <c r="C119" s="50"/>
    </row>
    <row r="121" spans="1:7">
      <c r="A121" s="403" t="s">
        <v>133</v>
      </c>
      <c r="B121" s="403"/>
      <c r="C121" s="403"/>
      <c r="D121" s="403"/>
      <c r="E121" s="403"/>
      <c r="F121" s="403"/>
      <c r="G121" s="403"/>
    </row>
    <row r="122" spans="1:7">
      <c r="A122" s="403" t="str">
        <f>CONCATENATE("the 'Percent of Area of Developed Lands' (from Step 4) by ",ROUND(C108,2)," pounds (calculated in Step 9):")</f>
        <v>the 'Percent of Area of Developed Lands' (from Step 4) by 324 pounds (calculated in Step 9):</v>
      </c>
      <c r="B122" s="403"/>
      <c r="C122" s="403"/>
      <c r="D122" s="403"/>
      <c r="E122" s="403"/>
      <c r="F122" s="403"/>
      <c r="G122" s="403"/>
    </row>
    <row r="123" spans="1:7" ht="6" customHeight="1"/>
    <row r="124" spans="1:7" ht="17" customHeight="1">
      <c r="B124" s="38" t="s">
        <v>157</v>
      </c>
      <c r="C124" s="12"/>
      <c r="D124" s="12"/>
      <c r="E124" s="12"/>
    </row>
    <row r="125" spans="1:7">
      <c r="B125" s="120" t="s">
        <v>52</v>
      </c>
      <c r="C125" s="83">
        <f>C53/C$56*C$109</f>
        <v>171.44964880332984</v>
      </c>
      <c r="D125" s="414" t="str">
        <f>CONCATENATE("=   [ ",ROUND(D53*100,0)," % x ",ROUND(C$108,2)," pounds ]")</f>
        <v>=   [ 84 % x 324 pounds ]</v>
      </c>
      <c r="E125" s="415"/>
      <c r="F125" s="415"/>
      <c r="G125" s="415"/>
    </row>
    <row r="126" spans="1:7">
      <c r="B126" s="149" t="s">
        <v>53</v>
      </c>
      <c r="C126" s="84">
        <f>C54/C$56*C$109</f>
        <v>25.188281737773149</v>
      </c>
      <c r="D126" s="416" t="str">
        <f>CONCATENATE("=   [ ",ROUND(D54*100,0)," % x ",ROUND(C$108,2)," pounds ]")</f>
        <v>=   [ 12 % x 324 pounds ]</v>
      </c>
      <c r="E126" s="417"/>
      <c r="F126" s="417"/>
      <c r="G126" s="417"/>
    </row>
    <row r="127" spans="1:7">
      <c r="B127" s="120" t="s">
        <v>54</v>
      </c>
      <c r="C127" s="83">
        <f>C55/C$56*C$109</f>
        <v>6.7733194588969816</v>
      </c>
      <c r="D127" s="414" t="str">
        <f>CONCATENATE("=   [ ",ROUND(D55*100,0)," % x ",ROUND(C$108,2)," pounds ]  ")</f>
        <v xml:space="preserve">=   [ 3 % x 324 pounds ]  </v>
      </c>
      <c r="E127" s="415"/>
      <c r="F127" s="415"/>
      <c r="G127" s="415"/>
    </row>
    <row r="128" spans="1:7" ht="7.25" customHeight="1"/>
    <row r="130" spans="1:13" ht="26.5" customHeight="1">
      <c r="A130" s="403" t="s">
        <v>134</v>
      </c>
      <c r="B130" s="403"/>
      <c r="C130" s="403"/>
      <c r="D130" s="403"/>
      <c r="E130" s="403"/>
      <c r="F130" s="403"/>
      <c r="G130" s="403"/>
    </row>
    <row r="131" spans="1:13" ht="6" customHeight="1"/>
    <row r="132" spans="1:13" ht="16.25" customHeight="1">
      <c r="B132" s="38" t="s">
        <v>158</v>
      </c>
      <c r="C132" s="167"/>
      <c r="D132" s="167"/>
      <c r="E132" s="12"/>
      <c r="F132" s="12"/>
      <c r="G132" s="12"/>
      <c r="H132" s="12"/>
      <c r="I132" s="12"/>
      <c r="J132" s="12"/>
      <c r="K132" s="12"/>
      <c r="L132" s="13"/>
      <c r="M132" s="65"/>
    </row>
    <row r="133" spans="1:13">
      <c r="B133" s="120" t="s">
        <v>52</v>
      </c>
      <c r="C133" s="55">
        <f>+C116+C125</f>
        <v>357.82233973861457</v>
      </c>
      <c r="D133" s="96" t="str">
        <f>CONCATENATE("   =   [ ",ROUND(C116,2)," pounds + ",ROUND(C125,2)," pounds ]")</f>
        <v xml:space="preserve">   =   [ 186.37 pounds + 171.45 pounds ]</v>
      </c>
      <c r="E133" s="37"/>
      <c r="F133" s="55"/>
      <c r="G133" s="37"/>
      <c r="I133" s="46"/>
      <c r="J133" s="46"/>
      <c r="K133" s="49"/>
      <c r="M133" s="51"/>
    </row>
    <row r="134" spans="1:13">
      <c r="B134" s="149" t="s">
        <v>53</v>
      </c>
      <c r="C134" s="54">
        <f>+C117+C126</f>
        <v>120.10796992769428</v>
      </c>
      <c r="D134" s="74" t="str">
        <f>CONCATENATE("   =   [ ",ROUND(C117,2)," pounds + ",ROUND(C126,2)," pounds ]")</f>
        <v xml:space="preserve">   =   [ 94.92 pounds + 25.19 pounds ]</v>
      </c>
      <c r="E134" s="36"/>
      <c r="F134" s="54"/>
      <c r="G134" s="36"/>
      <c r="I134" s="46"/>
      <c r="J134" s="46"/>
      <c r="K134" s="49"/>
      <c r="M134" s="51"/>
    </row>
    <row r="135" spans="1:13">
      <c r="B135" s="120" t="s">
        <v>54</v>
      </c>
      <c r="C135" s="55">
        <f>+C118+C127</f>
        <v>49.477975554685671</v>
      </c>
      <c r="D135" s="96" t="str">
        <f>CONCATENATE("   =   [ ",ROUND(C118,2)," pounds + ",ROUND(C127,2)," pounds ]")</f>
        <v xml:space="preserve">   =   [ 42.7 pounds + 6.77 pounds ]</v>
      </c>
      <c r="E135" s="37"/>
      <c r="F135" s="55"/>
      <c r="G135" s="37"/>
      <c r="I135" s="46"/>
      <c r="J135" s="46"/>
      <c r="K135" s="49"/>
      <c r="M135" s="51"/>
    </row>
    <row r="136" spans="1:13" ht="7.25" customHeight="1">
      <c r="M136" s="50"/>
    </row>
    <row r="139" spans="1:13">
      <c r="A139" s="1" t="s">
        <v>177</v>
      </c>
    </row>
    <row r="140" spans="1:13" ht="6" customHeight="1"/>
    <row r="141" spans="1:13">
      <c r="A141" s="1" t="str">
        <f>CONCATENATE("Watershed: ",'MMW Output'!$B$3)</f>
        <v>Watershed: User Specified</v>
      </c>
    </row>
    <row r="142" spans="1:13" ht="6" customHeight="1"/>
    <row r="143" spans="1:13">
      <c r="A143" s="1" t="str">
        <f>CONCATENATE("Year: ",'MMW Output'!$C$16)</f>
        <v>Year: User Specified</v>
      </c>
    </row>
    <row r="145" spans="1:7" ht="28.25" customHeight="1">
      <c r="A145" s="403" t="s">
        <v>139</v>
      </c>
      <c r="B145" s="403"/>
      <c r="C145" s="403"/>
      <c r="D145" s="403"/>
      <c r="E145" s="403"/>
      <c r="F145" s="403"/>
      <c r="G145" s="403"/>
    </row>
    <row r="146" spans="1:7" ht="8.5" customHeight="1"/>
    <row r="147" spans="1:7" ht="53.5" customHeight="1">
      <c r="A147" s="419" t="s">
        <v>162</v>
      </c>
      <c r="B147" s="419"/>
      <c r="C147" s="231" t="s">
        <v>50</v>
      </c>
      <c r="D147" s="168" t="s">
        <v>70</v>
      </c>
      <c r="E147" s="418" t="s">
        <v>161</v>
      </c>
      <c r="F147" s="418"/>
    </row>
    <row r="148" spans="1:7">
      <c r="B148" s="169" t="s">
        <v>52</v>
      </c>
      <c r="C148" s="55">
        <f>+C133</f>
        <v>357.82233973861457</v>
      </c>
      <c r="D148" s="55">
        <f>+C53</f>
        <v>2000</v>
      </c>
      <c r="E148" s="218">
        <f>+C148/D148</f>
        <v>0.17891116986930727</v>
      </c>
      <c r="F148" s="96" t="str">
        <f>CONCATENATE("= [",ROUND(C148,2)," lbs / ",(ROUND(D148,2))," acres ]")</f>
        <v>= [357.82 lbs / 2000 acres ]</v>
      </c>
      <c r="G148" s="37"/>
    </row>
    <row r="149" spans="1:7">
      <c r="B149" s="170" t="s">
        <v>53</v>
      </c>
      <c r="C149" s="54">
        <f>+C134</f>
        <v>120.10796992769428</v>
      </c>
      <c r="D149" s="54">
        <f>+C54</f>
        <v>293.82716049382714</v>
      </c>
      <c r="E149" s="219">
        <f>+C149/D149</f>
        <v>0.40877082202282511</v>
      </c>
      <c r="F149" s="74" t="str">
        <f>CONCATENATE("= [",ROUND(C149,2)," lbs / ",(ROUND(D149,2))," acres ]")</f>
        <v>= [120.11 lbs / 293.83 acres ]</v>
      </c>
      <c r="G149" s="36"/>
    </row>
    <row r="150" spans="1:7">
      <c r="B150" s="169" t="s">
        <v>54</v>
      </c>
      <c r="C150" s="55">
        <f>+C135</f>
        <v>49.477975554685671</v>
      </c>
      <c r="D150" s="55">
        <f>+C55</f>
        <v>79.012345679012341</v>
      </c>
      <c r="E150" s="218">
        <f>+C150/D150</f>
        <v>0.6262056281139905</v>
      </c>
      <c r="F150" s="96" t="str">
        <f>CONCATENATE("= [",ROUND(C150,2)," lbs / ",(ROUND(D150,2))," acres ]")</f>
        <v>= [49.48 lbs / 79.01 acres ]</v>
      </c>
      <c r="G150" s="37"/>
    </row>
    <row r="151" spans="1:7" ht="6" customHeight="1"/>
    <row r="152" spans="1:7" ht="7.25" customHeight="1"/>
    <row r="154" spans="1:7">
      <c r="A154" s="1" t="s">
        <v>140</v>
      </c>
    </row>
    <row r="155" spans="1:7" ht="6" customHeight="1"/>
    <row r="156" spans="1:7">
      <c r="B156" s="1" t="s">
        <v>60</v>
      </c>
      <c r="C156" s="101">
        <f>+C36</f>
        <v>813.64499999999998</v>
      </c>
      <c r="D156" s="1" t="s">
        <v>130</v>
      </c>
      <c r="E156" s="48" t="s">
        <v>89</v>
      </c>
    </row>
    <row r="157" spans="1:7" ht="29.5" customHeight="1">
      <c r="B157" s="238" t="s">
        <v>159</v>
      </c>
      <c r="C157" s="104">
        <f>+C70</f>
        <v>527.40828522099446</v>
      </c>
      <c r="D157" s="45" t="s">
        <v>130</v>
      </c>
      <c r="E157" s="48" t="s">
        <v>90</v>
      </c>
    </row>
    <row r="158" spans="1:7" ht="26">
      <c r="B158" s="9" t="s">
        <v>61</v>
      </c>
      <c r="C158" s="100">
        <f>+C156-C157</f>
        <v>286.23671477900552</v>
      </c>
      <c r="D158" s="1" t="s">
        <v>130</v>
      </c>
      <c r="E158" s="171" t="str">
        <f>CONCATENATE(" [ ",ROUND(C156,2)," pounds - ",ROUND(C157,2)," pounds ]")</f>
        <v xml:space="preserve"> [ 813.65 pounds - 527.41 pounds ]</v>
      </c>
    </row>
    <row r="159" spans="1:7" ht="8.5" customHeight="1"/>
    <row r="160" spans="1:7">
      <c r="B160" s="1" t="s">
        <v>62</v>
      </c>
      <c r="C160" s="103">
        <f>+C41-C56</f>
        <v>2096.2962962962956</v>
      </c>
      <c r="D160" s="1" t="s">
        <v>137</v>
      </c>
      <c r="E160" s="48" t="s">
        <v>91</v>
      </c>
    </row>
    <row r="161" spans="1:7" ht="9" customHeight="1"/>
    <row r="162" spans="1:7" ht="39">
      <c r="B162" s="68" t="s">
        <v>160</v>
      </c>
      <c r="C162" s="89">
        <f>+C158/C160</f>
        <v>0.13654401588397794</v>
      </c>
      <c r="D162" s="68" t="s">
        <v>63</v>
      </c>
      <c r="E162" s="1" t="str">
        <f>CONCATENATE("=  [ ",ROUND(C158,2)," pounds / ",ROUND(C160,2)," acres ]")</f>
        <v>=  [ 286.24 pounds / 2096.3 acres ]</v>
      </c>
    </row>
    <row r="163" spans="1:7" ht="8" customHeight="1"/>
    <row r="165" spans="1:7" ht="51" customHeight="1">
      <c r="A165" s="403" t="s">
        <v>186</v>
      </c>
      <c r="B165" s="403"/>
      <c r="C165" s="403"/>
      <c r="D165" s="403"/>
      <c r="E165" s="403"/>
      <c r="F165" s="403"/>
      <c r="G165" s="403"/>
    </row>
  </sheetData>
  <mergeCells count="25">
    <mergeCell ref="A165:G165"/>
    <mergeCell ref="D125:G125"/>
    <mergeCell ref="D126:G126"/>
    <mergeCell ref="D127:G127"/>
    <mergeCell ref="A130:G130"/>
    <mergeCell ref="A145:G145"/>
    <mergeCell ref="A147:B147"/>
    <mergeCell ref="E147:F147"/>
    <mergeCell ref="A122:G122"/>
    <mergeCell ref="A39:G39"/>
    <mergeCell ref="A50:G50"/>
    <mergeCell ref="A73:G73"/>
    <mergeCell ref="A81:G81"/>
    <mergeCell ref="A105:G105"/>
    <mergeCell ref="A112:G112"/>
    <mergeCell ref="A113:G113"/>
    <mergeCell ref="D116:G116"/>
    <mergeCell ref="D117:G117"/>
    <mergeCell ref="D118:G118"/>
    <mergeCell ref="A121:G121"/>
    <mergeCell ref="A7:F7"/>
    <mergeCell ref="A8:G8"/>
    <mergeCell ref="A11:G11"/>
    <mergeCell ref="A14:A29"/>
    <mergeCell ref="A33:G33"/>
  </mergeCells>
  <phoneticPr fontId="47" type="noConversion"/>
  <pageMargins left="0.75" right="0.59718749999999998" top="0.5" bottom="0.75" header="0.3" footer="0.3"/>
  <pageSetup fitToWidth="0" fitToHeight="0" orientation="portrait" r:id="rId1"/>
  <headerFooter>
    <oddFooter>&amp;L&amp;"Arial,Regular"&amp;9Section 7: Backup for Stream Bank Total Nitrogen L'ding&amp;C&amp;"Arial,Regular"&amp;9Page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65"/>
  <sheetViews>
    <sheetView zoomScale="120" zoomScaleNormal="120" zoomScaleSheetLayoutView="80" workbookViewId="0">
      <selection activeCell="H1" sqref="H1"/>
    </sheetView>
  </sheetViews>
  <sheetFormatPr baseColWidth="10" defaultColWidth="8.83203125" defaultRowHeight="13"/>
  <cols>
    <col min="1" max="1" width="2.6640625" style="1" customWidth="1"/>
    <col min="2" max="2" width="25" style="1" customWidth="1"/>
    <col min="3" max="3" width="16.33203125" style="1" customWidth="1"/>
    <col min="4" max="4" width="9.83203125" style="1" customWidth="1"/>
    <col min="5" max="5" width="9.5" style="1" customWidth="1"/>
    <col min="6" max="6" width="9.83203125" style="1" customWidth="1"/>
    <col min="7" max="7" width="16.5" style="1" customWidth="1"/>
    <col min="8" max="8" width="5" style="1" customWidth="1"/>
    <col min="9" max="9" width="10.5" style="1" customWidth="1"/>
    <col min="10" max="10" width="8.83203125" style="1"/>
    <col min="11" max="11" width="10.1640625" style="1" bestFit="1" customWidth="1"/>
    <col min="12" max="12" width="3.5" style="1" customWidth="1"/>
    <col min="13" max="16384" width="8.83203125" style="1"/>
  </cols>
  <sheetData>
    <row r="1" spans="1:11" ht="14.5" customHeight="1">
      <c r="A1" s="215" t="s">
        <v>231</v>
      </c>
      <c r="B1" s="52"/>
    </row>
    <row r="2" spans="1:11" ht="6" customHeight="1"/>
    <row r="3" spans="1:11" ht="14.5" customHeight="1">
      <c r="A3" s="1" t="str">
        <f>CONCATENATE("Watershed: ",'MMW Output'!$B$3)</f>
        <v>Watershed: User Specified</v>
      </c>
    </row>
    <row r="4" spans="1:11" ht="6" customHeight="1"/>
    <row r="5" spans="1:11" ht="14.5" customHeight="1">
      <c r="A5" s="1" t="str">
        <f>CONCATENATE("Year: ",'MMW Output'!$C$16)</f>
        <v>Year: User Specified</v>
      </c>
    </row>
    <row r="6" spans="1:11" ht="11.5" customHeight="1"/>
    <row r="7" spans="1:11" ht="18.75" customHeight="1">
      <c r="A7" s="406" t="s">
        <v>248</v>
      </c>
      <c r="B7" s="406"/>
      <c r="C7" s="406"/>
      <c r="D7" s="406"/>
      <c r="E7" s="406"/>
      <c r="F7" s="406"/>
    </row>
    <row r="8" spans="1:11" ht="95" customHeight="1">
      <c r="A8" s="403" t="s">
        <v>249</v>
      </c>
      <c r="B8" s="403"/>
      <c r="C8" s="403"/>
      <c r="D8" s="403"/>
      <c r="E8" s="403"/>
      <c r="F8" s="403"/>
      <c r="G8" s="403"/>
    </row>
    <row r="9" spans="1:11" ht="8.5" customHeight="1"/>
    <row r="10" spans="1:11" ht="8.5" customHeight="1"/>
    <row r="11" spans="1:11" ht="27.5" customHeight="1">
      <c r="A11" s="403" t="s">
        <v>149</v>
      </c>
      <c r="B11" s="403"/>
      <c r="C11" s="403"/>
      <c r="D11" s="403"/>
      <c r="E11" s="403"/>
      <c r="F11" s="403"/>
      <c r="G11" s="403"/>
    </row>
    <row r="12" spans="1:11" ht="6" customHeight="1"/>
    <row r="13" spans="1:11">
      <c r="B13" s="57" t="s">
        <v>0</v>
      </c>
      <c r="C13" s="58" t="s">
        <v>51</v>
      </c>
      <c r="E13" s="237"/>
      <c r="F13" s="237"/>
      <c r="G13" s="237"/>
      <c r="K13" s="75"/>
    </row>
    <row r="14" spans="1:11" ht="13.25" customHeight="1">
      <c r="A14" s="429" t="s">
        <v>39</v>
      </c>
      <c r="B14" s="256" t="s">
        <v>71</v>
      </c>
      <c r="C14" s="257">
        <f>+'MMW Output'!C22</f>
        <v>1180.2469135802469</v>
      </c>
    </row>
    <row r="15" spans="1:11" ht="13.25" customHeight="1">
      <c r="A15" s="430"/>
      <c r="B15" s="258" t="s">
        <v>10</v>
      </c>
      <c r="C15" s="259">
        <f>+'MMW Output'!C23</f>
        <v>323.45679012345676</v>
      </c>
    </row>
    <row r="16" spans="1:11" ht="13.25" customHeight="1">
      <c r="A16" s="430"/>
      <c r="B16" s="260" t="s">
        <v>11</v>
      </c>
      <c r="C16" s="261">
        <f>+'MMW Output'!C24</f>
        <v>417.28395061728395</v>
      </c>
    </row>
    <row r="17" spans="1:3" ht="13.25" customHeight="1">
      <c r="A17" s="430"/>
      <c r="B17" s="258" t="s">
        <v>12</v>
      </c>
      <c r="C17" s="259">
        <f>+'MMW Output'!C25</f>
        <v>14.814814814814813</v>
      </c>
    </row>
    <row r="18" spans="1:3" ht="13.25" customHeight="1">
      <c r="A18" s="430"/>
      <c r="B18" s="260" t="s">
        <v>13</v>
      </c>
      <c r="C18" s="261">
        <f>+'MMW Output'!C26</f>
        <v>0</v>
      </c>
    </row>
    <row r="19" spans="1:3" ht="13.25" customHeight="1">
      <c r="A19" s="430"/>
      <c r="B19" s="258" t="s">
        <v>14</v>
      </c>
      <c r="C19" s="259">
        <f>+'MMW Output'!C27</f>
        <v>0</v>
      </c>
    </row>
    <row r="20" spans="1:3" ht="13.25" customHeight="1">
      <c r="A20" s="430"/>
      <c r="B20" s="260" t="s">
        <v>15</v>
      </c>
      <c r="C20" s="261">
        <f>+'MMW Output'!C28</f>
        <v>111.1111111111111</v>
      </c>
    </row>
    <row r="21" spans="1:3" ht="13.25" customHeight="1">
      <c r="A21" s="430"/>
      <c r="B21" s="258" t="s">
        <v>16</v>
      </c>
      <c r="C21" s="259">
        <f>+'MMW Output'!C29</f>
        <v>49.382716049382715</v>
      </c>
    </row>
    <row r="22" spans="1:3" ht="13.25" customHeight="1">
      <c r="A22" s="430"/>
      <c r="B22" s="260" t="s">
        <v>17</v>
      </c>
      <c r="C22" s="261">
        <f>+'MMW Output'!C30</f>
        <v>0</v>
      </c>
    </row>
    <row r="23" spans="1:3" ht="13.25" customHeight="1">
      <c r="A23" s="430"/>
      <c r="B23" s="258" t="s">
        <v>18</v>
      </c>
      <c r="C23" s="259">
        <f>+'MMW Output'!C31</f>
        <v>0</v>
      </c>
    </row>
    <row r="24" spans="1:3" ht="13.25" customHeight="1">
      <c r="A24" s="430"/>
      <c r="B24" s="260" t="s">
        <v>19</v>
      </c>
      <c r="C24" s="261">
        <f>+'MMW Output'!C32</f>
        <v>2000</v>
      </c>
    </row>
    <row r="25" spans="1:3" ht="13.25" customHeight="1">
      <c r="A25" s="430"/>
      <c r="B25" s="258" t="s">
        <v>20</v>
      </c>
      <c r="C25" s="259">
        <f>+'MMW Output'!C33</f>
        <v>293.82716049382714</v>
      </c>
    </row>
    <row r="26" spans="1:3" ht="13.25" customHeight="1">
      <c r="A26" s="430"/>
      <c r="B26" s="260" t="s">
        <v>21</v>
      </c>
      <c r="C26" s="261">
        <f>+'MMW Output'!C34</f>
        <v>79.012345679012341</v>
      </c>
    </row>
    <row r="27" spans="1:3" ht="13.25" customHeight="1">
      <c r="A27" s="430"/>
      <c r="B27" s="258" t="s">
        <v>22</v>
      </c>
      <c r="C27" s="259">
        <f>+'MMW Output'!C35</f>
        <v>0</v>
      </c>
    </row>
    <row r="28" spans="1:3" ht="13.25" customHeight="1">
      <c r="A28" s="430"/>
      <c r="B28" s="260" t="s">
        <v>23</v>
      </c>
      <c r="C28" s="261">
        <f>+'MMW Output'!C36</f>
        <v>0</v>
      </c>
    </row>
    <row r="29" spans="1:3" ht="13.25" customHeight="1">
      <c r="A29" s="431"/>
      <c r="B29" s="262" t="s">
        <v>24</v>
      </c>
      <c r="C29" s="263">
        <f>+'MMW Output'!C37</f>
        <v>0</v>
      </c>
    </row>
    <row r="30" spans="1:3" ht="6" customHeight="1">
      <c r="C30" s="147"/>
    </row>
    <row r="31" spans="1:3" ht="15.5" customHeight="1">
      <c r="B31" s="38" t="s">
        <v>144</v>
      </c>
      <c r="C31" s="148">
        <f>SUM(C14:C30)</f>
        <v>4469.1358024691353</v>
      </c>
    </row>
    <row r="32" spans="1:3" ht="17" customHeight="1"/>
    <row r="33" spans="1:7">
      <c r="A33" s="403" t="s">
        <v>163</v>
      </c>
      <c r="B33" s="403"/>
      <c r="C33" s="403"/>
      <c r="D33" s="403"/>
      <c r="E33" s="403"/>
      <c r="F33" s="403"/>
      <c r="G33" s="403"/>
    </row>
    <row r="34" spans="1:7" ht="6" customHeight="1">
      <c r="B34" s="42"/>
      <c r="C34" s="43"/>
      <c r="D34" s="40"/>
    </row>
    <row r="35" spans="1:7">
      <c r="B35" s="45"/>
      <c r="C35" s="53" t="s">
        <v>164</v>
      </c>
      <c r="D35" s="53"/>
    </row>
    <row r="36" spans="1:7">
      <c r="B36" s="55" t="s">
        <v>28</v>
      </c>
      <c r="C36" s="55">
        <f>+'MMW Output'!F40</f>
        <v>476.28000000000003</v>
      </c>
      <c r="D36" s="55" t="s">
        <v>50</v>
      </c>
    </row>
    <row r="37" spans="1:7" ht="6" customHeight="1">
      <c r="B37" s="42"/>
      <c r="D37" s="40"/>
    </row>
    <row r="38" spans="1:7" ht="17" customHeight="1">
      <c r="B38" s="42"/>
      <c r="C38" s="43"/>
      <c r="D38" s="40"/>
    </row>
    <row r="39" spans="1:7">
      <c r="A39" s="403" t="str">
        <f>CONCATENATE("Step 3. Sum the total acres in the ", 'MMW Output'!C15," watershed.")</f>
        <v>Step 3. Sum the total acres in the User Specified watershed.</v>
      </c>
      <c r="B39" s="403"/>
      <c r="C39" s="403"/>
      <c r="D39" s="403"/>
      <c r="E39" s="403"/>
      <c r="F39" s="403"/>
      <c r="G39" s="403"/>
    </row>
    <row r="40" spans="1:7" ht="6" customHeight="1">
      <c r="A40" s="236"/>
      <c r="B40" s="236"/>
      <c r="C40" s="236"/>
      <c r="D40" s="236"/>
      <c r="E40" s="236"/>
      <c r="F40" s="236"/>
      <c r="G40" s="236"/>
    </row>
    <row r="41" spans="1:7">
      <c r="B41" s="59" t="s">
        <v>118</v>
      </c>
      <c r="C41" s="97">
        <f>SUM(C14:C30)</f>
        <v>4469.1358024691353</v>
      </c>
      <c r="D41" s="56" t="s">
        <v>32</v>
      </c>
    </row>
    <row r="42" spans="1:7" ht="6" customHeight="1">
      <c r="B42" s="42"/>
      <c r="C42" s="43"/>
      <c r="D42" s="40"/>
    </row>
    <row r="43" spans="1:7" ht="4.25" customHeight="1">
      <c r="B43" s="42"/>
      <c r="C43" s="43"/>
      <c r="D43" s="40"/>
    </row>
    <row r="44" spans="1:7" ht="14.5" customHeight="1">
      <c r="A44" s="1" t="s">
        <v>174</v>
      </c>
      <c r="B44" s="42"/>
      <c r="C44" s="43"/>
      <c r="D44" s="40"/>
    </row>
    <row r="45" spans="1:7" ht="6" customHeight="1">
      <c r="B45" s="42"/>
      <c r="C45" s="43"/>
      <c r="D45" s="40"/>
    </row>
    <row r="46" spans="1:7" ht="14" customHeight="1">
      <c r="A46" s="1" t="str">
        <f>CONCATENATE("Watershed: ",'MMW Output'!$B$3)</f>
        <v>Watershed: User Specified</v>
      </c>
      <c r="B46" s="42"/>
      <c r="C46" s="43"/>
      <c r="D46" s="40"/>
    </row>
    <row r="47" spans="1:7" ht="6" customHeight="1">
      <c r="B47" s="42"/>
      <c r="C47" s="43"/>
      <c r="D47" s="40"/>
    </row>
    <row r="48" spans="1:7" ht="14" customHeight="1">
      <c r="A48" s="1" t="str">
        <f>CONCATENATE("Year: ",'MMW Output'!$C$16)</f>
        <v>Year: User Specified</v>
      </c>
      <c r="B48" s="42"/>
      <c r="C48" s="43"/>
      <c r="D48" s="40"/>
    </row>
    <row r="49" spans="1:7" ht="11" customHeight="1">
      <c r="B49" s="42"/>
      <c r="C49" s="43"/>
      <c r="D49" s="40"/>
    </row>
    <row r="50" spans="1:7" ht="51" customHeight="1">
      <c r="A50" s="403" t="s">
        <v>185</v>
      </c>
      <c r="B50" s="403"/>
      <c r="C50" s="403"/>
      <c r="D50" s="403"/>
      <c r="E50" s="403"/>
      <c r="F50" s="403"/>
      <c r="G50" s="403"/>
    </row>
    <row r="51" spans="1:7" ht="6" customHeight="1">
      <c r="C51" s="41"/>
    </row>
    <row r="52" spans="1:7">
      <c r="B52" s="44" t="s">
        <v>68</v>
      </c>
      <c r="C52" s="66" t="s">
        <v>32</v>
      </c>
      <c r="D52" s="66" t="s">
        <v>69</v>
      </c>
    </row>
    <row r="53" spans="1:7">
      <c r="B53" s="120" t="s">
        <v>52</v>
      </c>
      <c r="C53" s="160">
        <f>+C24+C27</f>
        <v>2000</v>
      </c>
      <c r="D53" s="156">
        <f>+C53/C$56</f>
        <v>0.84287200832466169</v>
      </c>
      <c r="E53" s="71" t="s">
        <v>84</v>
      </c>
      <c r="F53" s="55"/>
      <c r="G53" s="37"/>
    </row>
    <row r="54" spans="1:7">
      <c r="B54" s="149" t="s">
        <v>53</v>
      </c>
      <c r="C54" s="161">
        <f>+C25+C28</f>
        <v>293.82716049382714</v>
      </c>
      <c r="D54" s="157">
        <f>+C54/C$56</f>
        <v>0.12382934443288239</v>
      </c>
      <c r="E54" s="73" t="s">
        <v>85</v>
      </c>
      <c r="F54" s="54"/>
      <c r="G54" s="36"/>
    </row>
    <row r="55" spans="1:7" ht="14" thickBot="1">
      <c r="B55" s="150" t="s">
        <v>54</v>
      </c>
      <c r="C55" s="164">
        <f>+C26+C29</f>
        <v>79.012345679012341</v>
      </c>
      <c r="D55" s="177">
        <f>+C55/C$56</f>
        <v>3.3298647242455771E-2</v>
      </c>
      <c r="E55" s="71" t="s">
        <v>86</v>
      </c>
      <c r="F55" s="55"/>
      <c r="G55" s="37"/>
    </row>
    <row r="56" spans="1:7">
      <c r="B56" s="56" t="s">
        <v>55</v>
      </c>
      <c r="C56" s="176">
        <f>+C53+C54+C55</f>
        <v>2372.8395061728397</v>
      </c>
      <c r="D56" s="178">
        <f>+C56/C$56</f>
        <v>1</v>
      </c>
      <c r="E56" s="48" t="s">
        <v>87</v>
      </c>
    </row>
    <row r="57" spans="1:7" ht="6.5" customHeight="1"/>
    <row r="59" spans="1:7">
      <c r="A59" s="1" t="s">
        <v>173</v>
      </c>
    </row>
    <row r="60" spans="1:7">
      <c r="B60" s="1" t="s">
        <v>320</v>
      </c>
    </row>
    <row r="61" spans="1:7">
      <c r="B61" s="1" t="s">
        <v>321</v>
      </c>
    </row>
    <row r="62" spans="1:7" ht="8" customHeight="1"/>
    <row r="63" spans="1:7">
      <c r="B63" s="1" t="s">
        <v>172</v>
      </c>
      <c r="C63" s="99">
        <f>C36</f>
        <v>476.28000000000003</v>
      </c>
      <c r="D63" s="1" t="s">
        <v>50</v>
      </c>
      <c r="E63" s="48" t="s">
        <v>66</v>
      </c>
    </row>
    <row r="64" spans="1:7">
      <c r="B64" s="1" t="s">
        <v>59</v>
      </c>
      <c r="C64" s="98">
        <f>+C56</f>
        <v>2372.8395061728397</v>
      </c>
      <c r="D64" s="1" t="s">
        <v>32</v>
      </c>
      <c r="E64" s="48" t="s">
        <v>65</v>
      </c>
    </row>
    <row r="65" spans="1:7" ht="13.25" customHeight="1">
      <c r="B65" s="1" t="s">
        <v>118</v>
      </c>
      <c r="C65" s="98">
        <f>+C41</f>
        <v>4469.1358024691353</v>
      </c>
      <c r="D65" s="1" t="s">
        <v>32</v>
      </c>
      <c r="E65" s="48" t="s">
        <v>67</v>
      </c>
    </row>
    <row r="66" spans="1:7" ht="25.25" customHeight="1">
      <c r="B66" s="151" t="s">
        <v>101</v>
      </c>
      <c r="C66" s="47">
        <f>+C64/C65</f>
        <v>0.53093922651933712</v>
      </c>
      <c r="D66" s="48" t="s">
        <v>121</v>
      </c>
      <c r="E66" s="1" t="str">
        <f>CONCATENATE("[ ",ROUND(C64,2)," acres / ",ROUND(C65,2)," acres ]")</f>
        <v>[ 2372.84 acres / 4469.14 acres ]</v>
      </c>
    </row>
    <row r="67" spans="1:7" ht="7.25" customHeight="1"/>
    <row r="68" spans="1:7" ht="42" customHeight="1">
      <c r="A68" s="61"/>
      <c r="B68" s="9" t="s">
        <v>328</v>
      </c>
      <c r="C68" s="101">
        <f>+C63*C66*0.75</f>
        <v>189.65680110497243</v>
      </c>
      <c r="D68" s="1" t="s">
        <v>122</v>
      </c>
      <c r="E68" s="1" t="str">
        <f>CONCATENATE("[ 75% x ",ROUND(C63,2)," pounds x ",ROUND(C66*100,0),"% ]")</f>
        <v>[ 75% x 476.28 pounds x 53% ]</v>
      </c>
    </row>
    <row r="69" spans="1:7" ht="27" thickBot="1">
      <c r="A69" s="61"/>
      <c r="B69" s="152" t="s">
        <v>329</v>
      </c>
      <c r="C69" s="153">
        <f>+C63*0.25</f>
        <v>119.07000000000001</v>
      </c>
      <c r="D69" s="154" t="s">
        <v>122</v>
      </c>
      <c r="E69" s="1" t="str">
        <f>CONCATENATE("[ 25% x ",ROUND(C63,2)," pounds ]")</f>
        <v>[ 25% x 476.28 pounds ]</v>
      </c>
    </row>
    <row r="70" spans="1:7" ht="29" customHeight="1">
      <c r="B70" s="155" t="s">
        <v>97</v>
      </c>
      <c r="C70" s="102">
        <f>+C69+C68</f>
        <v>308.72680110497242</v>
      </c>
      <c r="D70" s="62" t="s">
        <v>50</v>
      </c>
    </row>
    <row r="71" spans="1:7" ht="6.5" customHeight="1"/>
    <row r="72" spans="1:7" ht="8.5" customHeight="1"/>
    <row r="73" spans="1:7" ht="42" customHeight="1">
      <c r="A73" s="403" t="s">
        <v>165</v>
      </c>
      <c r="B73" s="403"/>
      <c r="C73" s="403"/>
      <c r="D73" s="403"/>
      <c r="E73" s="403"/>
      <c r="F73" s="403"/>
      <c r="G73" s="403"/>
    </row>
    <row r="74" spans="1:7" ht="6" customHeight="1"/>
    <row r="75" spans="1:7">
      <c r="B75" s="38" t="s">
        <v>123</v>
      </c>
    </row>
    <row r="76" spans="1:7" ht="12.75" customHeight="1">
      <c r="B76" s="120" t="s">
        <v>52</v>
      </c>
      <c r="C76" s="158">
        <v>0.15</v>
      </c>
    </row>
    <row r="77" spans="1:7">
      <c r="B77" s="149" t="s">
        <v>53</v>
      </c>
      <c r="C77" s="159">
        <v>0.52</v>
      </c>
    </row>
    <row r="78" spans="1:7">
      <c r="B78" s="120" t="s">
        <v>54</v>
      </c>
      <c r="C78" s="158">
        <v>0.87</v>
      </c>
    </row>
    <row r="79" spans="1:7" ht="6" customHeight="1"/>
    <row r="80" spans="1:7" ht="11.5" customHeight="1"/>
    <row r="81" spans="1:7" ht="24.5" customHeight="1">
      <c r="A81" s="403" t="s">
        <v>127</v>
      </c>
      <c r="B81" s="403"/>
      <c r="C81" s="403"/>
      <c r="D81" s="403"/>
      <c r="E81" s="403"/>
      <c r="F81" s="403"/>
      <c r="G81" s="403"/>
    </row>
    <row r="82" spans="1:7" ht="6" customHeight="1"/>
    <row r="83" spans="1:7">
      <c r="B83" s="38" t="s">
        <v>56</v>
      </c>
    </row>
    <row r="84" spans="1:7">
      <c r="B84" s="96" t="s">
        <v>52</v>
      </c>
      <c r="C84" s="160">
        <f>+C53*C76</f>
        <v>300</v>
      </c>
      <c r="D84" s="55" t="s">
        <v>125</v>
      </c>
      <c r="E84" s="179" t="str">
        <f>CONCATENATE(" [ ",ROUND(C53,2)," acres x ",C76*100," percent ]")</f>
        <v xml:space="preserve"> [ 2000 acres x 15 percent ]</v>
      </c>
      <c r="F84" s="55"/>
      <c r="G84" s="37"/>
    </row>
    <row r="85" spans="1:7">
      <c r="B85" s="74" t="s">
        <v>53</v>
      </c>
      <c r="C85" s="161">
        <f>+C54*C77</f>
        <v>152.79012345679013</v>
      </c>
      <c r="D85" s="54" t="s">
        <v>125</v>
      </c>
      <c r="E85" s="180" t="str">
        <f>CONCATENATE(" [ ",ROUND(C54,2)," acres x ",C77*100," percent ]")</f>
        <v xml:space="preserve"> [ 293.83 acres x 52 percent ]</v>
      </c>
      <c r="F85" s="54"/>
      <c r="G85" s="36"/>
    </row>
    <row r="86" spans="1:7" ht="14" thickBot="1">
      <c r="B86" s="163" t="s">
        <v>54</v>
      </c>
      <c r="C86" s="164">
        <f>+C55*C78</f>
        <v>68.740740740740733</v>
      </c>
      <c r="D86" s="181" t="s">
        <v>125</v>
      </c>
      <c r="E86" s="179" t="str">
        <f>CONCATENATE(" [ ",ROUND(C55,2)," acres x ",C78*100," percent ]")</f>
        <v xml:space="preserve"> [ 79.01 acres x 87 percent ]</v>
      </c>
      <c r="F86" s="55"/>
      <c r="G86" s="37"/>
    </row>
    <row r="87" spans="1:7" ht="29" customHeight="1">
      <c r="B87" s="12" t="s">
        <v>126</v>
      </c>
      <c r="C87" s="162">
        <f>+C84+C85+C86</f>
        <v>521.53086419753083</v>
      </c>
      <c r="D87" s="1" t="s">
        <v>32</v>
      </c>
    </row>
    <row r="88" spans="1:7" ht="6" customHeight="1"/>
    <row r="90" spans="1:7">
      <c r="A90" s="1" t="s">
        <v>175</v>
      </c>
    </row>
    <row r="91" spans="1:7" ht="6" customHeight="1"/>
    <row r="92" spans="1:7">
      <c r="A92" s="1" t="str">
        <f>CONCATENATE("Watershed: ",'MMW Output'!$B$3)</f>
        <v>Watershed: User Specified</v>
      </c>
    </row>
    <row r="93" spans="1:7" ht="6" customHeight="1"/>
    <row r="94" spans="1:7">
      <c r="A94" s="1" t="str">
        <f>CONCATENATE("Year: ",'MMW Output'!$C$16)</f>
        <v>Year: User Specified</v>
      </c>
    </row>
    <row r="96" spans="1:7">
      <c r="A96" s="1" t="s">
        <v>128</v>
      </c>
    </row>
    <row r="97" spans="1:7" ht="6" customHeight="1"/>
    <row r="98" spans="1:7">
      <c r="B98" s="38" t="s">
        <v>57</v>
      </c>
    </row>
    <row r="99" spans="1:7">
      <c r="B99" s="120" t="s">
        <v>52</v>
      </c>
      <c r="C99" s="158">
        <f>+C84/(C$84+C$85+C$86)</f>
        <v>0.57522961840734788</v>
      </c>
      <c r="D99" s="165" t="s">
        <v>129</v>
      </c>
      <c r="E99" s="179" t="str">
        <f>CONCATENATE(" [ ",ROUND(C84,2)," acres / ",ROUND(C87,2)," acres ]")</f>
        <v xml:space="preserve"> [ 300 acres / 521.53 acres ]</v>
      </c>
      <c r="F99" s="55"/>
      <c r="G99" s="37"/>
    </row>
    <row r="100" spans="1:7">
      <c r="B100" s="149" t="s">
        <v>53</v>
      </c>
      <c r="C100" s="159">
        <f>+C85/(C$84+C$85+C$86)</f>
        <v>0.29296468137486981</v>
      </c>
      <c r="D100" s="166" t="s">
        <v>129</v>
      </c>
      <c r="E100" s="180" t="str">
        <f>CONCATENATE(" [ ",ROUND(C85,2)," acres / ",ROUND(C87,2)," acres ]")</f>
        <v xml:space="preserve"> [ 152.79 acres / 521.53 acres ]</v>
      </c>
      <c r="F100" s="54"/>
      <c r="G100" s="36"/>
    </row>
    <row r="101" spans="1:7" ht="14" thickBot="1">
      <c r="B101" s="150" t="s">
        <v>54</v>
      </c>
      <c r="C101" s="182">
        <f>+C86/(C$84+C$85+C$86)</f>
        <v>0.1318057002177824</v>
      </c>
      <c r="D101" s="165" t="s">
        <v>129</v>
      </c>
      <c r="E101" s="179" t="str">
        <f>CONCATENATE(" [ ",ROUND(C86,2)," acres / ",ROUND(C87,2)," acres ]")</f>
        <v xml:space="preserve"> [ 68.74 acres / 521.53 acres ]</v>
      </c>
      <c r="F101" s="55"/>
      <c r="G101" s="37"/>
    </row>
    <row r="102" spans="1:7">
      <c r="B102" s="1" t="s">
        <v>55</v>
      </c>
      <c r="C102" s="183">
        <f>+C99+C100+C101</f>
        <v>1</v>
      </c>
    </row>
    <row r="103" spans="1:7" ht="7.25" customHeight="1"/>
    <row r="104" spans="1:7" ht="13.25" customHeight="1"/>
    <row r="105" spans="1:7" ht="24" customHeight="1">
      <c r="A105" s="403" t="s">
        <v>322</v>
      </c>
      <c r="B105" s="403"/>
      <c r="C105" s="403"/>
      <c r="D105" s="403"/>
      <c r="E105" s="403"/>
      <c r="F105" s="403"/>
      <c r="G105" s="403"/>
    </row>
    <row r="106" spans="1:7" ht="6" customHeight="1"/>
    <row r="107" spans="1:7" ht="25.5" customHeight="1">
      <c r="B107" s="230" t="s">
        <v>97</v>
      </c>
      <c r="C107" s="100">
        <f>+C70</f>
        <v>308.72680110497242</v>
      </c>
      <c r="D107" s="1" t="s">
        <v>130</v>
      </c>
      <c r="E107" s="48" t="s">
        <v>88</v>
      </c>
    </row>
    <row r="108" spans="1:7" ht="25.5" customHeight="1">
      <c r="B108" s="236" t="s">
        <v>311</v>
      </c>
      <c r="C108" s="101">
        <f>+C68</f>
        <v>189.65680110497243</v>
      </c>
      <c r="D108" s="1" t="s">
        <v>130</v>
      </c>
      <c r="E108" s="48" t="s">
        <v>88</v>
      </c>
    </row>
    <row r="109" spans="1:7" ht="25.5" customHeight="1">
      <c r="B109" s="236" t="s">
        <v>323</v>
      </c>
      <c r="C109" s="101">
        <f>+C69</f>
        <v>119.07000000000001</v>
      </c>
      <c r="D109" s="1" t="s">
        <v>130</v>
      </c>
      <c r="E109" s="48" t="s">
        <v>88</v>
      </c>
    </row>
    <row r="110" spans="1:7" ht="6" customHeight="1"/>
    <row r="111" spans="1:7" ht="13.25" customHeight="1"/>
    <row r="112" spans="1:7" ht="14" customHeight="1">
      <c r="A112" s="403" t="s">
        <v>145</v>
      </c>
      <c r="B112" s="403"/>
      <c r="C112" s="403"/>
      <c r="D112" s="403"/>
      <c r="E112" s="403"/>
      <c r="F112" s="403"/>
      <c r="G112" s="403"/>
    </row>
    <row r="113" spans="1:7" ht="15" customHeight="1">
      <c r="A113" s="403" t="str">
        <f>CONCATENATE("multiplying the 'Percent of Total Impervious Surfaces' (Step 8) by ",ROUND(C109,2)," pounds (calculated in Step 9):")</f>
        <v>multiplying the 'Percent of Total Impervious Surfaces' (Step 8) by 119.07 pounds (calculated in Step 9):</v>
      </c>
      <c r="B113" s="403"/>
      <c r="C113" s="403"/>
      <c r="D113" s="403"/>
      <c r="E113" s="403"/>
      <c r="F113" s="403"/>
      <c r="G113" s="403"/>
    </row>
    <row r="114" spans="1:7" ht="6" customHeight="1">
      <c r="A114" s="236"/>
      <c r="B114" s="236"/>
      <c r="C114" s="236"/>
      <c r="D114" s="236"/>
      <c r="E114" s="236"/>
      <c r="F114" s="236"/>
      <c r="G114" s="236"/>
    </row>
    <row r="115" spans="1:7" ht="16.25" customHeight="1">
      <c r="B115" s="38" t="s">
        <v>166</v>
      </c>
      <c r="C115" s="12"/>
      <c r="D115" s="12"/>
      <c r="E115" s="12"/>
      <c r="F115" s="9"/>
    </row>
    <row r="116" spans="1:7">
      <c r="B116" s="120" t="s">
        <v>52</v>
      </c>
      <c r="C116" s="83">
        <f>C99*C$109</f>
        <v>68.492590663762911</v>
      </c>
      <c r="D116" s="414" t="str">
        <f>CONCATENATE("=   [ ",ROUND(C99*100,0)," % x ",ROUND(C$109,2)," pounds ]")</f>
        <v>=   [ 58 % x 119.07 pounds ]</v>
      </c>
      <c r="E116" s="415"/>
      <c r="F116" s="415"/>
      <c r="G116" s="415"/>
    </row>
    <row r="117" spans="1:7">
      <c r="B117" s="149" t="s">
        <v>53</v>
      </c>
      <c r="C117" s="84">
        <f>C100*C$109</f>
        <v>34.883304611305753</v>
      </c>
      <c r="D117" s="416" t="str">
        <f>CONCATENATE("=   [ ",ROUND(C100*100,0)," % x ",ROUND(C$109,2)," pounds ]")</f>
        <v>=   [ 29 % x 119.07 pounds ]</v>
      </c>
      <c r="E117" s="417"/>
      <c r="F117" s="417"/>
      <c r="G117" s="417"/>
    </row>
    <row r="118" spans="1:7">
      <c r="B118" s="120" t="s">
        <v>54</v>
      </c>
      <c r="C118" s="83">
        <f>C101*C$109</f>
        <v>15.694104724931352</v>
      </c>
      <c r="D118" s="414" t="str">
        <f>CONCATENATE("=   [ ",ROUND(C101*100,0)," % x ",ROUND(C$109,2)," pounds ]")</f>
        <v>=   [ 13 % x 119.07 pounds ]</v>
      </c>
      <c r="E118" s="415"/>
      <c r="F118" s="415"/>
      <c r="G118" s="415"/>
    </row>
    <row r="119" spans="1:7" ht="6" customHeight="1">
      <c r="C119" s="50"/>
    </row>
    <row r="121" spans="1:7">
      <c r="A121" s="403" t="s">
        <v>133</v>
      </c>
      <c r="B121" s="403"/>
      <c r="C121" s="403"/>
      <c r="D121" s="403"/>
      <c r="E121" s="403"/>
      <c r="F121" s="403"/>
      <c r="G121" s="403"/>
    </row>
    <row r="122" spans="1:7">
      <c r="A122" s="403" t="str">
        <f>CONCATENATE("the 'Percent of Area of Developed Lands' (from Step 4) by ",ROUND(C108,2)," pounds (calculated in Step 9):")</f>
        <v>the 'Percent of Area of Developed Lands' (from Step 4) by 189.66 pounds (calculated in Step 9):</v>
      </c>
      <c r="B122" s="403"/>
      <c r="C122" s="403"/>
      <c r="D122" s="403"/>
      <c r="E122" s="403"/>
      <c r="F122" s="403"/>
      <c r="G122" s="403"/>
    </row>
    <row r="123" spans="1:7" ht="6" customHeight="1"/>
    <row r="124" spans="1:7" ht="17" customHeight="1">
      <c r="B124" s="38" t="s">
        <v>167</v>
      </c>
      <c r="C124" s="12"/>
      <c r="D124" s="12"/>
      <c r="E124" s="12"/>
    </row>
    <row r="125" spans="1:7">
      <c r="B125" s="120" t="s">
        <v>52</v>
      </c>
      <c r="C125" s="83">
        <f>C53/C$56*C$108</f>
        <v>159.85640883977902</v>
      </c>
      <c r="D125" s="414" t="str">
        <f>CONCATENATE("=   [ ",ROUND(D53*100,0)," % x ",ROUND(C$108,2)," pounds ]")</f>
        <v>=   [ 84 % x 189.66 pounds ]</v>
      </c>
      <c r="E125" s="415"/>
      <c r="F125" s="415"/>
      <c r="G125" s="415"/>
    </row>
    <row r="126" spans="1:7">
      <c r="B126" s="149" t="s">
        <v>53</v>
      </c>
      <c r="C126" s="84">
        <f>C54/C$56*C$108</f>
        <v>23.485077348066302</v>
      </c>
      <c r="D126" s="416" t="str">
        <f>CONCATENATE("=   [ ",ROUND(D54*100,0)," % x ",ROUND(C$108,2)," pounds ]")</f>
        <v>=   [ 12 % x 189.66 pounds ]</v>
      </c>
      <c r="E126" s="417"/>
      <c r="F126" s="417"/>
      <c r="G126" s="417"/>
    </row>
    <row r="127" spans="1:7">
      <c r="B127" s="120" t="s">
        <v>54</v>
      </c>
      <c r="C127" s="83">
        <f>C55/C$56*C$108</f>
        <v>6.3153149171270728</v>
      </c>
      <c r="D127" s="414" t="str">
        <f>CONCATENATE("=   [ ",ROUND(D55*100,0)," % x ",ROUND(C$108,2)," pounds ]  ")</f>
        <v xml:space="preserve">=   [ 3 % x 189.66 pounds ]  </v>
      </c>
      <c r="E127" s="415"/>
      <c r="F127" s="415"/>
      <c r="G127" s="415"/>
    </row>
    <row r="128" spans="1:7" ht="7.25" customHeight="1"/>
    <row r="130" spans="1:13" ht="26.5" customHeight="1">
      <c r="A130" s="403" t="s">
        <v>134</v>
      </c>
      <c r="B130" s="403"/>
      <c r="C130" s="403"/>
      <c r="D130" s="403"/>
      <c r="E130" s="403"/>
      <c r="F130" s="403"/>
      <c r="G130" s="403"/>
    </row>
    <row r="131" spans="1:13" ht="6" customHeight="1"/>
    <row r="132" spans="1:13" ht="16.25" customHeight="1">
      <c r="B132" s="38" t="s">
        <v>168</v>
      </c>
      <c r="C132" s="167"/>
      <c r="D132" s="167"/>
      <c r="E132" s="12"/>
      <c r="F132" s="12"/>
      <c r="G132" s="12"/>
      <c r="H132" s="12"/>
      <c r="I132" s="12"/>
      <c r="J132" s="12"/>
      <c r="K132" s="12"/>
      <c r="L132" s="13"/>
      <c r="M132" s="65"/>
    </row>
    <row r="133" spans="1:13">
      <c r="B133" s="120" t="s">
        <v>52</v>
      </c>
      <c r="C133" s="55">
        <f>+C116+C125</f>
        <v>228.34899950354193</v>
      </c>
      <c r="D133" s="96" t="str">
        <f>CONCATENATE("   =   [ ",ROUND(C116,2)," pounds + ",ROUND(C125,2)," pounds ]")</f>
        <v xml:space="preserve">   =   [ 68.49 pounds + 159.86 pounds ]</v>
      </c>
      <c r="E133" s="37"/>
      <c r="F133" s="55"/>
      <c r="G133" s="37"/>
      <c r="I133" s="46"/>
      <c r="J133" s="46"/>
      <c r="K133" s="49"/>
      <c r="M133" s="51"/>
    </row>
    <row r="134" spans="1:13">
      <c r="B134" s="149" t="s">
        <v>53</v>
      </c>
      <c r="C134" s="54">
        <f>+C117+C126</f>
        <v>58.368381959372059</v>
      </c>
      <c r="D134" s="74" t="str">
        <f>CONCATENATE("   =   [ ",ROUND(C117,2)," pounds + ",ROUND(C126,2)," pounds ]")</f>
        <v xml:space="preserve">   =   [ 34.88 pounds + 23.49 pounds ]</v>
      </c>
      <c r="E134" s="36"/>
      <c r="F134" s="54"/>
      <c r="G134" s="36"/>
      <c r="I134" s="46"/>
      <c r="J134" s="46"/>
      <c r="K134" s="49"/>
      <c r="M134" s="51"/>
    </row>
    <row r="135" spans="1:13">
      <c r="B135" s="120" t="s">
        <v>54</v>
      </c>
      <c r="C135" s="55">
        <f>+C118+C127</f>
        <v>22.009419642058425</v>
      </c>
      <c r="D135" s="96" t="str">
        <f>CONCATENATE("   =   [ ",ROUND(C118,2)," pounds + ",ROUND(C127,2)," pounds ]")</f>
        <v xml:space="preserve">   =   [ 15.69 pounds + 6.32 pounds ]</v>
      </c>
      <c r="E135" s="37"/>
      <c r="F135" s="55"/>
      <c r="G135" s="37"/>
      <c r="I135" s="46"/>
      <c r="J135" s="46"/>
      <c r="K135" s="49"/>
      <c r="M135" s="51"/>
    </row>
    <row r="136" spans="1:13" ht="7.25" customHeight="1">
      <c r="M136" s="50"/>
    </row>
    <row r="139" spans="1:13">
      <c r="A139" s="1" t="s">
        <v>176</v>
      </c>
    </row>
    <row r="140" spans="1:13" ht="6" customHeight="1"/>
    <row r="141" spans="1:13">
      <c r="A141" s="1" t="str">
        <f>CONCATENATE("Watershed: ",'MMW Output'!$B$3)</f>
        <v>Watershed: User Specified</v>
      </c>
    </row>
    <row r="142" spans="1:13" ht="6" customHeight="1"/>
    <row r="143" spans="1:13">
      <c r="A143" s="1" t="str">
        <f>CONCATENATE("Year: ",'MMW Output'!$C$16)</f>
        <v>Year: User Specified</v>
      </c>
    </row>
    <row r="145" spans="1:7" ht="28.25" customHeight="1">
      <c r="A145" s="403" t="s">
        <v>139</v>
      </c>
      <c r="B145" s="403"/>
      <c r="C145" s="403"/>
      <c r="D145" s="403"/>
      <c r="E145" s="403"/>
      <c r="F145" s="403"/>
      <c r="G145" s="403"/>
    </row>
    <row r="146" spans="1:7" ht="8.5" customHeight="1"/>
    <row r="147" spans="1:7" ht="53.5" customHeight="1">
      <c r="A147" s="419" t="s">
        <v>169</v>
      </c>
      <c r="B147" s="419"/>
      <c r="C147" s="231" t="s">
        <v>50</v>
      </c>
      <c r="D147" s="168" t="s">
        <v>70</v>
      </c>
      <c r="E147" s="418" t="s">
        <v>170</v>
      </c>
      <c r="F147" s="418"/>
    </row>
    <row r="148" spans="1:7">
      <c r="B148" s="169" t="s">
        <v>52</v>
      </c>
      <c r="C148" s="55">
        <f>+C133</f>
        <v>228.34899950354193</v>
      </c>
      <c r="D148" s="55">
        <f>+C53</f>
        <v>2000</v>
      </c>
      <c r="E148" s="218">
        <f>+C148/D148</f>
        <v>0.11417449975177096</v>
      </c>
      <c r="F148" s="96" t="str">
        <f>CONCATENATE("= [",ROUND(C148,2)," lbs / ",(ROUND(D148,2))," acres ]")</f>
        <v>= [228.35 lbs / 2000 acres ]</v>
      </c>
      <c r="G148" s="37"/>
    </row>
    <row r="149" spans="1:7">
      <c r="B149" s="170" t="s">
        <v>53</v>
      </c>
      <c r="C149" s="54">
        <f>+C134</f>
        <v>58.368381959372059</v>
      </c>
      <c r="D149" s="54">
        <f>+C54</f>
        <v>293.82716049382714</v>
      </c>
      <c r="E149" s="219">
        <f>+C149/D149</f>
        <v>0.19864869490374526</v>
      </c>
      <c r="F149" s="74" t="str">
        <f>CONCATENATE("= [",ROUND(C149,2)," lbs / ",(ROUND(D149,2))," acres ]")</f>
        <v>= [58.37 lbs / 293.83 acres ]</v>
      </c>
      <c r="G149" s="36"/>
    </row>
    <row r="150" spans="1:7">
      <c r="B150" s="169" t="s">
        <v>54</v>
      </c>
      <c r="C150" s="55">
        <f>+C135</f>
        <v>22.009419642058425</v>
      </c>
      <c r="D150" s="55">
        <f>+C55</f>
        <v>79.012345679012341</v>
      </c>
      <c r="E150" s="218">
        <f>+C150/D150</f>
        <v>0.27855671734480197</v>
      </c>
      <c r="F150" s="96" t="str">
        <f>CONCATENATE("= [",ROUND(C150,2)," lbs / ",(ROUND(D150,2))," acres ]")</f>
        <v>= [22.01 lbs / 79.01 acres ]</v>
      </c>
      <c r="G150" s="37"/>
    </row>
    <row r="151" spans="1:7" ht="6" customHeight="1"/>
    <row r="152" spans="1:7" ht="7.25" customHeight="1"/>
    <row r="154" spans="1:7">
      <c r="A154" s="1" t="s">
        <v>140</v>
      </c>
    </row>
    <row r="155" spans="1:7" ht="6" customHeight="1"/>
    <row r="156" spans="1:7">
      <c r="B156" s="1" t="s">
        <v>60</v>
      </c>
      <c r="C156" s="101">
        <f>+C36</f>
        <v>476.28000000000003</v>
      </c>
      <c r="D156" s="1" t="s">
        <v>130</v>
      </c>
      <c r="E156" s="48" t="s">
        <v>89</v>
      </c>
    </row>
    <row r="157" spans="1:7" ht="29.5" customHeight="1">
      <c r="B157" s="238" t="s">
        <v>159</v>
      </c>
      <c r="C157" s="104">
        <f>+C70</f>
        <v>308.72680110497242</v>
      </c>
      <c r="D157" s="45" t="s">
        <v>130</v>
      </c>
      <c r="E157" s="48" t="s">
        <v>90</v>
      </c>
    </row>
    <row r="158" spans="1:7" ht="26">
      <c r="B158" s="9" t="s">
        <v>61</v>
      </c>
      <c r="C158" s="100">
        <f>+C156-C157</f>
        <v>167.55319889502761</v>
      </c>
      <c r="D158" s="1" t="s">
        <v>130</v>
      </c>
      <c r="E158" s="171" t="str">
        <f>CONCATENATE(" [ ",ROUND(C156,2)," pounds - ",ROUND(C157,2)," pounds ]")</f>
        <v xml:space="preserve"> [ 476.28 pounds - 308.73 pounds ]</v>
      </c>
    </row>
    <row r="159" spans="1:7" ht="8.5" customHeight="1"/>
    <row r="160" spans="1:7">
      <c r="B160" s="1" t="s">
        <v>62</v>
      </c>
      <c r="C160" s="103">
        <f>+C41-C56</f>
        <v>2096.2962962962956</v>
      </c>
      <c r="D160" s="1" t="s">
        <v>137</v>
      </c>
      <c r="E160" s="48" t="s">
        <v>91</v>
      </c>
    </row>
    <row r="161" spans="1:7" ht="9" customHeight="1"/>
    <row r="162" spans="1:7" ht="39">
      <c r="B162" s="68" t="s">
        <v>171</v>
      </c>
      <c r="C162" s="89">
        <f>+C158/C160</f>
        <v>7.9928204419889515E-2</v>
      </c>
      <c r="D162" s="68" t="s">
        <v>63</v>
      </c>
      <c r="E162" s="1" t="str">
        <f>CONCATENATE("=  [ ",ROUND(C158,2)," pounds / ",ROUND(C160,2)," acres ]")</f>
        <v>=  [ 167.55 pounds / 2096.3 acres ]</v>
      </c>
    </row>
    <row r="163" spans="1:7" ht="8" customHeight="1"/>
    <row r="165" spans="1:7" ht="51" customHeight="1">
      <c r="A165" s="403" t="s">
        <v>187</v>
      </c>
      <c r="B165" s="403"/>
      <c r="C165" s="403"/>
      <c r="D165" s="403"/>
      <c r="E165" s="403"/>
      <c r="F165" s="403"/>
      <c r="G165" s="403"/>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honeticPr fontId="47" type="noConversion"/>
  <pageMargins left="0.75" right="0.59718749999999998" top="0.5" bottom="0.75" header="0.3" footer="0.3"/>
  <pageSetup fitToWidth="0" fitToHeight="0" orientation="portrait" r:id="rId1"/>
  <headerFooter>
    <oddFooter>&amp;L&amp;"Arial,Regular"&amp;9Section 8: Backup for Stream Bank Total Phos. Loading&amp;C&amp;"Arial,Regular"&amp;9Page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2"/>
  <sheetViews>
    <sheetView topLeftCell="A13" zoomScale="120" zoomScaleNormal="120" workbookViewId="0">
      <selection activeCell="Q49" sqref="Q49"/>
    </sheetView>
  </sheetViews>
  <sheetFormatPr baseColWidth="10" defaultColWidth="9.1640625" defaultRowHeight="15"/>
  <cols>
    <col min="1" max="13" width="9.1640625" style="308"/>
    <col min="14" max="14" width="22" style="308" customWidth="1"/>
    <col min="15" max="25" width="9.1640625" style="308"/>
    <col min="26" max="26" width="24.83203125" style="308" customWidth="1"/>
    <col min="27" max="16384" width="9.1640625" style="308"/>
  </cols>
  <sheetData>
    <row r="1" spans="1:23" ht="25.5" customHeight="1">
      <c r="A1" s="307" t="s">
        <v>259</v>
      </c>
    </row>
    <row r="2" spans="1:23" ht="36" customHeight="1">
      <c r="A2" s="432" t="s">
        <v>251</v>
      </c>
      <c r="B2" s="432"/>
      <c r="C2" s="432"/>
      <c r="D2" s="432"/>
      <c r="E2" s="432"/>
      <c r="F2" s="432"/>
      <c r="G2" s="432"/>
      <c r="H2" s="432"/>
      <c r="I2" s="432"/>
      <c r="J2" s="432"/>
      <c r="K2" s="432"/>
      <c r="L2" s="432"/>
      <c r="M2" s="432"/>
      <c r="N2" s="432"/>
      <c r="O2" s="432"/>
      <c r="P2" s="309"/>
      <c r="Q2" s="309"/>
      <c r="R2" s="309"/>
      <c r="S2" s="309"/>
      <c r="T2" s="309"/>
      <c r="U2" s="309"/>
      <c r="V2" s="309"/>
      <c r="W2" s="309"/>
    </row>
    <row r="3" spans="1:23" ht="16">
      <c r="A3" s="310" t="s">
        <v>252</v>
      </c>
      <c r="C3" s="309"/>
      <c r="D3" s="309"/>
      <c r="E3" s="309"/>
      <c r="F3" s="309"/>
      <c r="G3" s="309"/>
      <c r="H3" s="309"/>
      <c r="I3" s="309"/>
      <c r="J3" s="309"/>
      <c r="K3" s="309"/>
      <c r="L3" s="309"/>
      <c r="M3" s="309"/>
      <c r="N3" s="309"/>
      <c r="Q3" s="309"/>
      <c r="R3" s="309"/>
      <c r="S3" s="309"/>
      <c r="T3" s="309"/>
      <c r="U3" s="309"/>
      <c r="V3" s="309"/>
      <c r="W3" s="309"/>
    </row>
    <row r="36" spans="1:1" ht="46.5" customHeight="1"/>
    <row r="37" spans="1:1" ht="69.75" customHeight="1"/>
    <row r="38" spans="1:1">
      <c r="A38" s="308" t="s">
        <v>253</v>
      </c>
    </row>
    <row r="39" spans="1:1">
      <c r="A39" s="311" t="s">
        <v>254</v>
      </c>
    </row>
    <row r="40" spans="1:1">
      <c r="A40" s="308" t="s">
        <v>255</v>
      </c>
    </row>
    <row r="41" spans="1:1">
      <c r="A41" s="308" t="s">
        <v>256</v>
      </c>
    </row>
    <row r="42" spans="1:1">
      <c r="A42" s="308" t="s">
        <v>257</v>
      </c>
    </row>
    <row r="43" spans="1:1" ht="14.25" customHeight="1"/>
    <row r="44" spans="1:1">
      <c r="A44" s="309" t="s">
        <v>258</v>
      </c>
    </row>
    <row r="108" spans="1:1" ht="16.5" customHeight="1">
      <c r="A108" s="308" t="s">
        <v>253</v>
      </c>
    </row>
    <row r="109" spans="1:1">
      <c r="A109" s="311" t="s">
        <v>254</v>
      </c>
    </row>
    <row r="110" spans="1:1">
      <c r="A110" s="308" t="s">
        <v>255</v>
      </c>
    </row>
    <row r="111" spans="1:1">
      <c r="A111" s="308" t="s">
        <v>256</v>
      </c>
    </row>
    <row r="112" spans="1:1">
      <c r="A112" s="308" t="s">
        <v>257</v>
      </c>
    </row>
  </sheetData>
  <mergeCells count="1">
    <mergeCell ref="A2:O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Cover Page</vt:lpstr>
      <vt:lpstr>Instructions&amp;Overview</vt:lpstr>
      <vt:lpstr>LandUseLoadingRatesLookUpTable</vt:lpstr>
      <vt:lpstr>MMW Output</vt:lpstr>
      <vt:lpstr>Farm Animal TN and TP Loading</vt:lpstr>
      <vt:lpstr>Stream Bank SedimentLoadingRate</vt:lpstr>
      <vt:lpstr>Stream Bank Nitrogen Loading</vt:lpstr>
      <vt:lpstr>Stream Bank Phosphorus Loading</vt:lpstr>
      <vt:lpstr>Perf Std Approach</vt:lpstr>
      <vt:lpstr>Urban BMPs (Existing)</vt:lpstr>
      <vt:lpstr>Urban BMPs (Proposed)</vt:lpstr>
      <vt:lpstr>Agricultural BMPs (Existing)</vt:lpstr>
      <vt:lpstr>Agricultural BMPs (Proposed)</vt:lpstr>
      <vt:lpstr>Total Load Reductions</vt:lpstr>
      <vt:lpstr>Sheet1</vt:lpstr>
    </vt:vector>
  </TitlesOfParts>
  <Company>County of Chester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Betz, Dani-Ella</dc:creator>
  <cp:lastModifiedBy>Anthony Aufdenkampe</cp:lastModifiedBy>
  <cp:lastPrinted>2017-05-02T16:24:18Z</cp:lastPrinted>
  <dcterms:created xsi:type="dcterms:W3CDTF">2017-03-01T19:27:22Z</dcterms:created>
  <dcterms:modified xsi:type="dcterms:W3CDTF">2018-05-28T14:09:02Z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