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damiano\Documents\GitHub\WikiWatershed\MMW-BMP-spreadsheet-tool\docs\"/>
    </mc:Choice>
  </mc:AlternateContent>
  <bookViews>
    <workbookView xWindow="0" yWindow="0" windowWidth="28800" windowHeight="141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 l="1"/>
  <c r="E31" i="3" l="1"/>
  <c r="D31" i="3"/>
  <c r="C31" i="3"/>
  <c r="Q98" i="12" l="1"/>
  <c r="P98" i="12"/>
  <c r="O98" i="12"/>
  <c r="O95" i="12"/>
  <c r="L98" i="12"/>
  <c r="K98" i="12"/>
  <c r="J98" i="12"/>
  <c r="N115" i="12" l="1"/>
  <c r="N111" i="12"/>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R38" i="4" s="1"/>
  <c r="S29" i="4"/>
  <c r="R32" i="4"/>
  <c r="S32" i="4"/>
  <c r="R28" i="4"/>
  <c r="S28" i="4"/>
  <c r="S38" i="4" l="1"/>
  <c r="R36" i="4"/>
  <c r="R40" i="4" s="1"/>
  <c r="R37" i="4"/>
  <c r="R39" i="4" s="1"/>
  <c r="S40" i="4"/>
  <c r="S36" i="4"/>
  <c r="S37" i="4"/>
  <c r="S39" i="4" s="1"/>
  <c r="R3" i="6"/>
  <c r="T19" i="6"/>
  <c r="T20" i="6"/>
  <c r="T23" i="6"/>
  <c r="T24" i="6"/>
  <c r="T28" i="6"/>
  <c r="T29" i="6"/>
  <c r="T30" i="6"/>
  <c r="R40" i="6"/>
  <c r="K82" i="12" l="1"/>
  <c r="P82" i="12"/>
  <c r="P81" i="12"/>
  <c r="K81" i="12"/>
  <c r="Q81" i="12"/>
  <c r="L81" i="12"/>
  <c r="Q82" i="12"/>
  <c r="L82" i="12"/>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37" i="11" s="1"/>
  <c r="O80" i="4"/>
  <c r="O79" i="4"/>
  <c r="O18" i="12" l="1"/>
  <c r="J18" i="12"/>
  <c r="M19" i="4"/>
  <c r="J61" i="12" s="1"/>
  <c r="O61" i="12" s="1"/>
  <c r="M20" i="4"/>
  <c r="A36" i="11" s="1"/>
  <c r="M18" i="4"/>
  <c r="L19" i="12" l="1"/>
  <c r="K19" i="12"/>
  <c r="P19" i="12"/>
  <c r="Q19" i="12"/>
  <c r="J26" i="12"/>
  <c r="O26" i="12" s="1"/>
  <c r="J49" i="12" s="1"/>
  <c r="O49" i="12" s="1"/>
  <c r="Q64" i="12"/>
  <c r="P64" i="12"/>
  <c r="O64" i="12"/>
  <c r="O19"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O16" i="11" l="1"/>
  <c r="O19" i="11"/>
  <c r="O20" i="11"/>
  <c r="O21" i="11"/>
  <c r="O22" i="11"/>
  <c r="O23" i="11"/>
  <c r="E27" i="3"/>
  <c r="E26" i="3"/>
  <c r="E25" i="3"/>
  <c r="E24" i="3"/>
  <c r="E23" i="3"/>
  <c r="E22" i="3"/>
  <c r="E21" i="3"/>
  <c r="E20" i="3"/>
  <c r="E19" i="3"/>
  <c r="E18" i="3"/>
  <c r="E17" i="3"/>
  <c r="E16" i="3"/>
  <c r="E15" i="3"/>
  <c r="E14" i="3"/>
  <c r="E13" i="3"/>
  <c r="E12" i="3"/>
  <c r="E11" i="3"/>
  <c r="E10" i="3"/>
  <c r="E9" i="3"/>
  <c r="E8" i="3"/>
  <c r="E7" i="3"/>
  <c r="E6" i="3"/>
  <c r="O15" i="11" s="1"/>
  <c r="K73" i="6" l="1"/>
  <c r="T73" i="6"/>
  <c r="T72" i="6"/>
  <c r="K72" i="6"/>
  <c r="K71" i="6"/>
  <c r="T71" i="6"/>
  <c r="O18" i="11"/>
  <c r="C73" i="6"/>
  <c r="O14" i="11"/>
  <c r="K14" i="11" s="1"/>
  <c r="L14" i="11" s="1"/>
  <c r="N14" i="11" s="1"/>
  <c r="O12" i="11"/>
  <c r="K12" i="11" s="1"/>
  <c r="L12" i="11" s="1"/>
  <c r="N12" i="11" s="1"/>
  <c r="C72" i="6"/>
  <c r="O17" i="11"/>
  <c r="K17" i="11" s="1"/>
  <c r="L17" i="11" s="1"/>
  <c r="N17" i="11" s="1"/>
  <c r="S17" i="11" s="1"/>
  <c r="C71" i="6"/>
  <c r="O11" i="11"/>
  <c r="K11" i="11" s="1"/>
  <c r="L11" i="11" s="1"/>
  <c r="N11" i="11" s="1"/>
  <c r="O13" i="11"/>
  <c r="K13" i="11" s="1"/>
  <c r="L13" i="11" s="1"/>
  <c r="N13" i="11" s="1"/>
  <c r="S18" i="11"/>
  <c r="T18" i="11"/>
  <c r="U18" i="1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L64" i="12"/>
  <c r="K64" i="12"/>
  <c r="J64" i="12"/>
  <c r="G21" i="12"/>
  <c r="G19" i="12"/>
  <c r="J19" i="12"/>
  <c r="G18" i="12"/>
  <c r="G17" i="12"/>
  <c r="G13" i="12"/>
  <c r="B40" i="12"/>
  <c r="D40" i="12" s="1"/>
  <c r="G12" i="12"/>
  <c r="B39" i="12"/>
  <c r="G9" i="12"/>
  <c r="B36" i="12"/>
  <c r="G8" i="12"/>
  <c r="B35" i="12"/>
  <c r="D35" i="12" s="1"/>
  <c r="D90" i="4"/>
  <c r="F88" i="4"/>
  <c r="F87" i="4"/>
  <c r="F86" i="4"/>
  <c r="J30" i="11" s="1"/>
  <c r="F85" i="4"/>
  <c r="J29" i="11" s="1"/>
  <c r="F84" i="4"/>
  <c r="J33" i="11" s="1"/>
  <c r="F83" i="4"/>
  <c r="F82" i="4"/>
  <c r="F81" i="4"/>
  <c r="F80" i="4"/>
  <c r="F79" i="4"/>
  <c r="J34" i="11" s="1"/>
  <c r="F78" i="4"/>
  <c r="J37" i="11" s="1"/>
  <c r="F77" i="4"/>
  <c r="J36" i="11" s="1"/>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O59" i="4"/>
  <c r="E38" i="4" s="1"/>
  <c r="N59" i="4"/>
  <c r="D38" i="4" s="1"/>
  <c r="N18" i="4" s="1"/>
  <c r="B43" i="12"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J35" i="11" l="1"/>
  <c r="J32" i="11"/>
  <c r="K37" i="6"/>
  <c r="O18" i="4"/>
  <c r="B44" i="12" s="1"/>
  <c r="T37" i="6"/>
  <c r="P18" i="4"/>
  <c r="B45" i="12" s="1"/>
  <c r="O28" i="12"/>
  <c r="O29" i="12" s="1"/>
  <c r="O51" i="12"/>
  <c r="O52" i="12" s="1"/>
  <c r="J28" i="12"/>
  <c r="J29" i="12" s="1"/>
  <c r="J33" i="12" s="1"/>
  <c r="J51" i="12"/>
  <c r="J52" i="12" s="1"/>
  <c r="J31" i="11"/>
  <c r="J39" i="11" s="1"/>
  <c r="Q30" i="1"/>
  <c r="V28" i="1"/>
  <c r="Q19" i="1"/>
  <c r="T27" i="6"/>
  <c r="T50" i="6" s="1"/>
  <c r="K27" i="6"/>
  <c r="K50" i="6" s="1"/>
  <c r="T139" i="6"/>
  <c r="T58" i="6"/>
  <c r="T16" i="6"/>
  <c r="K16" i="6"/>
  <c r="K139" i="6"/>
  <c r="K58" i="6"/>
  <c r="T21" i="6"/>
  <c r="K21" i="6"/>
  <c r="R2" i="6"/>
  <c r="I2" i="6"/>
  <c r="T26" i="6"/>
  <c r="T49" i="6" s="1"/>
  <c r="K26" i="6"/>
  <c r="K49" i="6" s="1"/>
  <c r="T22" i="6"/>
  <c r="K22" i="6"/>
  <c r="T15" i="6"/>
  <c r="K15" i="6"/>
  <c r="C22" i="4"/>
  <c r="B6" i="12" s="1"/>
  <c r="B33" i="12" s="1"/>
  <c r="F65" i="4"/>
  <c r="C30" i="4"/>
  <c r="J35" i="12"/>
  <c r="AA29" i="1"/>
  <c r="C23" i="4"/>
  <c r="N65" i="4"/>
  <c r="AA20" i="1"/>
  <c r="AA23" i="1"/>
  <c r="D18" i="5"/>
  <c r="C16" i="1"/>
  <c r="B5" i="12"/>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C25" i="6"/>
  <c r="C48" i="6" s="1"/>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L28" i="12" l="1"/>
  <c r="L29" i="12" s="1"/>
  <c r="L33" i="12" s="1"/>
  <c r="L35" i="12" s="1"/>
  <c r="L51" i="12"/>
  <c r="L52" i="12" s="1"/>
  <c r="Q28" i="12"/>
  <c r="Q29" i="12" s="1"/>
  <c r="Q51" i="12"/>
  <c r="Q52" i="12" s="1"/>
  <c r="P51" i="12"/>
  <c r="P52" i="12" s="1"/>
  <c r="K28" i="12"/>
  <c r="K29" i="12" s="1"/>
  <c r="K33" i="12" s="1"/>
  <c r="K35" i="12" s="1"/>
  <c r="K51" i="12"/>
  <c r="K52" i="12" s="1"/>
  <c r="P28" i="12"/>
  <c r="P29" i="12" s="1"/>
  <c r="P33" i="12" s="1"/>
  <c r="P35" i="12" s="1"/>
  <c r="O33" i="12"/>
  <c r="O35" i="12"/>
  <c r="C17" i="6"/>
  <c r="J16" i="12"/>
  <c r="O89" i="12"/>
  <c r="N110" i="12"/>
  <c r="N112" i="12" s="1"/>
  <c r="J89" i="12"/>
  <c r="J10" i="12"/>
  <c r="K13" i="12" s="1"/>
  <c r="N114" i="12"/>
  <c r="N116" i="12" s="1"/>
  <c r="M64" i="6"/>
  <c r="K64" i="6"/>
  <c r="K80" i="6"/>
  <c r="L132" i="6"/>
  <c r="M80" i="6"/>
  <c r="T25" i="6"/>
  <c r="T48" i="6" s="1"/>
  <c r="K25" i="6"/>
  <c r="K48" i="6" s="1"/>
  <c r="T80" i="6"/>
  <c r="V80" i="6"/>
  <c r="U132" i="6"/>
  <c r="V64" i="6"/>
  <c r="T64" i="6"/>
  <c r="T18" i="6"/>
  <c r="K18" i="6"/>
  <c r="T17" i="6"/>
  <c r="K17" i="6"/>
  <c r="C17" i="1"/>
  <c r="K81" i="6"/>
  <c r="L133" i="6"/>
  <c r="M81" i="6"/>
  <c r="B14" i="12"/>
  <c r="U133" i="6"/>
  <c r="V81" i="6"/>
  <c r="T81" i="6"/>
  <c r="E80" i="6"/>
  <c r="C37" i="6"/>
  <c r="C139" i="6" s="1"/>
  <c r="J55" i="12"/>
  <c r="Q58" i="12" s="1"/>
  <c r="J3" i="12"/>
  <c r="Q6" i="12" s="1"/>
  <c r="C80" i="6"/>
  <c r="C33" i="12"/>
  <c r="B7" i="12"/>
  <c r="B34" i="12" s="1"/>
  <c r="C34" i="12" s="1"/>
  <c r="J38" i="12"/>
  <c r="K41" i="12" s="1"/>
  <c r="O38" i="12"/>
  <c r="L80" i="12"/>
  <c r="L86" i="12" s="1"/>
  <c r="Q80" i="12" s="1"/>
  <c r="Q86" i="12" s="1"/>
  <c r="C18" i="6"/>
  <c r="C42" i="6" s="1"/>
  <c r="C18" i="1"/>
  <c r="O18" i="1" s="1"/>
  <c r="C43" i="4"/>
  <c r="E81" i="6"/>
  <c r="K80" i="12"/>
  <c r="K86" i="12" s="1"/>
  <c r="P80" i="12" s="1"/>
  <c r="P86" i="12" s="1"/>
  <c r="O68" i="12"/>
  <c r="O44" i="12"/>
  <c r="O16" i="12"/>
  <c r="O10" i="12"/>
  <c r="O55" i="12"/>
  <c r="D133" i="6"/>
  <c r="J68" i="12"/>
  <c r="K71" i="12" s="1"/>
  <c r="O3" i="12"/>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X17" i="1"/>
  <c r="S17" i="1"/>
  <c r="O17" i="1"/>
  <c r="F24" i="5"/>
  <c r="D24" i="5"/>
  <c r="S26" i="1"/>
  <c r="X26" i="1"/>
  <c r="O26" i="1"/>
  <c r="C79" i="6"/>
  <c r="D131" i="6"/>
  <c r="E79" i="6"/>
  <c r="C58" i="6"/>
  <c r="Q33" i="12" l="1"/>
  <c r="Q35" i="12"/>
  <c r="P92" i="12"/>
  <c r="O92" i="12"/>
  <c r="L92" i="12"/>
  <c r="Q92" i="12"/>
  <c r="K92" i="12"/>
  <c r="J92" i="12"/>
  <c r="T32" i="6"/>
  <c r="K42" i="6"/>
  <c r="K60" i="6" s="1"/>
  <c r="T42" i="6"/>
  <c r="T60" i="6" s="1"/>
  <c r="Q21" i="12"/>
  <c r="L21" i="12"/>
  <c r="O58" i="12"/>
  <c r="K58" i="12"/>
  <c r="P58" i="12"/>
  <c r="J6" i="12"/>
  <c r="K51" i="6"/>
  <c r="L131" i="6"/>
  <c r="K79" i="6"/>
  <c r="K89" i="6" s="1"/>
  <c r="M79" i="6"/>
  <c r="L48" i="6"/>
  <c r="K32" i="6"/>
  <c r="K6" i="12"/>
  <c r="T98" i="6"/>
  <c r="R102" i="6" s="1"/>
  <c r="T79" i="6"/>
  <c r="T90" i="6" s="1"/>
  <c r="T51" i="6"/>
  <c r="U48" i="6" s="1"/>
  <c r="U131" i="6"/>
  <c r="V79" i="6"/>
  <c r="P6" i="12"/>
  <c r="O6" i="12"/>
  <c r="L6" i="12"/>
  <c r="J58" i="12"/>
  <c r="K98" i="6"/>
  <c r="I102" i="6" s="1"/>
  <c r="L58" i="12"/>
  <c r="C88" i="6"/>
  <c r="B26" i="12"/>
  <c r="E34" i="12"/>
  <c r="L71" i="12"/>
  <c r="S18" i="1"/>
  <c r="D34" i="12"/>
  <c r="C60" i="6"/>
  <c r="C143" i="6"/>
  <c r="D48" i="6"/>
  <c r="L75" i="12"/>
  <c r="J13" i="12"/>
  <c r="P13" i="12"/>
  <c r="Q13" i="12"/>
  <c r="O13" i="12"/>
  <c r="L46" i="12"/>
  <c r="Q46" i="12"/>
  <c r="Q41" i="12"/>
  <c r="P41" i="12"/>
  <c r="X18" i="1"/>
  <c r="Q71" i="12"/>
  <c r="P71" i="12"/>
  <c r="Q75" i="12"/>
  <c r="P75" i="12"/>
  <c r="C32" i="6"/>
  <c r="D51" i="6"/>
  <c r="D50" i="6"/>
  <c r="C59" i="6"/>
  <c r="K75" i="12"/>
  <c r="K77" i="12" s="1"/>
  <c r="L13" i="12"/>
  <c r="B30" i="12"/>
  <c r="C90" i="6"/>
  <c r="D31" i="12"/>
  <c r="C32" i="12"/>
  <c r="D32" i="12"/>
  <c r="C89" i="6"/>
  <c r="C82" i="6"/>
  <c r="E90" i="6" s="1"/>
  <c r="L41" i="12"/>
  <c r="E31" i="5"/>
  <c r="E33" i="5" s="1"/>
  <c r="D31" i="5"/>
  <c r="D33" i="5" s="1"/>
  <c r="G4" i="12"/>
  <c r="O41" i="12" s="1"/>
  <c r="C26" i="12"/>
  <c r="E31" i="12"/>
  <c r="E64" i="6"/>
  <c r="C64" i="6"/>
  <c r="P21" i="12" l="1"/>
  <c r="K21"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L77" i="12"/>
  <c r="L101" i="12" s="1"/>
  <c r="L102" i="12" s="1"/>
  <c r="C63" i="6"/>
  <c r="C97" i="6" s="1"/>
  <c r="C116" i="6" s="1"/>
  <c r="E61" i="6"/>
  <c r="P77" i="12"/>
  <c r="P46" i="12"/>
  <c r="E88" i="6"/>
  <c r="J46" i="12"/>
  <c r="O46" i="12"/>
  <c r="O21" i="12"/>
  <c r="J21" i="12"/>
  <c r="Q77" i="12"/>
  <c r="K46" i="12"/>
  <c r="G26" i="12"/>
  <c r="F4" i="13" s="1"/>
  <c r="J41" i="12"/>
  <c r="C31" i="12"/>
  <c r="U16" i="1"/>
  <c r="U15" i="1"/>
  <c r="Z16" i="1"/>
  <c r="Z15" i="1"/>
  <c r="C98" i="6"/>
  <c r="J101" i="12" l="1"/>
  <c r="U106" i="6"/>
  <c r="L107" i="6"/>
  <c r="V88" i="6"/>
  <c r="V90" i="6"/>
  <c r="V89" i="6"/>
  <c r="L105" i="6"/>
  <c r="K91" i="6"/>
  <c r="M61" i="6"/>
  <c r="K61" i="6"/>
  <c r="V61" i="6"/>
  <c r="T61" i="6"/>
  <c r="T91" i="6"/>
  <c r="T105" i="6"/>
  <c r="U105" i="6"/>
  <c r="M88" i="6"/>
  <c r="M90" i="6"/>
  <c r="M89" i="6"/>
  <c r="D114" i="6"/>
  <c r="D115" i="6"/>
  <c r="C115" i="6"/>
  <c r="A111" i="6"/>
  <c r="D116" i="6"/>
  <c r="C114" i="6"/>
  <c r="C65" i="6"/>
  <c r="C96" i="6" s="1"/>
  <c r="P101" i="12"/>
  <c r="P102" i="12" s="1"/>
  <c r="O101" i="12"/>
  <c r="O102" i="12" s="1"/>
  <c r="K101" i="12"/>
  <c r="K102" i="12" s="1"/>
  <c r="Q101" i="12"/>
  <c r="H10" i="13"/>
  <c r="A102" i="6"/>
  <c r="D106" i="6"/>
  <c r="C105" i="6"/>
  <c r="C106" i="6"/>
  <c r="D105" i="6"/>
  <c r="D107" i="6"/>
  <c r="C107" i="6"/>
  <c r="T63" i="6" l="1"/>
  <c r="V63" i="6"/>
  <c r="K63" i="6"/>
  <c r="M63" i="6"/>
  <c r="C140" i="6"/>
  <c r="E141" i="6" s="1"/>
  <c r="G12" i="13"/>
  <c r="F12" i="13"/>
  <c r="G10" i="13"/>
  <c r="F10" i="13"/>
  <c r="Q102" i="12"/>
  <c r="H12" i="13"/>
  <c r="J102" i="12"/>
  <c r="D122" i="6"/>
  <c r="C122" i="6"/>
  <c r="C131" i="6" s="1"/>
  <c r="C123" i="6"/>
  <c r="C132" i="6" s="1"/>
  <c r="D123" i="6"/>
  <c r="D124" i="6"/>
  <c r="C124" i="6"/>
  <c r="C133" i="6" s="1"/>
  <c r="K97" i="6" l="1"/>
  <c r="K65" i="6"/>
  <c r="C141" i="6"/>
  <c r="C145" i="6" s="1"/>
  <c r="T97" i="6"/>
  <c r="T65" i="6"/>
  <c r="F132" i="6"/>
  <c r="E132" i="6"/>
  <c r="E145" i="6"/>
  <c r="E133" i="6"/>
  <c r="F133" i="6"/>
  <c r="E131" i="6"/>
  <c r="F131" i="6"/>
  <c r="T140" i="6" l="1"/>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105" i="4"/>
  <c r="K78" i="4"/>
  <c r="K99" i="4"/>
  <c r="K77" i="4"/>
  <c r="K98" i="4"/>
  <c r="K97" i="4"/>
  <c r="K96" i="4"/>
  <c r="K83" i="4"/>
  <c r="K82" i="4"/>
  <c r="K81" i="4"/>
  <c r="K80" i="4"/>
  <c r="K84"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75" i="4" s="1"/>
  <c r="N131" i="6"/>
  <c r="W132" i="6"/>
  <c r="V132" i="6"/>
  <c r="Y26" i="1" s="1"/>
  <c r="AA26" i="1" s="1"/>
  <c r="X14" i="11" s="1"/>
  <c r="N133" i="6"/>
  <c r="M133" i="6"/>
  <c r="T27" i="1" s="1"/>
  <c r="V27" i="1" s="1"/>
  <c r="I78" i="4" s="1"/>
  <c r="W15" i="11"/>
  <c r="V37" i="11"/>
  <c r="Q16" i="11"/>
  <c r="X16" i="11"/>
  <c r="R16" i="11"/>
  <c r="Y16" i="11"/>
  <c r="J98" i="4"/>
  <c r="J97" i="4"/>
  <c r="J96" i="4"/>
  <c r="I97" i="4"/>
  <c r="I96" i="4"/>
  <c r="K111" i="4"/>
  <c r="J76" i="4"/>
  <c r="J75" i="4"/>
  <c r="K90" i="4"/>
  <c r="Q13" i="11"/>
  <c r="X13" i="11"/>
  <c r="Q12" i="11"/>
  <c r="X12" i="11"/>
  <c r="V29" i="11"/>
  <c r="F6" i="13" s="1"/>
  <c r="W11" i="11"/>
  <c r="V35" i="11"/>
  <c r="V34" i="11"/>
  <c r="V26" i="11"/>
  <c r="V36" i="11"/>
  <c r="V31" i="11"/>
  <c r="F8" i="13" s="1"/>
  <c r="J77" i="4" l="1"/>
  <c r="Y12" i="11"/>
  <c r="I76" i="4"/>
  <c r="I98" i="4"/>
  <c r="Q14" i="11"/>
  <c r="R12" i="11"/>
  <c r="J99" i="4"/>
  <c r="Y13" i="11"/>
  <c r="R14" i="11"/>
  <c r="I77" i="4"/>
  <c r="R13" i="11"/>
  <c r="J78" i="4"/>
  <c r="T18" i="1"/>
  <c r="V18" i="1" s="1"/>
  <c r="T15" i="1"/>
  <c r="V15" i="1" s="1"/>
  <c r="T17" i="1"/>
  <c r="V17" i="1" s="1"/>
  <c r="T16" i="1"/>
  <c r="V16" i="1" s="1"/>
  <c r="T22" i="1"/>
  <c r="V22" i="1" s="1"/>
  <c r="T21" i="1"/>
  <c r="V21" i="1" s="1"/>
  <c r="Y11" i="11"/>
  <c r="I99" i="4"/>
  <c r="R11" i="11"/>
  <c r="X11" i="11"/>
  <c r="Y22" i="1"/>
  <c r="AA22" i="1" s="1"/>
  <c r="Y21" i="1"/>
  <c r="AA21" i="1" s="1"/>
  <c r="Y18" i="1"/>
  <c r="AA18" i="1" s="1"/>
  <c r="Y16" i="1"/>
  <c r="AA16" i="1" s="1"/>
  <c r="Y15" i="1"/>
  <c r="AA15" i="1" s="1"/>
  <c r="Y17" i="1"/>
  <c r="AA17" i="1" s="1"/>
  <c r="W37" i="11"/>
  <c r="K114" i="4"/>
  <c r="J4" i="13" s="1"/>
  <c r="F21" i="13"/>
  <c r="W34" i="11"/>
  <c r="W29" i="11"/>
  <c r="W35" i="11"/>
  <c r="W31" i="11"/>
  <c r="W26" i="11"/>
  <c r="W36" i="11"/>
  <c r="F15" i="13"/>
  <c r="F17" i="13" s="1"/>
  <c r="F20" i="13"/>
  <c r="Y15" i="11" l="1"/>
  <c r="R15" i="11"/>
  <c r="Q15" i="11"/>
  <c r="X15" i="11"/>
  <c r="X37" i="11" s="1"/>
  <c r="Y31" i="11"/>
  <c r="G8" i="13" s="1"/>
  <c r="J12" i="13"/>
  <c r="J10" i="13"/>
  <c r="J8" i="13"/>
  <c r="J6" i="13"/>
  <c r="F22" i="13"/>
  <c r="J107" i="4"/>
  <c r="J86" i="4"/>
  <c r="Y35" i="11"/>
  <c r="J109" i="4"/>
  <c r="J108" i="4"/>
  <c r="J88" i="4"/>
  <c r="J87" i="4"/>
  <c r="I79" i="4"/>
  <c r="I100" i="4"/>
  <c r="J85" i="4"/>
  <c r="J106" i="4"/>
  <c r="Y36" i="11"/>
  <c r="I107" i="4"/>
  <c r="I86" i="4"/>
  <c r="J79" i="4"/>
  <c r="J100" i="4"/>
  <c r="I104" i="4"/>
  <c r="I83" i="4"/>
  <c r="I105" i="4"/>
  <c r="I82" i="4"/>
  <c r="I80" i="4"/>
  <c r="I81" i="4"/>
  <c r="I103" i="4"/>
  <c r="I102" i="4"/>
  <c r="I101" i="4"/>
  <c r="I84" i="4"/>
  <c r="I85" i="4"/>
  <c r="I106" i="4"/>
  <c r="Y26" i="11"/>
  <c r="Y29" i="11"/>
  <c r="G6" i="13" s="1"/>
  <c r="I109" i="4"/>
  <c r="I108" i="4"/>
  <c r="I87" i="4"/>
  <c r="I88" i="4"/>
  <c r="Y34" i="11"/>
  <c r="Y37" i="11"/>
  <c r="J105" i="4"/>
  <c r="J104" i="4"/>
  <c r="J81" i="4"/>
  <c r="J102" i="4"/>
  <c r="J80" i="4"/>
  <c r="J103" i="4"/>
  <c r="J84" i="4"/>
  <c r="J101" i="4"/>
  <c r="J82" i="4"/>
  <c r="J83" i="4"/>
  <c r="G21" i="13"/>
  <c r="F16" i="13"/>
  <c r="I90" i="4" l="1"/>
  <c r="X31" i="11"/>
  <c r="H8" i="13" s="1"/>
  <c r="H21" i="13" s="1"/>
  <c r="X26" i="11"/>
  <c r="X34" i="11"/>
  <c r="X29" i="11"/>
  <c r="H6" i="13" s="1"/>
  <c r="H20" i="13" s="1"/>
  <c r="X35" i="11"/>
  <c r="X36" i="11"/>
  <c r="J21" i="13"/>
  <c r="J20" i="13"/>
  <c r="J15" i="13"/>
  <c r="J90" i="4"/>
  <c r="J111" i="4"/>
  <c r="I111" i="4"/>
  <c r="I114" i="4" s="1"/>
  <c r="K4" i="13" s="1"/>
  <c r="G20" i="13"/>
  <c r="G22" i="13" s="1"/>
  <c r="G15" i="13"/>
  <c r="H15" i="13" l="1"/>
  <c r="H17" i="13" s="1"/>
  <c r="J22" i="13"/>
  <c r="K12" i="13"/>
  <c r="K10" i="13"/>
  <c r="K8" i="13"/>
  <c r="K6" i="13"/>
  <c r="J17" i="13"/>
  <c r="J16" i="13"/>
  <c r="H22" i="13"/>
  <c r="G16" i="13"/>
  <c r="G17" i="13"/>
  <c r="J114" i="4"/>
  <c r="L4" i="13" s="1"/>
  <c r="H16" i="13" l="1"/>
  <c r="K20" i="13"/>
  <c r="L12" i="13"/>
  <c r="L10" i="13"/>
  <c r="L8" i="13"/>
  <c r="L6" i="13"/>
  <c r="K15" i="13"/>
  <c r="K17" i="13" s="1"/>
  <c r="K21" i="13"/>
  <c r="K22" i="13" l="1"/>
  <c r="L15" i="13"/>
  <c r="L17" i="13" s="1"/>
  <c r="L20" i="13"/>
  <c r="L21" i="13"/>
  <c r="K16" i="13"/>
  <c r="L16" i="13" l="1"/>
  <c r="L22" i="13"/>
</calcChain>
</file>

<file path=xl/sharedStrings.xml><?xml version="1.0" encoding="utf-8"?>
<sst xmlns="http://schemas.openxmlformats.org/spreadsheetml/2006/main" count="1420" uniqueCount="620">
  <si>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</si>
  <si>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</si>
  <si>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</si>
  <si>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</si>
  <si>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</si>
  <si>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</si>
  <si>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</si>
  <si>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</si>
  <si>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</si>
  <si>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</si>
  <si>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</si>
  <si>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</si>
  <si>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</si>
  <si>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</si>
  <si>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</si>
  <si>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</si>
  <si>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</si>
  <si>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</si>
  <si>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</si>
  <si>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</si>
  <si>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</si>
  <si>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</si>
  <si>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</si>
  <si>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</si>
  <si>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</si>
  <si>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</si>
  <si>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</si>
  <si>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</si>
  <si>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</si>
  <si>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</si>
  <si>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</si>
  <si>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</si>
  <si>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</si>
  <si>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</si>
  <si>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</si>
  <si>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</si>
  <si>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</si>
  <si>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</si>
  <si>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</si>
  <si>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</si>
  <si>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</si>
  <si>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</si>
  <si>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</si>
  <si>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</si>
  <si>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</si>
  <si>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</si>
  <si>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</si>
  <si>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</si>
  <si>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</si>
  <si>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</si>
  <si>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</si>
  <si>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</si>
  <si>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</si>
  <si>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</si>
  <si>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</si>
  <si>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</si>
  <si>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</si>
  <si>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</si>
  <si>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</si>
  <si>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</si>
  <si>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</si>
  <si>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</si>
  <si>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</si>
  <si>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</si>
  <si>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</si>
  <si>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</si>
  <si>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</si>
  <si>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</si>
  <si>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</si>
  <si>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</si>
  <si>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</si>
  <si>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</si>
  <si>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</si>
  <si>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</si>
  <si>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</si>
  <si>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</si>
  <si>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</si>
  <si>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</si>
  <si>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</si>
  <si>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</si>
  <si>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</si>
  <si>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</si>
  <si>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</si>
  <si>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</si>
  <si>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</si>
  <si>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</si>
  <si>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</si>
  <si>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</si>
  <si>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</si>
  <si>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</si>
  <si>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</si>
  <si>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</si>
  <si>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</si>
  <si>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</si>
  <si>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</si>
  <si>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</si>
  <si>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</si>
  <si>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</si>
  <si>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</si>
  <si>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</si>
  <si>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</si>
  <si>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</si>
  <si>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</si>
  <si>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</si>
  <si>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</si>
  <si>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</si>
  <si>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</si>
  <si>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</si>
  <si>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</si>
  <si>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</si>
  <si>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</si>
  <si>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</si>
  <si>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</si>
  <si>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</si>
  <si>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</si>
  <si>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</si>
  <si>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</si>
  <si>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</si>
  <si>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</si>
  <si>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</si>
  <si>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</si>
  <si>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</si>
  <si>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</si>
  <si>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</si>
  <si>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</si>
  <si>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</si>
  <si>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</si>
  <si>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</si>
  <si>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</si>
  <si>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</si>
  <si>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</si>
  <si>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</si>
  <si>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</si>
  <si>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</si>
  <si>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</si>
  <si>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</si>
  <si>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</si>
  <si>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</si>
  <si>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</si>
  <si>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</si>
  <si>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</si>
  <si>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</si>
  <si>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</si>
  <si>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</si>
  <si>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</si>
  <si>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</si>
  <si>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</si>
  <si>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</si>
  <si>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</si>
  <si>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</si>
  <si>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</si>
  <si>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</si>
  <si>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</si>
  <si>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</si>
  <si>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</si>
  <si>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</si>
  <si>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</si>
  <si>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</si>
  <si>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</si>
  <si>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</si>
  <si>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</si>
  <si>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</si>
  <si>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</si>
  <si>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</si>
  <si>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</si>
  <si>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</si>
  <si>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</si>
  <si>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</si>
  <si>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</si>
  <si>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</si>
  <si>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</si>
  <si>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</si>
  <si>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</si>
  <si>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</si>
  <si>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</si>
  <si>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</si>
  <si>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</si>
  <si>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</si>
  <si>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</si>
  <si>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</si>
  <si>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</si>
  <si>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</si>
  <si>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</si>
  <si>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</si>
  <si>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</si>
  <si>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</si>
  <si>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</si>
  <si>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</si>
  <si>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</si>
  <si>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</si>
  <si>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</si>
  <si>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</si>
  <si>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</si>
  <si>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</si>
  <si>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</si>
  <si>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</si>
  <si>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</si>
  <si>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</si>
  <si>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</si>
  <si>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</si>
  <si>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</si>
  <si>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</si>
  <si>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</si>
  <si>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</si>
  <si>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</si>
  <si>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</si>
  <si>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</si>
  <si>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</si>
  <si>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</si>
  <si>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</si>
  <si>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</si>
  <si>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</si>
  <si>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</si>
  <si>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</si>
  <si>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</si>
  <si>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</si>
  <si>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</si>
  <si>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</si>
  <si>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</si>
  <si>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</si>
  <si>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</si>
  <si>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</si>
  <si>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</si>
  <si>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</si>
  <si>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</si>
  <si>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</si>
  <si>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</si>
  <si>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</si>
  <si>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</si>
  <si>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</si>
  <si>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</si>
  <si>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</si>
  <si>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</si>
  <si>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</si>
  <si>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</si>
  <si>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</si>
  <si>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</si>
  <si>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</si>
  <si>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</si>
  <si>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</si>
  <si>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</si>
  <si>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</si>
  <si>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</si>
  <si>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</si>
  <si>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</si>
  <si>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</si>
  <si>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</si>
  <si>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</si>
  <si>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</si>
  <si>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</si>
  <si>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</si>
  <si>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</si>
  <si>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</si>
  <si>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</si>
  <si>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</si>
  <si>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</si>
  <si>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</si>
  <si>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</si>
  <si>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</si>
  <si>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</si>
  <si>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</si>
  <si>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</si>
  <si>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</si>
  <si>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</si>
  <si>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</si>
  <si>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</si>
  <si>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</si>
  <si>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</si>
  <si>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</si>
  <si>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</si>
  <si>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</si>
  <si>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</si>
  <si>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</si>
  <si>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</si>
  <si>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</si>
  <si>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</si>
  <si>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</si>
  <si>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</si>
  <si>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</si>
  <si>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</si>
  <si>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</si>
  <si>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</si>
  <si>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</si>
  <si>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</si>
  <si>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</si>
  <si>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</si>
  <si>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</si>
  <si>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</si>
  <si>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</si>
  <si>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</si>
  <si>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</si>
  <si>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</si>
  <si>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</si>
  <si>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</si>
  <si>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</si>
  <si>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</si>
  <si>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</si>
  <si>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</si>
  <si>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</si>
  <si>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</si>
  <si>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</si>
  <si>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</si>
  <si>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</si>
  <si>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</si>
  <si>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</si>
  <si>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</si>
  <si>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</si>
  <si>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</si>
  <si>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</si>
  <si>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</si>
  <si>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</si>
  <si>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</si>
  <si>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</si>
  <si>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</si>
  <si>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</si>
  <si>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</si>
  <si>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</si>
  <si>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</si>
  <si>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</si>
  <si>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</si>
  <si>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</si>
  <si>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</si>
  <si>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</si>
  <si>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</si>
  <si>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</si>
  <si>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</si>
  <si>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</si>
  <si>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</si>
  <si>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</si>
  <si>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</si>
  <si>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</si>
  <si>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</si>
  <si>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</si>
  <si>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</si>
  <si>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</si>
  <si>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</si>
  <si>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</si>
  <si>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</si>
  <si>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</si>
  <si>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</si>
  <si>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</si>
  <si>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</si>
  <si>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</si>
  <si>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</si>
  <si>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</si>
  <si>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</si>
  <si>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</si>
  <si>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</si>
  <si>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</si>
  <si>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</si>
  <si>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</si>
  <si>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</si>
  <si>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</si>
  <si>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</si>
  <si>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</si>
  <si>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</si>
  <si>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</si>
  <si>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</si>
  <si>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</si>
  <si>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</si>
  <si>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</si>
  <si>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</si>
  <si>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</si>
  <si>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</si>
  <si>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</si>
  <si>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Ag E&amp;S</t>
  </si>
  <si>
    <t>Streambank Fencing</t>
  </si>
  <si>
    <t>Stream Feet Fenced</t>
  </si>
  <si>
    <t>Reduction (lb/ft)</t>
  </si>
  <si>
    <t>Nutrient Management</t>
  </si>
  <si>
    <t>Part 1: Surface Runoff</t>
  </si>
  <si>
    <t>Part 2: Subsurface Flow</t>
  </si>
  <si>
    <t>Total Lbs/Yr Reduced</t>
  </si>
  <si>
    <t>AWMS</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</si>
  <si>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</si>
  <si>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</si>
  <si>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</si>
  <si>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</si>
  <si>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</si>
  <si>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</si>
  <si>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</si>
  <si>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</si>
  <si>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</si>
  <si>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</si>
  <si>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</si>
  <si>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</si>
  <si>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</si>
  <si>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</si>
  <si>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</si>
  <si>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</si>
  <si>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</si>
  <si>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</si>
  <si>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</si>
  <si>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</si>
  <si>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</si>
  <si>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</si>
  <si>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</si>
  <si>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</si>
  <si>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</si>
  <si>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</si>
  <si>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</si>
  <si>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</si>
  <si>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</si>
  <si>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</si>
  <si>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</si>
  <si>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</si>
  <si>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</si>
  <si>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</si>
  <si>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</si>
  <si>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</si>
  <si>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</si>
  <si>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</si>
  <si>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</si>
  <si>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</si>
  <si>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</si>
  <si>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</si>
  <si>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</si>
  <si>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</si>
  <si>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</si>
  <si>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</si>
  <si>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</si>
  <si>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</si>
  <si>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</si>
  <si>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</si>
  <si>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</si>
  <si>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</si>
  <si>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</si>
  <si>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</si>
  <si>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</si>
  <si>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</si>
  <si>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</si>
  <si>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</si>
  <si>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</si>
  <si>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</si>
  <si>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</si>
  <si>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</si>
  <si>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</si>
  <si>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</si>
  <si>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</si>
  <si>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</si>
  <si>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</si>
  <si>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</si>
  <si>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</si>
  <si>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</si>
  <si>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</si>
  <si>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</si>
  <si>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</si>
  <si>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</si>
  <si>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</si>
  <si>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</si>
  <si>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</si>
  <si>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</si>
  <si>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</si>
  <si>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</si>
  <si>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</si>
  <si>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</si>
  <si>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</si>
  <si>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</si>
  <si>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</si>
  <si>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</si>
  <si>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</si>
  <si>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</si>
  <si>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</si>
  <si>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</si>
  <si>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</si>
  <si>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</si>
  <si>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</si>
  <si>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</si>
  <si>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</si>
  <si>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</si>
  <si>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</si>
  <si>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</si>
  <si>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</si>
  <si>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</si>
  <si>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</si>
  <si>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</si>
  <si>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</si>
  <si>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</si>
  <si>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</si>
  <si>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</si>
  <si>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</si>
  <si>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</si>
  <si>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</si>
  <si>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</si>
  <si>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</si>
  <si>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</si>
  <si>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</si>
  <si>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</si>
  <si>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</si>
  <si>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</si>
  <si>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</si>
  <si>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</si>
  <si>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</si>
  <si>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</si>
  <si>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</si>
  <si>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</si>
  <si>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</si>
  <si>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Existing</t>
  </si>
  <si>
    <t>Mall</t>
  </si>
  <si>
    <t>ST</t>
  </si>
  <si>
    <t>Pine Creek</t>
  </si>
  <si>
    <t>Proposed</t>
  </si>
  <si>
    <t>Stream Restoration</t>
  </si>
  <si>
    <t>YearInstalled</t>
  </si>
  <si>
    <t>Existing or Proposed</t>
  </si>
  <si>
    <t>Optional user input</t>
  </si>
  <si>
    <t>RR</t>
  </si>
  <si>
    <t>System 1</t>
  </si>
  <si>
    <t>System 2</t>
  </si>
  <si>
    <t>Area 1</t>
  </si>
  <si>
    <t>Area 2</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</si>
  <si>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</si>
  <si>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</si>
  <si>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</si>
  <si>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</si>
  <si>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</si>
  <si>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</si>
  <si>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</si>
  <si>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</si>
  <si>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</si>
  <si>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INSTRUCTIONS: Each row in the table below can represent either different areas of land use/cover within a single planning area (e.g., municipality), or different BMP drainage areas within a given planning area.</t>
  </si>
  <si>
    <t>If an individual planning area has multiple "developed land" types, each type can be represented in separate rows, with each row having the same "Project Name". If it is assumed that the planning area is being reated by one BMP system, then the "Treatment Depth" should be the same for each row.</t>
  </si>
  <si>
    <t>The examples below show various options for characterizing different types of project areas. Notice that one example demonstrates when a drainage area covers two land uses (see row 13 and 14).</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</si>
  <si>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the treatment depth should be the same for any row associated with the same Project Name. </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</si>
  <si>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</si>
  <si>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</si>
  <si>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</si>
  <si>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</si>
  <si>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</si>
  <si>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</si>
  <si>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</si>
  <si>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</si>
  <si>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</si>
  <si>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</si>
  <si>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</si>
  <si>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</si>
  <si>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</si>
  <si>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</si>
  <si>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</si>
  <si>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</si>
  <si>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</si>
  <si>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</si>
  <si>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</si>
  <si>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</si>
  <si>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</si>
  <si>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</si>
  <si>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</si>
  <si>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</si>
  <si>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</si>
  <si>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</si>
  <si>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</si>
  <si>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</si>
  <si>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Total Available Animal Load</t>
  </si>
  <si>
    <t>Pct of Poultry Treated (0-100)</t>
  </si>
  <si>
    <t>Pct of Livestock Treated (0-100)</t>
  </si>
  <si>
    <t>Contour Farmimg/Strip Cropping</t>
  </si>
  <si>
    <t>Acres Implemented</t>
  </si>
  <si>
    <t>Riparian Forest Buffers</t>
  </si>
  <si>
    <t>Conservation Tillage</t>
  </si>
  <si>
    <t>The agricultural BMPs listed above cannot overlap. If the value to the left is less than zero, acres for one or more of the BMPs listed above must be reduced to bring this value at or above zero.</t>
  </si>
  <si>
    <t>Total acres available for both existing and proposed Cover Crops, Conservation Tillage, Ag E&amp;S, Cropland Retirement and Contour Farming/Strip Cropping</t>
  </si>
  <si>
    <t>Note: 1 acre of buffer treats 2 acres of cropland for TP and sediment, and 4 acres of cropland for TN</t>
  </si>
  <si>
    <t>Note: Do not double-count w/Conservation Till, Ag E&amp;S, Cropland Retirement, and Contour Farming/Strip Farming</t>
  </si>
  <si>
    <t>Note: Do not double-count w/Cover Crops, Ag E&amp;S, Cropland Retirement, and Contour Farming/Strip Cropping</t>
  </si>
  <si>
    <t>Note: Do not double-count w/Cover Crops, Conservation Tillage, Ag E&amp;S, and Contour Farming/Strip Cropping</t>
  </si>
  <si>
    <t>Note: Do not double-count w/Cover Crops, Conservation Tillage, Cropland Retirement, and Contour Farming/Strip Cropping</t>
  </si>
  <si>
    <t>Note: Do not double-count w/Cover Crops, Conservation Tillage, Cropland Retirement, and Ag E&amp;S.</t>
  </si>
  <si>
    <t>Total acres available for Nutrient Management (i.e., total available cropland [B5] - acres of retired cropland [J45 + O45]).</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</si>
  <si>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</si>
  <si>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</si>
  <si>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</si>
  <si>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</si>
  <si>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Available Road Length</t>
  </si>
  <si>
    <t>Feet of Road Length Repaired</t>
  </si>
  <si>
    <t>User-Supplied Value</t>
  </si>
  <si>
    <t>*** Ag BMP DATA CHECK ***</t>
  </si>
  <si>
    <t>Sed lb/ft</t>
  </si>
  <si>
    <t>TN lb/ft</t>
  </si>
  <si>
    <t>TP lb/ft</t>
  </si>
  <si>
    <t>SB Sed Load Rate</t>
  </si>
  <si>
    <t>SB TN Load Rate</t>
  </si>
  <si>
    <t>SB TP Load Rate</t>
  </si>
  <si>
    <t>Pollutant Reduction (lb/ft)</t>
  </si>
  <si>
    <t>Calculated</t>
  </si>
  <si>
    <t>Urban Default</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</si>
  <si>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</si>
  <si>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</si>
  <si>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</si>
  <si>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</si>
  <si>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</si>
  <si>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</si>
  <si>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</si>
  <si>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</si>
  <si>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</si>
  <si>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</si>
  <si>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</si>
  <si>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</si>
  <si>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</si>
  <si>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</si>
  <si>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</si>
  <si>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</si>
  <si>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</si>
  <si>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</si>
  <si>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</si>
  <si>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</si>
  <si>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</si>
  <si>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</si>
  <si>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</si>
  <si>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</si>
  <si>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</si>
  <si>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</si>
  <si>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</si>
  <si>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 xml:space="preserve">If runoff from a land use/cover type with NO impervious cover (e.g., Cropland) is treated by a BMP system (either existing or proposed), use the Manual Override (column M) to type in the treatment depth (in/imp. ac). </t>
  </si>
  <si>
    <t>Land Use/Cover Distribution for the Smaller Urban Planning Area</t>
  </si>
  <si>
    <t>Available Road Length***</t>
  </si>
  <si>
    <t>***Note: The length of existing Dirt &amp; Gravel roads within a given watershed are not estimated automaticall by MMW and must be supplied by the user.</t>
  </si>
  <si>
    <t>SampleShed</t>
  </si>
  <si>
    <t>2020-01-09 at 1:00pm ET</t>
  </si>
  <si>
    <t>Revision Number:</t>
  </si>
  <si>
    <t>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</si>
</sst>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s>
  <fonts count="9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s>
  <fills count="50">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75">
    <xf numFmtId="0" fontId="0" fillId="0" borderId="0"/>
    <xf numFmtId="43" fontId="12"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43" fillId="0" borderId="0" applyNumberFormat="0" applyFill="0" applyBorder="0" applyAlignment="0" applyProtection="0"/>
    <xf numFmtId="0" fontId="48" fillId="0" borderId="0" applyNumberFormat="0" applyFill="0" applyBorder="0" applyAlignment="0" applyProtection="0"/>
    <xf numFmtId="0" fontId="72" fillId="0" borderId="0" applyNumberFormat="0" applyFill="0" applyBorder="0" applyAlignment="0" applyProtection="0"/>
    <xf numFmtId="0" fontId="73" fillId="0" borderId="83" applyNumberFormat="0" applyFill="0" applyAlignment="0" applyProtection="0"/>
    <xf numFmtId="0" fontId="74" fillId="0" borderId="84" applyNumberFormat="0" applyFill="0" applyAlignment="0" applyProtection="0"/>
    <xf numFmtId="0" fontId="75" fillId="0" borderId="85" applyNumberFormat="0" applyFill="0" applyAlignment="0" applyProtection="0"/>
    <xf numFmtId="0" fontId="75" fillId="0" borderId="0" applyNumberFormat="0" applyFill="0" applyBorder="0" applyAlignment="0" applyProtection="0"/>
    <xf numFmtId="0" fontId="76" fillId="10" borderId="0" applyNumberFormat="0" applyBorder="0" applyAlignment="0" applyProtection="0"/>
    <xf numFmtId="0" fontId="77" fillId="11" borderId="0" applyNumberFormat="0" applyBorder="0" applyAlignment="0" applyProtection="0"/>
    <xf numFmtId="0" fontId="78" fillId="12" borderId="0" applyNumberFormat="0" applyBorder="0" applyAlignment="0" applyProtection="0"/>
    <xf numFmtId="0" fontId="79" fillId="13" borderId="86" applyNumberFormat="0" applyAlignment="0" applyProtection="0"/>
    <xf numFmtId="0" fontId="80" fillId="14" borderId="87" applyNumberFormat="0" applyAlignment="0" applyProtection="0"/>
    <xf numFmtId="0" fontId="81" fillId="14" borderId="86" applyNumberFormat="0" applyAlignment="0" applyProtection="0"/>
    <xf numFmtId="0" fontId="82" fillId="0" borderId="88" applyNumberFormat="0" applyFill="0" applyAlignment="0" applyProtection="0"/>
    <xf numFmtId="0" fontId="53" fillId="15" borderId="89" applyNumberFormat="0" applyAlignment="0" applyProtection="0"/>
    <xf numFmtId="0" fontId="16" fillId="0" borderId="0" applyNumberFormat="0" applyFill="0" applyBorder="0" applyAlignment="0" applyProtection="0"/>
    <xf numFmtId="0" fontId="83" fillId="0" borderId="0" applyNumberFormat="0" applyFill="0" applyBorder="0" applyAlignment="0" applyProtection="0"/>
    <xf numFmtId="0" fontId="14" fillId="0" borderId="91" applyNumberFormat="0" applyFill="0" applyAlignment="0" applyProtection="0"/>
    <xf numFmtId="0" fontId="84"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84" fillId="28" borderId="0" applyNumberFormat="0" applyBorder="0" applyAlignment="0" applyProtection="0"/>
    <xf numFmtId="0" fontId="84"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84" fillId="32" borderId="0" applyNumberFormat="0" applyBorder="0" applyAlignment="0" applyProtection="0"/>
    <xf numFmtId="0" fontId="84"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84" fillId="36" borderId="0" applyNumberFormat="0" applyBorder="0" applyAlignment="0" applyProtection="0"/>
    <xf numFmtId="0" fontId="84"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84" fillId="40" borderId="0" applyNumberFormat="0" applyBorder="0" applyAlignment="0" applyProtection="0"/>
    <xf numFmtId="0" fontId="11" fillId="0" borderId="0"/>
    <xf numFmtId="0" fontId="11" fillId="16" borderId="90" applyNumberFormat="0" applyFont="0" applyAlignment="0" applyProtection="0"/>
    <xf numFmtId="43" fontId="11" fillId="0" borderId="0" applyFont="0" applyFill="0" applyBorder="0" applyAlignment="0" applyProtection="0"/>
    <xf numFmtId="9" fontId="11" fillId="0" borderId="0" applyFont="0" applyFill="0" applyBorder="0" applyAlignment="0" applyProtection="0"/>
    <xf numFmtId="0" fontId="28" fillId="0" borderId="0"/>
    <xf numFmtId="9" fontId="28" fillId="0" borderId="0" applyFont="0" applyFill="0" applyBorder="0" applyAlignment="0" applyProtection="0"/>
    <xf numFmtId="0" fontId="8" fillId="0" borderId="0"/>
    <xf numFmtId="9" fontId="1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90" applyNumberFormat="0" applyFont="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612">
    <xf numFmtId="0" fontId="0" fillId="0" borderId="0" xfId="0"/>
    <xf numFmtId="0" fontId="13" fillId="0" borderId="0" xfId="2"/>
    <xf numFmtId="0" fontId="14" fillId="0" borderId="0" xfId="2" applyFont="1" applyAlignment="1">
      <alignment horizontal="justify" vertical="center"/>
    </xf>
    <xf numFmtId="0" fontId="13" fillId="0" borderId="0" xfId="2" applyAlignment="1">
      <alignment wrapText="1"/>
    </xf>
    <xf numFmtId="0" fontId="14" fillId="0" borderId="0" xfId="2" applyFont="1"/>
    <xf numFmtId="0" fontId="14" fillId="0" borderId="0" xfId="2" applyFont="1" applyAlignment="1">
      <alignment wrapText="1"/>
    </xf>
    <xf numFmtId="0" fontId="21" fillId="0" borderId="0" xfId="0" applyFont="1"/>
    <xf numFmtId="0" fontId="22" fillId="0" borderId="0" xfId="0" applyFont="1"/>
    <xf numFmtId="0" fontId="22" fillId="0" borderId="0" xfId="0" applyFont="1" applyAlignment="1">
      <alignment horizontal="right"/>
    </xf>
    <xf numFmtId="0" fontId="22" fillId="0" borderId="0" xfId="0" applyFont="1" applyFill="1"/>
    <xf numFmtId="0" fontId="22" fillId="0" borderId="0" xfId="0" applyFont="1" applyAlignment="1"/>
    <xf numFmtId="0" fontId="23" fillId="0" borderId="0" xfId="0" applyFont="1"/>
    <xf numFmtId="0" fontId="20" fillId="0" borderId="0" xfId="0" applyFont="1"/>
    <xf numFmtId="0" fontId="24" fillId="0" borderId="0" xfId="0" applyFont="1"/>
    <xf numFmtId="0" fontId="24" fillId="0" borderId="0" xfId="0" applyFont="1" applyFill="1"/>
    <xf numFmtId="0" fontId="25" fillId="0" borderId="0" xfId="0" applyFont="1" applyAlignment="1">
      <alignment horizontal="right"/>
    </xf>
    <xf numFmtId="0" fontId="25" fillId="0" borderId="0" xfId="0" applyFont="1" applyBorder="1" applyAlignment="1">
      <alignment horizontal="center"/>
    </xf>
    <xf numFmtId="0" fontId="22" fillId="0" borderId="1" xfId="0" applyFont="1" applyBorder="1"/>
    <xf numFmtId="0" fontId="22" fillId="0" borderId="2" xfId="0" applyFont="1" applyBorder="1"/>
    <xf numFmtId="0" fontId="22" fillId="0" borderId="3" xfId="0" applyFont="1" applyBorder="1"/>
    <xf numFmtId="0" fontId="22" fillId="0" borderId="5" xfId="0" applyFont="1" applyFill="1" applyBorder="1"/>
    <xf numFmtId="0" fontId="25" fillId="0" borderId="6" xfId="0" applyFont="1" applyFill="1" applyBorder="1" applyAlignment="1">
      <alignment wrapText="1"/>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9" xfId="0" applyFont="1" applyFill="1" applyBorder="1" applyAlignment="1">
      <alignment horizontal="center" wrapText="1"/>
    </xf>
    <xf numFmtId="0" fontId="22" fillId="0" borderId="10" xfId="0" applyFont="1" applyBorder="1" applyAlignment="1">
      <alignment horizontal="center" wrapText="1"/>
    </xf>
    <xf numFmtId="0" fontId="22" fillId="0" borderId="8" xfId="0" applyFont="1" applyBorder="1" applyAlignment="1">
      <alignment horizontal="center" wrapText="1"/>
    </xf>
    <xf numFmtId="0" fontId="25" fillId="0" borderId="11" xfId="0" applyFont="1" applyBorder="1" applyAlignment="1">
      <alignment horizontal="center" wrapText="1"/>
    </xf>
    <xf numFmtId="0" fontId="22" fillId="0" borderId="0" xfId="0" applyFont="1" applyFill="1" applyBorder="1" applyAlignment="1">
      <alignment horizontal="center" wrapText="1"/>
    </xf>
    <xf numFmtId="0" fontId="26" fillId="0" borderId="12" xfId="0" applyFont="1" applyFill="1" applyBorder="1" applyAlignment="1">
      <alignment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2" fillId="0" borderId="16" xfId="0" applyFont="1" applyBorder="1" applyAlignment="1">
      <alignment horizontal="center"/>
    </xf>
    <xf numFmtId="0" fontId="22" fillId="0" borderId="14"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center"/>
    </xf>
    <xf numFmtId="0" fontId="22" fillId="0" borderId="0" xfId="0" applyFont="1" applyFill="1" applyBorder="1"/>
    <xf numFmtId="0" fontId="22" fillId="0" borderId="14" xfId="0" applyFont="1" applyBorder="1"/>
    <xf numFmtId="4" fontId="29" fillId="2" borderId="19" xfId="0" applyNumberFormat="1" applyFont="1" applyFill="1" applyBorder="1" applyAlignment="1">
      <alignment horizontal="right" indent="3"/>
    </xf>
    <xf numFmtId="4" fontId="28" fillId="2" borderId="3" xfId="0" applyNumberFormat="1" applyFont="1" applyFill="1" applyBorder="1"/>
    <xf numFmtId="4" fontId="28" fillId="0" borderId="20" xfId="0" applyNumberFormat="1" applyFont="1" applyBorder="1"/>
    <xf numFmtId="4" fontId="28" fillId="2" borderId="20" xfId="0" applyNumberFormat="1" applyFont="1" applyFill="1" applyBorder="1"/>
    <xf numFmtId="4" fontId="28" fillId="0" borderId="9" xfId="0" applyNumberFormat="1" applyFont="1" applyBorder="1"/>
    <xf numFmtId="0" fontId="25" fillId="0" borderId="12" xfId="0" applyFont="1" applyFill="1" applyBorder="1" applyAlignment="1">
      <alignment wrapText="1"/>
    </xf>
    <xf numFmtId="164" fontId="22" fillId="0" borderId="13" xfId="0" applyNumberFormat="1" applyFont="1" applyFill="1" applyBorder="1"/>
    <xf numFmtId="164" fontId="22" fillId="0" borderId="14" xfId="0" applyNumberFormat="1" applyFont="1" applyFill="1" applyBorder="1"/>
    <xf numFmtId="0" fontId="25" fillId="0" borderId="14" xfId="0" applyFont="1" applyFill="1" applyBorder="1" applyAlignment="1">
      <alignment horizontal="center" wrapText="1"/>
    </xf>
    <xf numFmtId="0" fontId="25" fillId="0" borderId="15" xfId="0" applyFont="1" applyFill="1" applyBorder="1" applyAlignment="1">
      <alignment horizontal="center" wrapText="1"/>
    </xf>
    <xf numFmtId="0" fontId="26" fillId="0" borderId="6" xfId="0" applyFont="1" applyFill="1" applyBorder="1" applyAlignment="1">
      <alignment vertical="center" wrapText="1"/>
    </xf>
    <xf numFmtId="0" fontId="26" fillId="0" borderId="4" xfId="0" applyFont="1" applyFill="1" applyBorder="1" applyAlignment="1">
      <alignment horizontal="center" vertical="center" wrapText="1"/>
    </xf>
    <xf numFmtId="0" fontId="26" fillId="0" borderId="2" xfId="0" applyFont="1" applyFill="1" applyBorder="1" applyAlignment="1">
      <alignment horizontal="center" vertical="center" wrapText="1"/>
    </xf>
    <xf numFmtId="164" fontId="22" fillId="0" borderId="2" xfId="0" applyNumberFormat="1" applyFont="1" applyFill="1" applyBorder="1" applyAlignment="1">
      <alignment vertical="center"/>
    </xf>
    <xf numFmtId="0" fontId="26" fillId="0" borderId="3" xfId="0" applyFont="1" applyFill="1" applyBorder="1" applyAlignment="1">
      <alignment horizontal="center" vertical="center" wrapText="1"/>
    </xf>
    <xf numFmtId="4" fontId="28" fillId="2" borderId="1" xfId="0" applyNumberFormat="1" applyFont="1" applyFill="1" applyBorder="1" applyAlignment="1">
      <alignment vertical="center"/>
    </xf>
    <xf numFmtId="164" fontId="28" fillId="2" borderId="2" xfId="0" applyNumberFormat="1" applyFont="1" applyFill="1" applyBorder="1" applyAlignment="1">
      <alignment horizontal="right" vertical="center"/>
    </xf>
    <xf numFmtId="4" fontId="28" fillId="2" borderId="2" xfId="0" applyNumberFormat="1" applyFont="1" applyFill="1" applyBorder="1" applyAlignment="1">
      <alignment horizontal="right" vertical="center"/>
    </xf>
    <xf numFmtId="4" fontId="28" fillId="2" borderId="3" xfId="0" applyNumberFormat="1" applyFont="1" applyFill="1" applyBorder="1" applyAlignment="1">
      <alignment horizontal="right" vertical="center"/>
    </xf>
    <xf numFmtId="4" fontId="28" fillId="0" borderId="5" xfId="0" applyNumberFormat="1" applyFont="1" applyBorder="1" applyAlignment="1">
      <alignment vertical="center"/>
    </xf>
    <xf numFmtId="164" fontId="28" fillId="0" borderId="0" xfId="0" applyNumberFormat="1" applyFont="1" applyBorder="1" applyAlignment="1">
      <alignment horizontal="right" vertical="center"/>
    </xf>
    <xf numFmtId="4" fontId="28" fillId="0" borderId="0" xfId="0" applyNumberFormat="1" applyFont="1" applyBorder="1" applyAlignment="1">
      <alignment horizontal="right" vertical="center"/>
    </xf>
    <xf numFmtId="4" fontId="28" fillId="0" borderId="20" xfId="0" applyNumberFormat="1" applyFont="1" applyBorder="1" applyAlignment="1">
      <alignment horizontal="right" vertical="center"/>
    </xf>
    <xf numFmtId="4" fontId="28" fillId="2" borderId="0" xfId="0" applyNumberFormat="1" applyFont="1" applyFill="1" applyBorder="1" applyAlignment="1">
      <alignment vertical="center"/>
    </xf>
    <xf numFmtId="164" fontId="28" fillId="2" borderId="23" xfId="0" applyNumberFormat="1" applyFont="1" applyFill="1" applyBorder="1" applyAlignment="1">
      <alignment horizontal="right" vertical="center"/>
    </xf>
    <xf numFmtId="164" fontId="28" fillId="2" borderId="0" xfId="0" applyNumberFormat="1" applyFont="1" applyFill="1" applyBorder="1" applyAlignment="1">
      <alignment horizontal="right" vertical="center"/>
    </xf>
    <xf numFmtId="4" fontId="28" fillId="2" borderId="0" xfId="0" applyNumberFormat="1" applyFont="1" applyFill="1" applyBorder="1" applyAlignment="1">
      <alignment horizontal="right" vertical="center"/>
    </xf>
    <xf numFmtId="4" fontId="28" fillId="2" borderId="24" xfId="0" applyNumberFormat="1" applyFont="1" applyFill="1" applyBorder="1" applyAlignment="1">
      <alignment horizontal="right" vertical="center"/>
    </xf>
    <xf numFmtId="4" fontId="22" fillId="0" borderId="0" xfId="0" applyNumberFormat="1" applyFont="1"/>
    <xf numFmtId="0" fontId="25" fillId="0" borderId="0" xfId="0" applyFont="1" applyBorder="1" applyAlignment="1">
      <alignment horizontal="center" vertical="center" textRotation="90"/>
    </xf>
    <xf numFmtId="4" fontId="28" fillId="0" borderId="23" xfId="0" applyNumberFormat="1" applyFont="1" applyFill="1" applyBorder="1" applyAlignment="1">
      <alignment vertical="center"/>
    </xf>
    <xf numFmtId="164" fontId="28" fillId="0" borderId="23" xfId="0" applyNumberFormat="1" applyFont="1" applyFill="1" applyBorder="1" applyAlignment="1">
      <alignment horizontal="right" vertical="center"/>
    </xf>
    <xf numFmtId="164" fontId="28" fillId="0" borderId="0" xfId="0" applyNumberFormat="1" applyFont="1" applyFill="1" applyBorder="1" applyAlignment="1">
      <alignment horizontal="right" vertical="center"/>
    </xf>
    <xf numFmtId="4" fontId="28" fillId="0" borderId="0" xfId="0" applyNumberFormat="1" applyFont="1" applyFill="1" applyBorder="1" applyAlignment="1">
      <alignment horizontal="right" vertical="center"/>
    </xf>
    <xf numFmtId="4" fontId="28" fillId="0" borderId="24" xfId="0" applyNumberFormat="1" applyFont="1" applyFill="1" applyBorder="1" applyAlignment="1">
      <alignment horizontal="right" vertical="center"/>
    </xf>
    <xf numFmtId="0" fontId="25" fillId="0" borderId="0" xfId="0" applyFont="1" applyFill="1" applyBorder="1" applyAlignment="1">
      <alignment horizontal="center" vertical="center" textRotation="90"/>
    </xf>
    <xf numFmtId="4" fontId="28" fillId="3" borderId="23" xfId="0" applyNumberFormat="1" applyFont="1" applyFill="1" applyBorder="1" applyAlignment="1">
      <alignment vertical="center"/>
    </xf>
    <xf numFmtId="164" fontId="28" fillId="3" borderId="23" xfId="0" applyNumberFormat="1" applyFont="1" applyFill="1" applyBorder="1" applyAlignment="1">
      <alignment horizontal="right" vertical="center"/>
    </xf>
    <xf numFmtId="164" fontId="28" fillId="3" borderId="0" xfId="0" applyNumberFormat="1" applyFont="1" applyFill="1" applyBorder="1" applyAlignment="1">
      <alignment horizontal="right" vertical="center"/>
    </xf>
    <xf numFmtId="4" fontId="28" fillId="3" borderId="0" xfId="0" applyNumberFormat="1" applyFont="1" applyFill="1" applyBorder="1" applyAlignment="1">
      <alignment horizontal="right" vertical="center"/>
    </xf>
    <xf numFmtId="4" fontId="28" fillId="0" borderId="25" xfId="0" applyNumberFormat="1" applyFont="1" applyFill="1" applyBorder="1" applyAlignment="1">
      <alignment vertical="center"/>
    </xf>
    <xf numFmtId="164" fontId="28" fillId="0" borderId="25" xfId="0" applyNumberFormat="1" applyFont="1" applyFill="1" applyBorder="1" applyAlignment="1">
      <alignment horizontal="right" vertical="center"/>
    </xf>
    <xf numFmtId="164" fontId="28" fillId="0" borderId="21" xfId="0" applyNumberFormat="1" applyFont="1" applyFill="1" applyBorder="1" applyAlignment="1">
      <alignment horizontal="right" vertical="center"/>
    </xf>
    <xf numFmtId="4" fontId="28" fillId="0" borderId="21" xfId="0" applyNumberFormat="1" applyFont="1" applyFill="1" applyBorder="1" applyAlignment="1">
      <alignment horizontal="right" vertical="center"/>
    </xf>
    <xf numFmtId="4" fontId="28" fillId="0" borderId="26" xfId="0" applyNumberFormat="1" applyFont="1" applyFill="1" applyBorder="1" applyAlignment="1">
      <alignment horizontal="right" vertical="center"/>
    </xf>
    <xf numFmtId="4" fontId="28" fillId="0" borderId="0" xfId="0" applyNumberFormat="1" applyFont="1" applyFill="1" applyBorder="1" applyAlignment="1">
      <alignment vertical="center"/>
    </xf>
    <xf numFmtId="0" fontId="22" fillId="0" borderId="0" xfId="0" applyFont="1" applyAlignment="1">
      <alignment vertical="center"/>
    </xf>
    <xf numFmtId="4" fontId="22" fillId="0" borderId="18" xfId="0" applyNumberFormat="1" applyFont="1" applyFill="1" applyBorder="1"/>
    <xf numFmtId="164" fontId="22" fillId="0" borderId="0" xfId="0" applyNumberFormat="1" applyFont="1" applyFill="1" applyBorder="1"/>
    <xf numFmtId="4" fontId="22" fillId="0" borderId="22" xfId="0" applyNumberFormat="1" applyFont="1" applyFill="1" applyBorder="1"/>
    <xf numFmtId="0" fontId="30" fillId="0" borderId="0" xfId="0" applyFont="1"/>
    <xf numFmtId="0" fontId="22" fillId="0" borderId="0" xfId="0" applyFont="1" applyAlignment="1">
      <alignment horizontal="left"/>
    </xf>
    <xf numFmtId="0" fontId="22" fillId="0" borderId="0" xfId="2" applyFont="1"/>
    <xf numFmtId="0" fontId="21" fillId="0" borderId="0" xfId="2" applyFont="1"/>
    <xf numFmtId="0" fontId="31" fillId="0" borderId="0" xfId="2" quotePrefix="1" applyFont="1"/>
    <xf numFmtId="0" fontId="25" fillId="0" borderId="0" xfId="2" applyFont="1"/>
    <xf numFmtId="0" fontId="25" fillId="0" borderId="0" xfId="2" applyFont="1" applyAlignment="1">
      <alignment horizontal="right"/>
    </xf>
    <xf numFmtId="2" fontId="22" fillId="0" borderId="0" xfId="2" applyNumberFormat="1" applyFont="1"/>
    <xf numFmtId="0" fontId="25" fillId="0" borderId="0" xfId="2" applyFont="1" applyFill="1" applyAlignment="1">
      <alignment horizontal="right"/>
    </xf>
    <xf numFmtId="0" fontId="22" fillId="0" borderId="0" xfId="2" applyFont="1" applyFill="1"/>
    <xf numFmtId="0" fontId="25" fillId="0" borderId="28" xfId="2" applyFont="1" applyFill="1" applyBorder="1" applyAlignment="1">
      <alignment horizontal="left" vertical="center" wrapText="1" indent="1"/>
    </xf>
    <xf numFmtId="0" fontId="25" fillId="0" borderId="29" xfId="2" applyFont="1" applyFill="1" applyBorder="1" applyAlignment="1">
      <alignment vertical="center" wrapText="1"/>
    </xf>
    <xf numFmtId="0" fontId="25" fillId="0" borderId="30" xfId="2" applyFont="1" applyFill="1" applyBorder="1" applyAlignment="1">
      <alignment horizontal="center" vertical="center" wrapText="1"/>
    </xf>
    <xf numFmtId="0" fontId="25" fillId="0" borderId="31" xfId="2" applyFont="1" applyFill="1" applyBorder="1" applyAlignment="1">
      <alignment horizontal="center" vertical="center" wrapText="1"/>
    </xf>
    <xf numFmtId="0" fontId="26" fillId="0" borderId="32" xfId="2" applyFont="1" applyFill="1" applyBorder="1" applyAlignment="1">
      <alignment horizontal="left" vertical="center" wrapText="1" indent="1"/>
    </xf>
    <xf numFmtId="0" fontId="25" fillId="0" borderId="33" xfId="2" applyFont="1" applyFill="1" applyBorder="1" applyAlignment="1">
      <alignment vertical="center" wrapText="1"/>
    </xf>
    <xf numFmtId="0" fontId="26" fillId="0" borderId="34" xfId="2" applyFont="1" applyFill="1" applyBorder="1" applyAlignment="1">
      <alignment horizontal="center" vertical="center" wrapText="1"/>
    </xf>
    <xf numFmtId="0" fontId="26" fillId="0" borderId="35" xfId="2" applyFont="1" applyFill="1" applyBorder="1" applyAlignment="1">
      <alignment horizontal="center" vertical="center" wrapText="1"/>
    </xf>
    <xf numFmtId="4" fontId="22" fillId="0" borderId="36" xfId="2" applyNumberFormat="1" applyFont="1" applyFill="1" applyBorder="1" applyAlignment="1">
      <alignment horizontal="left" indent="1"/>
    </xf>
    <xf numFmtId="4" fontId="22" fillId="0" borderId="24" xfId="2" applyNumberFormat="1" applyFont="1" applyFill="1" applyBorder="1"/>
    <xf numFmtId="43" fontId="32" fillId="4" borderId="0" xfId="3" applyFont="1" applyFill="1" applyBorder="1"/>
    <xf numFmtId="43" fontId="32" fillId="4" borderId="37" xfId="3" applyFont="1" applyFill="1" applyBorder="1"/>
    <xf numFmtId="0" fontId="33" fillId="0" borderId="0" xfId="2" applyFont="1" applyFill="1"/>
    <xf numFmtId="43" fontId="22" fillId="0" borderId="0" xfId="2" applyNumberFormat="1" applyFont="1"/>
    <xf numFmtId="4" fontId="22" fillId="0" borderId="38" xfId="2" applyNumberFormat="1" applyFont="1" applyFill="1" applyBorder="1" applyAlignment="1">
      <alignment horizontal="left" indent="1"/>
    </xf>
    <xf numFmtId="4" fontId="22" fillId="0" borderId="39" xfId="2" applyNumberFormat="1" applyFont="1" applyFill="1" applyBorder="1"/>
    <xf numFmtId="43" fontId="32" fillId="4" borderId="27" xfId="3" applyFont="1" applyFill="1" applyBorder="1"/>
    <xf numFmtId="43" fontId="32" fillId="4" borderId="40" xfId="3" applyFont="1" applyFill="1" applyBorder="1"/>
    <xf numFmtId="0" fontId="26" fillId="0" borderId="0" xfId="2" applyFont="1" applyFill="1"/>
    <xf numFmtId="43" fontId="26" fillId="0" borderId="0" xfId="2" applyNumberFormat="1" applyFont="1" applyFill="1"/>
    <xf numFmtId="0" fontId="26" fillId="0" borderId="0" xfId="2" applyFont="1"/>
    <xf numFmtId="43" fontId="26" fillId="0" borderId="0" xfId="2" applyNumberFormat="1" applyFont="1"/>
    <xf numFmtId="0" fontId="34" fillId="0" borderId="0" xfId="2" applyFont="1"/>
    <xf numFmtId="0" fontId="21" fillId="0" borderId="0" xfId="2" applyFont="1" applyAlignment="1">
      <alignment horizontal="left"/>
    </xf>
    <xf numFmtId="0" fontId="21" fillId="0" borderId="0" xfId="2" applyFont="1" applyAlignment="1">
      <alignment wrapText="1"/>
    </xf>
    <xf numFmtId="0" fontId="22" fillId="0" borderId="0" xfId="2" applyFont="1" applyAlignment="1">
      <alignment wrapText="1"/>
    </xf>
    <xf numFmtId="0" fontId="25" fillId="0" borderId="0" xfId="2" applyFont="1" applyAlignment="1">
      <alignment vertical="top"/>
    </xf>
    <xf numFmtId="0" fontId="22" fillId="0" borderId="21" xfId="2" applyFont="1" applyBorder="1" applyAlignment="1">
      <alignment wrapText="1"/>
    </xf>
    <xf numFmtId="0" fontId="25" fillId="0" borderId="21" xfId="2" applyFont="1" applyBorder="1" applyAlignment="1">
      <alignment horizontal="center" wrapText="1"/>
    </xf>
    <xf numFmtId="4" fontId="28" fillId="2" borderId="6" xfId="2" applyNumberFormat="1" applyFont="1" applyFill="1" applyBorder="1" applyAlignment="1">
      <alignment vertical="center"/>
    </xf>
    <xf numFmtId="4" fontId="28" fillId="2" borderId="6" xfId="2" applyNumberFormat="1" applyFont="1" applyFill="1" applyBorder="1" applyAlignment="1">
      <alignment horizontal="right" vertical="center" indent="1"/>
    </xf>
    <xf numFmtId="0" fontId="22" fillId="0" borderId="0" xfId="2" applyFont="1" applyAlignment="1">
      <alignment vertical="center" wrapText="1"/>
    </xf>
    <xf numFmtId="0" fontId="22" fillId="0" borderId="0" xfId="2" applyFont="1" applyAlignment="1">
      <alignment vertical="top" wrapText="1"/>
    </xf>
    <xf numFmtId="4" fontId="25" fillId="0" borderId="21" xfId="2" applyNumberFormat="1" applyFont="1" applyBorder="1" applyAlignment="1">
      <alignment wrapText="1"/>
    </xf>
    <xf numFmtId="4" fontId="25" fillId="0" borderId="21" xfId="2" applyNumberFormat="1" applyFont="1" applyBorder="1" applyAlignment="1">
      <alignment horizontal="right" wrapText="1"/>
    </xf>
    <xf numFmtId="0" fontId="36" fillId="0" borderId="43" xfId="2" applyFont="1" applyBorder="1" applyAlignment="1">
      <alignment vertical="top" wrapText="1"/>
    </xf>
    <xf numFmtId="0" fontId="25" fillId="0" borderId="20" xfId="2" applyFont="1" applyBorder="1" applyAlignment="1">
      <alignment vertical="center" textRotation="90"/>
    </xf>
    <xf numFmtId="0" fontId="36" fillId="0" borderId="0" xfId="2" applyFont="1" applyBorder="1" applyAlignment="1">
      <alignment vertical="top" wrapText="1"/>
    </xf>
    <xf numFmtId="4" fontId="28" fillId="0" borderId="44" xfId="2" applyNumberFormat="1" applyFont="1" applyBorder="1" applyAlignment="1">
      <alignment vertical="center"/>
    </xf>
    <xf numFmtId="4" fontId="28" fillId="0" borderId="44" xfId="2" applyNumberFormat="1" applyFont="1" applyBorder="1" applyAlignment="1">
      <alignment horizontal="right" vertical="center" indent="1"/>
    </xf>
    <xf numFmtId="3" fontId="22" fillId="0" borderId="0" xfId="2" applyNumberFormat="1" applyFont="1"/>
    <xf numFmtId="4" fontId="37" fillId="0" borderId="0" xfId="2" applyNumberFormat="1" applyFont="1" applyFill="1" applyBorder="1" applyAlignment="1">
      <alignment wrapText="1"/>
    </xf>
    <xf numFmtId="3" fontId="37" fillId="0" borderId="0" xfId="2" applyNumberFormat="1" applyFont="1"/>
    <xf numFmtId="0" fontId="37" fillId="0" borderId="0" xfId="2" applyFont="1"/>
    <xf numFmtId="4" fontId="28" fillId="0" borderId="0" xfId="2" quotePrefix="1" applyNumberFormat="1" applyFont="1" applyFill="1" applyBorder="1" applyAlignment="1">
      <alignment wrapText="1"/>
    </xf>
    <xf numFmtId="4" fontId="28" fillId="0" borderId="0" xfId="2" applyNumberFormat="1" applyFont="1"/>
    <xf numFmtId="0" fontId="28" fillId="0" borderId="0" xfId="2" quotePrefix="1" applyFont="1"/>
    <xf numFmtId="4" fontId="25" fillId="0" borderId="0" xfId="2" applyNumberFormat="1" applyFont="1" applyFill="1" applyBorder="1" applyAlignment="1">
      <alignment wrapText="1"/>
    </xf>
    <xf numFmtId="4" fontId="28" fillId="2" borderId="20" xfId="2" applyNumberFormat="1" applyFont="1" applyFill="1" applyBorder="1" applyAlignment="1">
      <alignment horizontal="left" vertical="center"/>
    </xf>
    <xf numFmtId="164" fontId="28" fillId="2" borderId="6" xfId="2" quotePrefix="1" applyNumberFormat="1" applyFont="1" applyFill="1" applyBorder="1" applyAlignment="1">
      <alignment horizontal="left" vertical="center"/>
    </xf>
    <xf numFmtId="4" fontId="28" fillId="2" borderId="6" xfId="2" applyNumberFormat="1" applyFont="1" applyFill="1" applyBorder="1" applyAlignment="1">
      <alignment horizontal="center"/>
    </xf>
    <xf numFmtId="164" fontId="28" fillId="0" borderId="0" xfId="2" applyNumberFormat="1" applyFont="1" applyFill="1" applyBorder="1"/>
    <xf numFmtId="4" fontId="28" fillId="0" borderId="0" xfId="2" quotePrefix="1" applyNumberFormat="1" applyFont="1" applyFill="1" applyBorder="1" applyAlignment="1">
      <alignment horizontal="left" vertical="center" wrapText="1"/>
    </xf>
    <xf numFmtId="4" fontId="28" fillId="0" borderId="6" xfId="2" applyNumberFormat="1" applyFont="1" applyBorder="1" applyAlignment="1">
      <alignment horizontal="right" vertical="center" indent="1"/>
    </xf>
    <xf numFmtId="164" fontId="28" fillId="0" borderId="6" xfId="2" quotePrefix="1" applyNumberFormat="1" applyFont="1" applyBorder="1" applyAlignment="1">
      <alignment horizontal="left" vertical="center"/>
    </xf>
    <xf numFmtId="4" fontId="28" fillId="0" borderId="6" xfId="2" applyNumberFormat="1" applyFont="1" applyBorder="1" applyAlignment="1">
      <alignment horizontal="center"/>
    </xf>
    <xf numFmtId="164" fontId="28" fillId="0" borderId="6" xfId="2" applyNumberFormat="1" applyFont="1" applyBorder="1" applyAlignment="1">
      <alignment horizontal="right" vertical="center" indent="1"/>
    </xf>
    <xf numFmtId="164" fontId="28" fillId="0" borderId="6" xfId="2" applyNumberFormat="1" applyFont="1" applyBorder="1" applyAlignment="1">
      <alignment horizontal="left" vertical="center"/>
    </xf>
    <xf numFmtId="4" fontId="28" fillId="0" borderId="0" xfId="2" applyNumberFormat="1" applyFont="1" applyBorder="1" applyAlignment="1">
      <alignment horizontal="center"/>
    </xf>
    <xf numFmtId="4" fontId="29" fillId="2" borderId="6" xfId="2" applyNumberFormat="1" applyFont="1" applyFill="1" applyBorder="1" applyAlignment="1">
      <alignment horizontal="right" vertical="center" indent="1"/>
    </xf>
    <xf numFmtId="164" fontId="29" fillId="2" borderId="6" xfId="2" applyNumberFormat="1" applyFont="1" applyFill="1" applyBorder="1" applyAlignment="1">
      <alignment horizontal="left" vertical="center"/>
    </xf>
    <xf numFmtId="0" fontId="28" fillId="0" borderId="0" xfId="2" applyFont="1"/>
    <xf numFmtId="3" fontId="28" fillId="0" borderId="0" xfId="2" applyNumberFormat="1" applyFont="1" applyAlignment="1">
      <alignment horizontal="right" indent="2"/>
    </xf>
    <xf numFmtId="9" fontId="22" fillId="0" borderId="0" xfId="4" applyFont="1" applyAlignment="1">
      <alignment horizontal="right" indent="1"/>
    </xf>
    <xf numFmtId="0" fontId="22" fillId="0" borderId="0" xfId="2" quotePrefix="1" applyFont="1"/>
    <xf numFmtId="0" fontId="36" fillId="0" borderId="0" xfId="2" applyFont="1"/>
    <xf numFmtId="0" fontId="22" fillId="0" borderId="21" xfId="2" applyFont="1" applyBorder="1"/>
    <xf numFmtId="0" fontId="25" fillId="0" borderId="21" xfId="2" applyFont="1" applyBorder="1"/>
    <xf numFmtId="4" fontId="28" fillId="2" borderId="6" xfId="2" applyNumberFormat="1" applyFont="1" applyFill="1" applyBorder="1"/>
    <xf numFmtId="4" fontId="28" fillId="2" borderId="6" xfId="2" applyNumberFormat="1" applyFont="1" applyFill="1" applyBorder="1" applyAlignment="1">
      <alignment horizontal="right" indent="1"/>
    </xf>
    <xf numFmtId="4" fontId="28" fillId="2" borderId="41" xfId="2" applyNumberFormat="1" applyFont="1" applyFill="1" applyBorder="1"/>
    <xf numFmtId="4" fontId="28" fillId="2" borderId="45" xfId="2" applyNumberFormat="1" applyFont="1" applyFill="1" applyBorder="1" applyAlignment="1">
      <alignment horizontal="right" indent="1"/>
    </xf>
    <xf numFmtId="4" fontId="28" fillId="0" borderId="23" xfId="2" applyNumberFormat="1" applyFont="1" applyBorder="1"/>
    <xf numFmtId="4" fontId="28" fillId="0" borderId="46" xfId="2" applyNumberFormat="1" applyFont="1" applyBorder="1" applyAlignment="1">
      <alignment horizontal="right" indent="1"/>
    </xf>
    <xf numFmtId="4" fontId="28" fillId="2" borderId="23" xfId="2" applyNumberFormat="1" applyFont="1" applyFill="1" applyBorder="1"/>
    <xf numFmtId="4" fontId="28" fillId="2" borderId="46" xfId="2" applyNumberFormat="1" applyFont="1" applyFill="1" applyBorder="1" applyAlignment="1">
      <alignment horizontal="right" indent="1"/>
    </xf>
    <xf numFmtId="4" fontId="28" fillId="0" borderId="25" xfId="2" applyNumberFormat="1" applyFont="1" applyBorder="1"/>
    <xf numFmtId="4" fontId="28" fillId="0" borderId="47" xfId="2" applyNumberFormat="1" applyFont="1" applyBorder="1" applyAlignment="1">
      <alignment horizontal="right" indent="1"/>
    </xf>
    <xf numFmtId="3" fontId="22" fillId="0" borderId="0" xfId="2" applyNumberFormat="1" applyFont="1" applyAlignment="1">
      <alignment horizontal="right" indent="1"/>
    </xf>
    <xf numFmtId="4" fontId="25" fillId="0" borderId="0" xfId="2" applyNumberFormat="1" applyFont="1" applyAlignment="1">
      <alignment horizontal="right" indent="1"/>
    </xf>
    <xf numFmtId="0" fontId="22" fillId="0" borderId="0" xfId="2" applyFont="1" applyAlignment="1">
      <alignment horizontal="left" wrapText="1"/>
    </xf>
    <xf numFmtId="4" fontId="28" fillId="0" borderId="0" xfId="2" applyNumberFormat="1" applyFont="1" applyFill="1" applyBorder="1" applyAlignment="1">
      <alignment wrapText="1"/>
    </xf>
    <xf numFmtId="0" fontId="26" fillId="0" borderId="21" xfId="2" applyFont="1" applyBorder="1" applyAlignment="1">
      <alignment horizontal="center"/>
    </xf>
    <xf numFmtId="4" fontId="28" fillId="2" borderId="20" xfId="2" applyNumberFormat="1" applyFont="1" applyFill="1" applyBorder="1"/>
    <xf numFmtId="4" fontId="28" fillId="2" borderId="6" xfId="2" applyNumberFormat="1" applyFont="1" applyFill="1" applyBorder="1" applyAlignment="1">
      <alignment horizontal="right" indent="2"/>
    </xf>
    <xf numFmtId="9" fontId="28" fillId="2" borderId="6" xfId="4" applyFont="1" applyFill="1" applyBorder="1" applyAlignment="1">
      <alignment horizontal="right" indent="2"/>
    </xf>
    <xf numFmtId="164" fontId="28" fillId="2" borderId="6" xfId="2" quotePrefix="1" applyNumberFormat="1" applyFont="1" applyFill="1" applyBorder="1"/>
    <xf numFmtId="164" fontId="28" fillId="2" borderId="6" xfId="2" applyNumberFormat="1" applyFont="1" applyFill="1" applyBorder="1"/>
    <xf numFmtId="4" fontId="28" fillId="0" borderId="20" xfId="2" applyNumberFormat="1" applyFont="1" applyBorder="1"/>
    <xf numFmtId="4" fontId="28" fillId="0" borderId="6" xfId="2" applyNumberFormat="1" applyFont="1" applyBorder="1" applyAlignment="1">
      <alignment horizontal="right" indent="2"/>
    </xf>
    <xf numFmtId="9" fontId="28" fillId="0" borderId="6" xfId="4" applyFont="1" applyBorder="1" applyAlignment="1">
      <alignment horizontal="right" indent="2"/>
    </xf>
    <xf numFmtId="164" fontId="28" fillId="0" borderId="6" xfId="2" quotePrefix="1" applyNumberFormat="1" applyFont="1" applyBorder="1"/>
    <xf numFmtId="4" fontId="28" fillId="0" borderId="6" xfId="2" applyNumberFormat="1" applyFont="1" applyBorder="1"/>
    <xf numFmtId="164" fontId="28" fillId="0" borderId="6" xfId="2" applyNumberFormat="1" applyFont="1" applyBorder="1"/>
    <xf numFmtId="4" fontId="28" fillId="2" borderId="48" xfId="2" applyNumberFormat="1" applyFont="1" applyFill="1" applyBorder="1"/>
    <xf numFmtId="4" fontId="28" fillId="2" borderId="49" xfId="2" applyNumberFormat="1" applyFont="1" applyFill="1" applyBorder="1" applyAlignment="1">
      <alignment horizontal="right" indent="2"/>
    </xf>
    <xf numFmtId="9" fontId="28" fillId="2" borderId="50" xfId="4" applyFont="1" applyFill="1" applyBorder="1" applyAlignment="1">
      <alignment horizontal="right" indent="2"/>
    </xf>
    <xf numFmtId="4" fontId="28" fillId="0" borderId="0" xfId="2" applyNumberFormat="1" applyFont="1" applyAlignment="1">
      <alignment horizontal="right" indent="2"/>
    </xf>
    <xf numFmtId="9" fontId="22" fillId="0" borderId="0" xfId="4" applyFont="1" applyAlignment="1">
      <alignment horizontal="right" indent="2"/>
    </xf>
    <xf numFmtId="43" fontId="22" fillId="0" borderId="0" xfId="3" applyNumberFormat="1" applyFont="1" applyAlignment="1">
      <alignment horizontal="right"/>
    </xf>
    <xf numFmtId="165" fontId="22" fillId="0" borderId="0" xfId="2" applyNumberFormat="1" applyFont="1"/>
    <xf numFmtId="0" fontId="22" fillId="0" borderId="0" xfId="2" quotePrefix="1" applyFont="1" applyAlignment="1">
      <alignment wrapText="1"/>
    </xf>
    <xf numFmtId="9" fontId="22" fillId="0" borderId="0" xfId="4" applyFont="1"/>
    <xf numFmtId="0" fontId="22" fillId="0" borderId="0" xfId="2" applyFont="1" applyAlignment="1">
      <alignment horizontal="left" indent="1"/>
    </xf>
    <xf numFmtId="43" fontId="22" fillId="0" borderId="0" xfId="3" applyNumberFormat="1" applyFont="1"/>
    <xf numFmtId="0" fontId="22" fillId="0" borderId="27" xfId="2" applyFont="1" applyBorder="1" applyAlignment="1">
      <alignment wrapText="1"/>
    </xf>
    <xf numFmtId="43" fontId="22" fillId="0" borderId="27" xfId="3" applyNumberFormat="1" applyFont="1" applyBorder="1"/>
    <xf numFmtId="0" fontId="22" fillId="0" borderId="27" xfId="2" applyFont="1" applyBorder="1"/>
    <xf numFmtId="0" fontId="28" fillId="0" borderId="0" xfId="2" applyFont="1" applyAlignment="1">
      <alignment wrapText="1"/>
    </xf>
    <xf numFmtId="43" fontId="28" fillId="0" borderId="0" xfId="3" applyNumberFormat="1" applyFont="1"/>
    <xf numFmtId="0" fontId="28" fillId="0" borderId="0" xfId="2" applyFont="1" applyFill="1" applyBorder="1"/>
    <xf numFmtId="9" fontId="28" fillId="2" borderId="6" xfId="4" applyFont="1" applyFill="1" applyBorder="1" applyAlignment="1">
      <alignment horizontal="right" indent="4"/>
    </xf>
    <xf numFmtId="9" fontId="28" fillId="0" borderId="6" xfId="4" applyFont="1" applyBorder="1" applyAlignment="1">
      <alignment horizontal="right" indent="4"/>
    </xf>
    <xf numFmtId="4" fontId="28" fillId="2" borderId="0" xfId="2" applyNumberFormat="1" applyFont="1" applyFill="1" applyBorder="1"/>
    <xf numFmtId="164" fontId="28" fillId="2" borderId="0" xfId="2" applyNumberFormat="1" applyFont="1" applyFill="1" applyBorder="1"/>
    <xf numFmtId="4" fontId="28" fillId="0" borderId="0" xfId="2" applyNumberFormat="1" applyFont="1" applyBorder="1"/>
    <xf numFmtId="164" fontId="28" fillId="0" borderId="0" xfId="2" applyNumberFormat="1" applyFont="1" applyBorder="1"/>
    <xf numFmtId="4" fontId="28" fillId="2" borderId="27" xfId="2" applyNumberFormat="1" applyFont="1" applyFill="1" applyBorder="1"/>
    <xf numFmtId="4" fontId="28" fillId="2" borderId="49" xfId="2" applyNumberFormat="1" applyFont="1" applyFill="1" applyBorder="1"/>
    <xf numFmtId="0" fontId="22" fillId="0" borderId="0" xfId="2" applyFont="1" applyBorder="1" applyAlignment="1">
      <alignment wrapText="1"/>
    </xf>
    <xf numFmtId="4" fontId="22" fillId="0" borderId="0" xfId="2" applyNumberFormat="1" applyFont="1" applyAlignment="1">
      <alignment horizontal="right" indent="2"/>
    </xf>
    <xf numFmtId="4" fontId="28" fillId="2" borderId="6" xfId="2" quotePrefix="1" applyNumberFormat="1" applyFont="1" applyFill="1" applyBorder="1"/>
    <xf numFmtId="4" fontId="28" fillId="0" borderId="6" xfId="2" quotePrefix="1" applyNumberFormat="1" applyFont="1" applyBorder="1"/>
    <xf numFmtId="9" fontId="28" fillId="2" borderId="50" xfId="4" applyFont="1" applyFill="1" applyBorder="1" applyAlignment="1">
      <alignment horizontal="right" indent="4"/>
    </xf>
    <xf numFmtId="9" fontId="22" fillId="0" borderId="0" xfId="2" applyNumberFormat="1" applyFont="1" applyAlignment="1">
      <alignment horizontal="right" indent="4"/>
    </xf>
    <xf numFmtId="0" fontId="28" fillId="0" borderId="0" xfId="2" applyFont="1" applyAlignment="1">
      <alignment horizontal="left" wrapText="1"/>
    </xf>
    <xf numFmtId="4" fontId="28" fillId="0" borderId="6" xfId="2" applyNumberFormat="1" applyFont="1" applyBorder="1" applyAlignment="1">
      <alignment horizontal="right" indent="1"/>
    </xf>
    <xf numFmtId="166" fontId="22" fillId="0" borderId="0" xfId="2" applyNumberFormat="1" applyFont="1"/>
    <xf numFmtId="0" fontId="28" fillId="0" borderId="0" xfId="2" applyFont="1" applyBorder="1" applyAlignment="1">
      <alignment wrapText="1"/>
    </xf>
    <xf numFmtId="9" fontId="22" fillId="0" borderId="0" xfId="2" applyNumberFormat="1" applyFont="1"/>
    <xf numFmtId="0" fontId="22" fillId="0" borderId="21" xfId="2" applyFont="1" applyBorder="1" applyAlignment="1">
      <alignment horizontal="center"/>
    </xf>
    <xf numFmtId="0" fontId="22" fillId="0" borderId="21" xfId="2" applyFont="1" applyBorder="1" applyAlignment="1">
      <alignment horizontal="center" wrapText="1"/>
    </xf>
    <xf numFmtId="4" fontId="40" fillId="2" borderId="20" xfId="2" applyNumberFormat="1" applyFont="1" applyFill="1" applyBorder="1"/>
    <xf numFmtId="4" fontId="29" fillId="2" borderId="6" xfId="2" applyNumberFormat="1" applyFont="1" applyFill="1" applyBorder="1"/>
    <xf numFmtId="4" fontId="41" fillId="2" borderId="0" xfId="2" applyNumberFormat="1" applyFont="1" applyFill="1" applyBorder="1"/>
    <xf numFmtId="4" fontId="40" fillId="0" borderId="20" xfId="2" applyNumberFormat="1" applyFont="1" applyBorder="1"/>
    <xf numFmtId="4" fontId="29" fillId="0" borderId="6" xfId="2" applyNumberFormat="1" applyFont="1" applyBorder="1"/>
    <xf numFmtId="4" fontId="41" fillId="0" borderId="0" xfId="2" applyNumberFormat="1" applyFont="1" applyBorder="1"/>
    <xf numFmtId="0" fontId="28" fillId="0" borderId="21" xfId="2" applyFont="1" applyBorder="1"/>
    <xf numFmtId="43" fontId="22" fillId="0" borderId="21" xfId="2" applyNumberFormat="1" applyFont="1" applyBorder="1"/>
    <xf numFmtId="0" fontId="42" fillId="0" borderId="0" xfId="2" applyFont="1"/>
    <xf numFmtId="4" fontId="22" fillId="0" borderId="0" xfId="2" applyNumberFormat="1" applyFont="1"/>
    <xf numFmtId="0" fontId="25" fillId="0" borderId="0" xfId="2" applyFont="1" applyAlignment="1">
      <alignment wrapText="1"/>
    </xf>
    <xf numFmtId="2" fontId="25" fillId="0" borderId="0" xfId="2" applyNumberFormat="1" applyFont="1"/>
    <xf numFmtId="0" fontId="38" fillId="0" borderId="0" xfId="2" applyFont="1" applyBorder="1" applyAlignment="1">
      <alignment vertical="top" wrapText="1"/>
    </xf>
    <xf numFmtId="0" fontId="28" fillId="0" borderId="21" xfId="2" applyFont="1" applyBorder="1" applyAlignment="1">
      <alignment wrapText="1"/>
    </xf>
    <xf numFmtId="0" fontId="44" fillId="0" borderId="0" xfId="2" applyFont="1" applyFill="1" applyBorder="1"/>
    <xf numFmtId="0" fontId="45" fillId="0" borderId="0" xfId="2" applyFont="1" applyFill="1" applyBorder="1"/>
    <xf numFmtId="0" fontId="14" fillId="0" borderId="0" xfId="2" applyFont="1" applyFill="1"/>
    <xf numFmtId="0" fontId="47" fillId="0" borderId="0" xfId="2" applyFont="1" applyFill="1" applyBorder="1"/>
    <xf numFmtId="0" fontId="46" fillId="0" borderId="0" xfId="2" applyFont="1" applyFill="1" applyBorder="1"/>
    <xf numFmtId="0" fontId="13" fillId="0" borderId="0" xfId="2" applyFill="1"/>
    <xf numFmtId="0" fontId="13" fillId="0" borderId="0" xfId="2" applyFont="1"/>
    <xf numFmtId="0" fontId="48" fillId="0" borderId="0" xfId="6"/>
    <xf numFmtId="0" fontId="17" fillId="0" borderId="0" xfId="2" applyFont="1"/>
    <xf numFmtId="0" fontId="49" fillId="0" borderId="0" xfId="2" applyFont="1" applyFill="1" applyBorder="1"/>
    <xf numFmtId="2" fontId="13" fillId="0" borderId="0" xfId="2" applyNumberFormat="1"/>
    <xf numFmtId="167" fontId="50" fillId="0" borderId="0" xfId="4" applyNumberFormat="1" applyFont="1"/>
    <xf numFmtId="168" fontId="13" fillId="0" borderId="0" xfId="2" applyNumberFormat="1"/>
    <xf numFmtId="0" fontId="51" fillId="0" borderId="0" xfId="2" applyFont="1" applyFill="1" applyBorder="1"/>
    <xf numFmtId="0" fontId="52" fillId="0" borderId="0" xfId="2" applyFont="1"/>
    <xf numFmtId="0" fontId="13" fillId="5" borderId="51" xfId="2" applyFont="1" applyFill="1" applyBorder="1" applyAlignment="1">
      <alignment horizontal="center"/>
    </xf>
    <xf numFmtId="0" fontId="13" fillId="0" borderId="0" xfId="2" applyAlignment="1">
      <alignment horizontal="left"/>
    </xf>
    <xf numFmtId="2" fontId="13" fillId="2" borderId="51" xfId="2" applyNumberFormat="1" applyFont="1" applyFill="1" applyBorder="1" applyAlignment="1">
      <alignment horizontal="center"/>
    </xf>
    <xf numFmtId="167" fontId="13" fillId="2" borderId="51" xfId="2" applyNumberFormat="1" applyFont="1" applyFill="1" applyBorder="1" applyAlignment="1">
      <alignment horizontal="center"/>
    </xf>
    <xf numFmtId="4" fontId="13" fillId="2" borderId="51" xfId="2" applyNumberFormat="1" applyFont="1" applyFill="1" applyBorder="1" applyAlignment="1">
      <alignment horizontal="center"/>
    </xf>
    <xf numFmtId="4" fontId="13" fillId="0" borderId="51" xfId="2" applyNumberFormat="1" applyFont="1" applyBorder="1" applyAlignment="1">
      <alignment horizontal="center"/>
    </xf>
    <xf numFmtId="0" fontId="53" fillId="6" borderId="52" xfId="2" applyFont="1" applyFill="1" applyBorder="1" applyAlignment="1">
      <alignment horizontal="left" vertical="top"/>
    </xf>
    <xf numFmtId="0" fontId="53" fillId="6" borderId="51" xfId="2" applyFont="1" applyFill="1" applyBorder="1" applyAlignment="1">
      <alignment horizontal="left" vertical="top" wrapText="1"/>
    </xf>
    <xf numFmtId="0" fontId="53" fillId="6" borderId="51" xfId="2" applyFont="1" applyFill="1" applyBorder="1" applyAlignment="1">
      <alignment horizontal="left" vertical="top"/>
    </xf>
    <xf numFmtId="0" fontId="53" fillId="6" borderId="53" xfId="2" applyFont="1" applyFill="1" applyBorder="1" applyAlignment="1">
      <alignment horizontal="left" vertical="top" wrapText="1"/>
    </xf>
    <xf numFmtId="0" fontId="13" fillId="0" borderId="0" xfId="2" applyAlignment="1">
      <alignment horizontal="left" vertical="top"/>
    </xf>
    <xf numFmtId="4" fontId="45" fillId="0" borderId="0" xfId="2" applyNumberFormat="1" applyFont="1" applyFill="1" applyBorder="1" applyAlignment="1">
      <alignment wrapText="1"/>
    </xf>
    <xf numFmtId="4" fontId="45" fillId="0" borderId="0" xfId="2" applyNumberFormat="1" applyFont="1" applyFill="1" applyBorder="1" applyAlignment="1">
      <alignment horizontal="right" wrapText="1"/>
    </xf>
    <xf numFmtId="4" fontId="47" fillId="7" borderId="0" xfId="2" applyNumberFormat="1" applyFont="1" applyFill="1" applyBorder="1" applyAlignment="1">
      <alignment wrapText="1"/>
    </xf>
    <xf numFmtId="4" fontId="47" fillId="0" borderId="36" xfId="2" applyNumberFormat="1" applyFont="1" applyFill="1" applyBorder="1" applyAlignment="1">
      <alignment wrapText="1"/>
    </xf>
    <xf numFmtId="4" fontId="47" fillId="0" borderId="0" xfId="2" applyNumberFormat="1" applyFont="1" applyFill="1" applyBorder="1" applyAlignment="1">
      <alignment horizontal="right" wrapText="1"/>
    </xf>
    <xf numFmtId="4" fontId="47" fillId="0" borderId="21" xfId="2" applyNumberFormat="1" applyFont="1" applyFill="1" applyBorder="1" applyAlignment="1">
      <alignment horizontal="right" wrapText="1"/>
    </xf>
    <xf numFmtId="4" fontId="47" fillId="0" borderId="54" xfId="2" applyNumberFormat="1" applyFont="1" applyFill="1" applyBorder="1" applyAlignment="1">
      <alignment horizontal="right" wrapText="1"/>
    </xf>
    <xf numFmtId="4" fontId="47" fillId="0" borderId="55" xfId="2" applyNumberFormat="1" applyFont="1" applyFill="1" applyBorder="1" applyAlignment="1">
      <alignment horizontal="center" wrapText="1"/>
    </xf>
    <xf numFmtId="4" fontId="55" fillId="0" borderId="0" xfId="2" applyNumberFormat="1" applyFont="1" applyFill="1" applyBorder="1" applyAlignment="1">
      <alignment wrapText="1"/>
    </xf>
    <xf numFmtId="4" fontId="45" fillId="0" borderId="56" xfId="2" applyNumberFormat="1" applyFont="1" applyFill="1" applyBorder="1" applyAlignment="1">
      <alignment wrapText="1"/>
    </xf>
    <xf numFmtId="164" fontId="45" fillId="0" borderId="43" xfId="2" applyNumberFormat="1" applyFont="1" applyFill="1" applyBorder="1" applyAlignment="1">
      <alignment wrapText="1"/>
    </xf>
    <xf numFmtId="164" fontId="45" fillId="0" borderId="42" xfId="2" applyNumberFormat="1" applyFont="1" applyFill="1" applyBorder="1" applyAlignment="1">
      <alignment wrapText="1"/>
    </xf>
    <xf numFmtId="4" fontId="45" fillId="0" borderId="43" xfId="2" applyNumberFormat="1" applyFont="1" applyFill="1" applyBorder="1" applyAlignment="1">
      <alignment wrapText="1"/>
    </xf>
    <xf numFmtId="164" fontId="45" fillId="0" borderId="57" xfId="2" applyNumberFormat="1" applyFont="1" applyFill="1" applyBorder="1" applyAlignment="1">
      <alignment horizontal="right" wrapText="1"/>
    </xf>
    <xf numFmtId="4" fontId="45" fillId="0" borderId="36" xfId="2" applyNumberFormat="1" applyFont="1" applyFill="1" applyBorder="1" applyAlignment="1">
      <alignment wrapText="1"/>
    </xf>
    <xf numFmtId="164" fontId="45" fillId="0" borderId="0" xfId="2" applyNumberFormat="1" applyFont="1" applyFill="1" applyBorder="1" applyAlignment="1">
      <alignment wrapText="1"/>
    </xf>
    <xf numFmtId="164" fontId="45" fillId="0" borderId="24" xfId="2" applyNumberFormat="1" applyFont="1" applyFill="1" applyBorder="1" applyAlignment="1">
      <alignment wrapText="1"/>
    </xf>
    <xf numFmtId="164" fontId="45" fillId="0" borderId="18" xfId="2" applyNumberFormat="1" applyFont="1" applyFill="1" applyBorder="1" applyAlignment="1">
      <alignment horizontal="right" wrapText="1"/>
    </xf>
    <xf numFmtId="4" fontId="45" fillId="0" borderId="58" xfId="2" applyNumberFormat="1" applyFont="1" applyFill="1" applyBorder="1" applyAlignment="1">
      <alignment wrapText="1"/>
    </xf>
    <xf numFmtId="164" fontId="45" fillId="0" borderId="26" xfId="2" applyNumberFormat="1" applyFont="1" applyFill="1" applyBorder="1" applyAlignment="1">
      <alignment wrapText="1"/>
    </xf>
    <xf numFmtId="4" fontId="45" fillId="0" borderId="21" xfId="2" applyNumberFormat="1" applyFont="1" applyFill="1" applyBorder="1" applyAlignment="1">
      <alignment wrapText="1"/>
    </xf>
    <xf numFmtId="164" fontId="45" fillId="0" borderId="59" xfId="2" applyNumberFormat="1" applyFont="1" applyFill="1" applyBorder="1" applyAlignment="1">
      <alignment horizontal="right" wrapText="1"/>
    </xf>
    <xf numFmtId="164" fontId="45" fillId="0" borderId="43" xfId="2" applyNumberFormat="1" applyFont="1" applyFill="1" applyBorder="1" applyAlignment="1">
      <alignment horizontal="right" wrapText="1"/>
    </xf>
    <xf numFmtId="164" fontId="45" fillId="0" borderId="0" xfId="2" applyNumberFormat="1" applyFont="1" applyFill="1" applyBorder="1" applyAlignment="1">
      <alignment horizontal="right" wrapText="1"/>
    </xf>
    <xf numFmtId="4" fontId="56" fillId="0" borderId="36" xfId="2" applyNumberFormat="1" applyFont="1" applyFill="1" applyBorder="1" applyAlignment="1">
      <alignment vertical="center" wrapText="1"/>
    </xf>
    <xf numFmtId="16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vertical="center" wrapText="1"/>
    </xf>
    <xf numFmtId="164" fontId="45" fillId="0" borderId="18" xfId="2" applyNumberFormat="1" applyFont="1" applyFill="1" applyBorder="1" applyAlignment="1">
      <alignment horizontal="right" vertical="center" wrapText="1"/>
    </xf>
    <xf numFmtId="4" fontId="47" fillId="7" borderId="0" xfId="2" applyNumberFormat="1" applyFont="1" applyFill="1" applyBorder="1" applyAlignment="1">
      <alignment vertical="center" wrapText="1"/>
    </xf>
    <xf numFmtId="4" fontId="51" fillId="0" borderId="0" xfId="2" applyNumberFormat="1" applyFont="1" applyFill="1" applyBorder="1" applyAlignment="1">
      <alignment wrapText="1"/>
    </xf>
    <xf numFmtId="2" fontId="45" fillId="0" borderId="0" xfId="2" applyNumberFormat="1" applyFont="1" applyFill="1" applyBorder="1" applyAlignment="1">
      <alignment wrapText="1"/>
    </xf>
    <xf numFmtId="4" fontId="47" fillId="0" borderId="60" xfId="2" applyNumberFormat="1" applyFont="1" applyFill="1" applyBorder="1" applyAlignment="1">
      <alignment vertical="center" wrapText="1"/>
    </xf>
    <xf numFmtId="164" fontId="47" fillId="0" borderId="61" xfId="2" applyNumberFormat="1" applyFont="1" applyFill="1" applyBorder="1" applyAlignment="1">
      <alignment horizontal="right" vertical="center" wrapText="1"/>
    </xf>
    <xf numFmtId="164" fontId="47" fillId="0" borderId="62" xfId="2" applyNumberFormat="1" applyFont="1" applyFill="1" applyBorder="1" applyAlignment="1">
      <alignment horizontal="right" vertical="center" wrapText="1"/>
    </xf>
    <xf numFmtId="4" fontId="47" fillId="0" borderId="63" xfId="2" applyNumberFormat="1" applyFont="1" applyFill="1" applyBorder="1" applyAlignment="1">
      <alignment vertical="center" wrapText="1"/>
    </xf>
    <xf numFmtId="164" fontId="47" fillId="0" borderId="64" xfId="2" applyNumberFormat="1" applyFont="1" applyFill="1" applyBorder="1" applyAlignment="1">
      <alignment horizontal="right" vertical="center" wrapText="1"/>
    </xf>
    <xf numFmtId="169" fontId="45" fillId="0" borderId="0" xfId="2" applyNumberFormat="1" applyFont="1" applyFill="1" applyBorder="1" applyAlignment="1">
      <alignment wrapText="1"/>
    </xf>
    <xf numFmtId="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horizontal="center" vertical="center" wrapText="1"/>
    </xf>
    <xf numFmtId="4" fontId="45" fillId="9" borderId="64" xfId="2" applyNumberFormat="1" applyFont="1" applyFill="1" applyBorder="1" applyAlignment="1">
      <alignment vertical="center" wrapText="1"/>
    </xf>
    <xf numFmtId="4" fontId="45" fillId="9" borderId="65" xfId="2" applyNumberFormat="1" applyFont="1" applyFill="1" applyBorder="1" applyAlignment="1">
      <alignment vertical="center" wrapText="1"/>
    </xf>
    <xf numFmtId="4" fontId="55" fillId="0" borderId="0" xfId="2" applyNumberFormat="1" applyFont="1" applyFill="1" applyBorder="1" applyAlignment="1">
      <alignment horizontal="right" vertical="center" wrapText="1"/>
    </xf>
    <xf numFmtId="4" fontId="55" fillId="0" borderId="0" xfId="2" applyNumberFormat="1" applyFont="1" applyFill="1" applyBorder="1" applyAlignment="1">
      <alignment vertical="center" wrapText="1"/>
    </xf>
    <xf numFmtId="4" fontId="57" fillId="0" borderId="0" xfId="2" applyNumberFormat="1" applyFont="1" applyFill="1" applyBorder="1" applyAlignment="1">
      <alignment vertical="center" wrapText="1"/>
    </xf>
    <xf numFmtId="4" fontId="45" fillId="9" borderId="18" xfId="2" applyNumberFormat="1" applyFont="1" applyFill="1" applyBorder="1" applyAlignment="1">
      <alignment wrapText="1"/>
    </xf>
    <xf numFmtId="4" fontId="45" fillId="9" borderId="37" xfId="2" applyNumberFormat="1" applyFont="1" applyFill="1" applyBorder="1" applyAlignment="1">
      <alignment wrapText="1"/>
    </xf>
    <xf numFmtId="2" fontId="55" fillId="0" borderId="0" xfId="2" applyNumberFormat="1" applyFont="1" applyFill="1" applyBorder="1" applyAlignment="1">
      <alignment wrapText="1"/>
    </xf>
    <xf numFmtId="4" fontId="45" fillId="9" borderId="59" xfId="2" applyNumberFormat="1" applyFont="1" applyFill="1" applyBorder="1" applyAlignment="1">
      <alignment wrapText="1"/>
    </xf>
    <xf numFmtId="4" fontId="45" fillId="0" borderId="28" xfId="2" applyNumberFormat="1" applyFont="1" applyFill="1" applyBorder="1" applyAlignment="1">
      <alignment vertical="center" wrapText="1"/>
    </xf>
    <xf numFmtId="4" fontId="58" fillId="0" borderId="0" xfId="2" applyNumberFormat="1" applyFont="1" applyFill="1" applyBorder="1" applyAlignment="1">
      <alignment horizontal="right" wrapText="1"/>
    </xf>
    <xf numFmtId="4" fontId="59" fillId="7" borderId="0" xfId="2" applyNumberFormat="1" applyFont="1" applyFill="1" applyBorder="1" applyAlignment="1">
      <alignment wrapText="1"/>
    </xf>
    <xf numFmtId="4" fontId="60" fillId="0" borderId="0" xfId="2" applyNumberFormat="1" applyFont="1" applyFill="1" applyBorder="1" applyAlignment="1">
      <alignment wrapText="1"/>
    </xf>
    <xf numFmtId="2" fontId="60" fillId="0" borderId="0" xfId="2" applyNumberFormat="1" applyFont="1" applyFill="1" applyBorder="1" applyAlignment="1">
      <alignment wrapText="1"/>
    </xf>
    <xf numFmtId="4" fontId="61" fillId="0" borderId="0" xfId="2" applyNumberFormat="1" applyFont="1" applyFill="1" applyBorder="1" applyAlignment="1">
      <alignment wrapText="1"/>
    </xf>
    <xf numFmtId="170" fontId="60" fillId="0" borderId="0" xfId="2" applyNumberFormat="1" applyFont="1" applyFill="1" applyBorder="1" applyAlignment="1">
      <alignment wrapText="1"/>
    </xf>
    <xf numFmtId="4" fontId="56" fillId="0" borderId="0" xfId="2" applyNumberFormat="1" applyFont="1" applyFill="1" applyBorder="1" applyAlignment="1">
      <alignment wrapText="1"/>
    </xf>
    <xf numFmtId="4" fontId="47" fillId="0" borderId="0" xfId="2" applyNumberFormat="1" applyFont="1" applyFill="1" applyBorder="1" applyAlignment="1">
      <alignment wrapText="1"/>
    </xf>
    <xf numFmtId="2" fontId="61" fillId="0" borderId="0" xfId="2" applyNumberFormat="1" applyFont="1" applyFill="1" applyBorder="1" applyAlignment="1">
      <alignment wrapText="1"/>
    </xf>
    <xf numFmtId="4" fontId="57" fillId="0" borderId="0" xfId="2" applyNumberFormat="1" applyFont="1" applyFill="1" applyBorder="1" applyAlignment="1">
      <alignment wrapText="1"/>
    </xf>
    <xf numFmtId="4" fontId="62" fillId="0" borderId="0" xfId="2" applyNumberFormat="1" applyFont="1" applyFill="1" applyBorder="1" applyAlignment="1">
      <alignment wrapText="1"/>
    </xf>
    <xf numFmtId="0" fontId="16" fillId="0" borderId="0" xfId="2" applyFont="1"/>
    <xf numFmtId="0" fontId="14" fillId="8" borderId="0" xfId="2" applyFont="1" applyFill="1" applyAlignment="1">
      <alignment horizontal="center"/>
    </xf>
    <xf numFmtId="0" fontId="14" fillId="0" borderId="0" xfId="2" applyFont="1" applyFill="1" applyAlignment="1">
      <alignment horizontal="center"/>
    </xf>
    <xf numFmtId="0" fontId="64" fillId="0" borderId="0" xfId="2" applyFont="1"/>
    <xf numFmtId="0" fontId="53" fillId="6" borderId="66" xfId="2" applyFont="1" applyFill="1" applyBorder="1" applyAlignment="1">
      <alignment horizontal="left"/>
    </xf>
    <xf numFmtId="0" fontId="53" fillId="6" borderId="67" xfId="2" applyFont="1" applyFill="1" applyBorder="1" applyAlignment="1">
      <alignment horizontal="left"/>
    </xf>
    <xf numFmtId="0" fontId="13" fillId="5" borderId="68" xfId="2" applyFont="1" applyFill="1" applyBorder="1" applyAlignment="1">
      <alignment horizontal="center"/>
    </xf>
    <xf numFmtId="0" fontId="43" fillId="0" borderId="0" xfId="5"/>
    <xf numFmtId="4" fontId="61" fillId="0" borderId="0" xfId="2" applyNumberFormat="1" applyFont="1" applyFill="1" applyBorder="1" applyAlignment="1">
      <alignment horizontal="right"/>
    </xf>
    <xf numFmtId="43" fontId="61" fillId="0" borderId="0" xfId="1" applyFont="1" applyFill="1" applyBorder="1" applyAlignment="1">
      <alignment wrapText="1"/>
    </xf>
    <xf numFmtId="0" fontId="53"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3" fillId="6" borderId="51" xfId="0" applyFont="1" applyFill="1" applyBorder="1" applyAlignment="1">
      <alignment wrapText="1"/>
    </xf>
    <xf numFmtId="0" fontId="66" fillId="0" borderId="0" xfId="0" applyFont="1"/>
    <xf numFmtId="3" fontId="0" fillId="0" borderId="0" xfId="0" applyNumberFormat="1"/>
    <xf numFmtId="167" fontId="0" fillId="0" borderId="0" xfId="0" applyNumberFormat="1"/>
    <xf numFmtId="0" fontId="27" fillId="0" borderId="0" xfId="0" quotePrefix="1" applyFont="1" applyBorder="1" applyAlignment="1">
      <alignment vertical="center" wrapText="1"/>
    </xf>
    <xf numFmtId="0" fontId="22" fillId="0" borderId="0" xfId="0" applyFont="1" applyBorder="1" applyAlignment="1">
      <alignment horizontal="right"/>
    </xf>
    <xf numFmtId="0" fontId="22" fillId="0" borderId="0" xfId="0" applyFont="1" applyBorder="1"/>
    <xf numFmtId="4" fontId="28" fillId="0" borderId="51" xfId="0" applyNumberFormat="1" applyFont="1" applyBorder="1"/>
    <xf numFmtId="0" fontId="22" fillId="0" borderId="51" xfId="0" applyFont="1" applyBorder="1"/>
    <xf numFmtId="4" fontId="28" fillId="0" borderId="71" xfId="0" applyNumberFormat="1" applyFont="1" applyBorder="1" applyAlignment="1">
      <alignment horizontal="right" indent="2"/>
    </xf>
    <xf numFmtId="4" fontId="28" fillId="0" borderId="72" xfId="0" applyNumberFormat="1" applyFont="1" applyBorder="1"/>
    <xf numFmtId="4" fontId="28" fillId="0" borderId="52" xfId="0" applyNumberFormat="1" applyFont="1" applyBorder="1"/>
    <xf numFmtId="4" fontId="29" fillId="0" borderId="70" xfId="0" applyNumberFormat="1" applyFont="1" applyBorder="1" applyAlignment="1">
      <alignment horizontal="right" indent="3"/>
    </xf>
    <xf numFmtId="0" fontId="22" fillId="0" borderId="0" xfId="0" applyFont="1" applyFill="1" applyAlignment="1">
      <alignment vertical="center"/>
    </xf>
    <xf numFmtId="49" fontId="26" fillId="0" borderId="0" xfId="0" applyNumberFormat="1" applyFont="1" applyAlignment="1">
      <alignment horizontal="left"/>
    </xf>
    <xf numFmtId="49" fontId="69" fillId="0" borderId="0" xfId="0" applyNumberFormat="1" applyFont="1" applyAlignment="1">
      <alignment horizontal="left"/>
    </xf>
    <xf numFmtId="4" fontId="28" fillId="2" borderId="73" xfId="0" applyNumberFormat="1" applyFont="1" applyFill="1" applyBorder="1"/>
    <xf numFmtId="4" fontId="28" fillId="2" borderId="4" xfId="0" applyNumberFormat="1" applyFont="1" applyFill="1" applyBorder="1"/>
    <xf numFmtId="4" fontId="28" fillId="2" borderId="2" xfId="0" applyNumberFormat="1" applyFont="1" applyFill="1" applyBorder="1"/>
    <xf numFmtId="0" fontId="22" fillId="2" borderId="2" xfId="0" applyFont="1" applyFill="1" applyBorder="1"/>
    <xf numFmtId="4" fontId="28" fillId="2" borderId="74" xfId="0" applyNumberFormat="1" applyFont="1" applyFill="1" applyBorder="1" applyAlignment="1">
      <alignment horizontal="right" indent="1"/>
    </xf>
    <xf numFmtId="4" fontId="29" fillId="2" borderId="75" xfId="0" applyNumberFormat="1" applyFont="1" applyFill="1" applyBorder="1" applyAlignment="1">
      <alignment horizontal="right" indent="1"/>
    </xf>
    <xf numFmtId="164" fontId="28" fillId="2" borderId="75" xfId="0" applyNumberFormat="1" applyFont="1" applyFill="1" applyBorder="1"/>
    <xf numFmtId="4" fontId="28" fillId="2" borderId="74" xfId="0" applyNumberFormat="1" applyFont="1" applyFill="1" applyBorder="1" applyAlignment="1">
      <alignment horizontal="right" indent="2"/>
    </xf>
    <xf numFmtId="4" fontId="28" fillId="2" borderId="2" xfId="0" applyNumberFormat="1" applyFont="1" applyFill="1" applyBorder="1" applyAlignment="1">
      <alignment horizontal="right" indent="2"/>
    </xf>
    <xf numFmtId="4" fontId="29" fillId="2" borderId="75" xfId="0" applyNumberFormat="1" applyFont="1" applyFill="1" applyBorder="1" applyAlignment="1">
      <alignment horizontal="right" indent="2"/>
    </xf>
    <xf numFmtId="4" fontId="28" fillId="0" borderId="69" xfId="0" applyNumberFormat="1" applyFont="1" applyBorder="1"/>
    <xf numFmtId="4" fontId="28" fillId="0" borderId="76" xfId="0" applyNumberFormat="1" applyFont="1" applyBorder="1"/>
    <xf numFmtId="4" fontId="28" fillId="0" borderId="68" xfId="0" applyNumberFormat="1" applyFont="1" applyBorder="1"/>
    <xf numFmtId="0" fontId="22" fillId="0" borderId="68" xfId="0" applyFont="1" applyBorder="1"/>
    <xf numFmtId="4" fontId="28" fillId="2" borderId="77" xfId="0" applyNumberFormat="1" applyFont="1" applyFill="1" applyBorder="1" applyAlignment="1">
      <alignment horizontal="right" indent="1"/>
    </xf>
    <xf numFmtId="4" fontId="29" fillId="0" borderId="78" xfId="0" applyNumberFormat="1" applyFont="1" applyBorder="1" applyAlignment="1">
      <alignment horizontal="right" indent="1"/>
    </xf>
    <xf numFmtId="164" fontId="28" fillId="0" borderId="78" xfId="0" applyNumberFormat="1" applyFont="1" applyBorder="1"/>
    <xf numFmtId="4" fontId="28" fillId="2" borderId="77" xfId="0" applyNumberFormat="1" applyFont="1" applyFill="1" applyBorder="1" applyAlignment="1">
      <alignment horizontal="right" indent="2"/>
    </xf>
    <xf numFmtId="4" fontId="28" fillId="2" borderId="68" xfId="0" applyNumberFormat="1" applyFont="1" applyFill="1" applyBorder="1" applyAlignment="1">
      <alignment horizontal="right" indent="2"/>
    </xf>
    <xf numFmtId="4" fontId="29" fillId="0" borderId="78" xfId="0" applyNumberFormat="1" applyFont="1" applyBorder="1" applyAlignment="1">
      <alignment horizontal="right" indent="2"/>
    </xf>
    <xf numFmtId="4" fontId="29" fillId="0" borderId="79" xfId="0" applyNumberFormat="1" applyFont="1" applyBorder="1" applyAlignment="1">
      <alignment horizontal="right" indent="3"/>
    </xf>
    <xf numFmtId="4" fontId="28" fillId="2" borderId="69" xfId="0" applyNumberFormat="1" applyFont="1" applyFill="1" applyBorder="1"/>
    <xf numFmtId="4" fontId="28" fillId="2" borderId="76" xfId="0" applyNumberFormat="1" applyFont="1" applyFill="1" applyBorder="1"/>
    <xf numFmtId="4" fontId="28" fillId="2" borderId="68" xfId="0" applyNumberFormat="1" applyFont="1" applyFill="1" applyBorder="1"/>
    <xf numFmtId="0" fontId="22" fillId="2" borderId="68" xfId="0" applyFont="1" applyFill="1" applyBorder="1"/>
    <xf numFmtId="4" fontId="29" fillId="2" borderId="78" xfId="0" applyNumberFormat="1" applyFont="1" applyFill="1" applyBorder="1" applyAlignment="1">
      <alignment horizontal="right" indent="1"/>
    </xf>
    <xf numFmtId="164" fontId="28" fillId="2" borderId="78" xfId="0" applyNumberFormat="1" applyFont="1" applyFill="1" applyBorder="1"/>
    <xf numFmtId="4" fontId="29" fillId="2" borderId="78" xfId="0" applyNumberFormat="1" applyFont="1" applyFill="1" applyBorder="1" applyAlignment="1">
      <alignment horizontal="right" indent="2"/>
    </xf>
    <xf numFmtId="4" fontId="29" fillId="2" borderId="79" xfId="0" applyNumberFormat="1" applyFont="1" applyFill="1" applyBorder="1" applyAlignment="1">
      <alignment horizontal="right" indent="3"/>
    </xf>
    <xf numFmtId="4" fontId="28" fillId="0" borderId="68" xfId="0" applyNumberFormat="1" applyFont="1" applyBorder="1" applyAlignment="1">
      <alignment horizontal="right" indent="2"/>
    </xf>
    <xf numFmtId="4" fontId="28" fillId="2" borderId="80" xfId="0" applyNumberFormat="1" applyFont="1" applyFill="1" applyBorder="1" applyAlignment="1">
      <alignment horizontal="right" indent="1"/>
    </xf>
    <xf numFmtId="4" fontId="29" fillId="0" borderId="81" xfId="0" applyNumberFormat="1" applyFont="1" applyBorder="1" applyAlignment="1">
      <alignment horizontal="right" indent="1"/>
    </xf>
    <xf numFmtId="164" fontId="28" fillId="0" borderId="82" xfId="0" applyNumberFormat="1" applyFont="1" applyBorder="1"/>
    <xf numFmtId="4" fontId="28" fillId="2" borderId="80" xfId="0" applyNumberFormat="1" applyFont="1" applyFill="1" applyBorder="1" applyAlignment="1">
      <alignment horizontal="right" indent="2"/>
    </xf>
    <xf numFmtId="4" fontId="29" fillId="0" borderId="81" xfId="0" applyNumberFormat="1" applyFont="1" applyBorder="1" applyAlignment="1">
      <alignment horizontal="right" indent="2"/>
    </xf>
    <xf numFmtId="49" fontId="70" fillId="6" borderId="6" xfId="0" applyNumberFormat="1" applyFont="1" applyFill="1" applyBorder="1" applyAlignment="1">
      <alignment horizontal="left"/>
    </xf>
    <xf numFmtId="49" fontId="70" fillId="6" borderId="0" xfId="0" applyNumberFormat="1" applyFont="1" applyFill="1" applyBorder="1" applyAlignment="1">
      <alignment horizontal="left"/>
    </xf>
    <xf numFmtId="49" fontId="70" fillId="6" borderId="5" xfId="0" applyNumberFormat="1" applyFont="1" applyFill="1" applyBorder="1" applyAlignment="1">
      <alignment horizontal="left"/>
    </xf>
    <xf numFmtId="0" fontId="71" fillId="0" borderId="0" xfId="2" applyFont="1"/>
    <xf numFmtId="0" fontId="15" fillId="0" borderId="0" xfId="2" applyFont="1"/>
    <xf numFmtId="2" fontId="26" fillId="0" borderId="0" xfId="2" applyNumberFormat="1" applyFont="1"/>
    <xf numFmtId="2" fontId="13" fillId="5" borderId="51" xfId="2" applyNumberFormat="1" applyFont="1" applyFill="1" applyBorder="1" applyAlignment="1">
      <alignment horizontal="center"/>
    </xf>
    <xf numFmtId="2" fontId="13" fillId="5" borderId="68" xfId="2" applyNumberFormat="1" applyFont="1" applyFill="1" applyBorder="1" applyAlignment="1">
      <alignment horizontal="center"/>
    </xf>
    <xf numFmtId="0" fontId="13" fillId="5" borderId="0" xfId="2" applyFill="1"/>
    <xf numFmtId="0" fontId="10" fillId="0" borderId="0" xfId="2" applyFont="1"/>
    <xf numFmtId="1" fontId="13" fillId="41" borderId="51" xfId="2" applyNumberFormat="1" applyFont="1" applyFill="1" applyBorder="1" applyAlignment="1">
      <alignment horizontal="center"/>
    </xf>
    <xf numFmtId="1" fontId="13" fillId="41" borderId="68" xfId="2" applyNumberFormat="1" applyFont="1" applyFill="1" applyBorder="1" applyAlignment="1">
      <alignment horizontal="center"/>
    </xf>
    <xf numFmtId="0" fontId="13" fillId="41" borderId="0" xfId="2" applyFill="1"/>
    <xf numFmtId="2" fontId="13" fillId="3" borderId="51" xfId="2" applyNumberFormat="1" applyFont="1" applyFill="1" applyBorder="1" applyAlignment="1">
      <alignment horizontal="center"/>
    </xf>
    <xf numFmtId="0" fontId="13" fillId="3" borderId="0" xfId="2" applyFill="1"/>
    <xf numFmtId="4" fontId="13" fillId="3" borderId="51" xfId="2" applyNumberFormat="1" applyFont="1" applyFill="1" applyBorder="1" applyAlignment="1">
      <alignment horizontal="center"/>
    </xf>
    <xf numFmtId="0" fontId="13" fillId="42" borderId="51" xfId="2" applyFont="1" applyFill="1" applyBorder="1" applyAlignment="1">
      <alignment horizontal="center"/>
    </xf>
    <xf numFmtId="0" fontId="13" fillId="42" borderId="68" xfId="2" applyFont="1" applyFill="1" applyBorder="1" applyAlignment="1">
      <alignment horizontal="center"/>
    </xf>
    <xf numFmtId="0" fontId="13" fillId="42" borderId="0" xfId="2" applyFill="1"/>
    <xf numFmtId="0" fontId="13" fillId="43" borderId="0" xfId="2" applyFill="1"/>
    <xf numFmtId="2" fontId="13" fillId="43" borderId="51" xfId="2" applyNumberFormat="1" applyFont="1" applyFill="1" applyBorder="1" applyAlignment="1">
      <alignment horizontal="center"/>
    </xf>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13" fillId="8" borderId="0" xfId="2" applyFill="1"/>
    <xf numFmtId="0" fontId="9" fillId="0" borderId="0" xfId="2" applyFont="1"/>
    <xf numFmtId="0" fontId="13" fillId="44" borderId="0" xfId="2" applyFill="1"/>
    <xf numFmtId="0" fontId="13" fillId="45" borderId="0" xfId="2" applyFill="1"/>
    <xf numFmtId="0" fontId="33" fillId="0" borderId="0" xfId="2" applyFont="1"/>
    <xf numFmtId="43" fontId="25" fillId="0" borderId="0" xfId="2" applyNumberFormat="1" applyFont="1"/>
    <xf numFmtId="4" fontId="49" fillId="0" borderId="0" xfId="2" applyNumberFormat="1" applyFont="1" applyFill="1" applyBorder="1" applyAlignment="1">
      <alignment wrapText="1"/>
    </xf>
    <xf numFmtId="4" fontId="85" fillId="46" borderId="0" xfId="2" applyNumberFormat="1" applyFont="1" applyFill="1" applyBorder="1" applyAlignment="1">
      <alignment wrapText="1"/>
    </xf>
    <xf numFmtId="4" fontId="49" fillId="0" borderId="27" xfId="2" applyNumberFormat="1" applyFont="1" applyFill="1" applyBorder="1" applyAlignment="1">
      <alignment wrapText="1"/>
    </xf>
    <xf numFmtId="164" fontId="55" fillId="0" borderId="0" xfId="2" applyNumberFormat="1" applyFont="1" applyFill="1" applyBorder="1" applyAlignment="1">
      <alignment wrapText="1"/>
    </xf>
    <xf numFmtId="4" fontId="86" fillId="0" borderId="0" xfId="2" applyNumberFormat="1" applyFont="1" applyFill="1" applyBorder="1" applyAlignment="1">
      <alignment wrapText="1"/>
    </xf>
    <xf numFmtId="0" fontId="67" fillId="0" borderId="0" xfId="53" applyFont="1"/>
    <xf numFmtId="0" fontId="68" fillId="0" borderId="0" xfId="53" applyFont="1" applyAlignment="1">
      <alignment horizontal="center" vertical="center"/>
    </xf>
    <xf numFmtId="0" fontId="68" fillId="0" borderId="0" xfId="53" applyFont="1" applyAlignment="1">
      <alignment horizontal="justify" vertical="center"/>
    </xf>
    <xf numFmtId="0" fontId="65" fillId="0" borderId="0" xfId="53" applyFont="1"/>
    <xf numFmtId="0" fontId="52" fillId="0" borderId="0" xfId="53" applyFont="1" applyAlignment="1">
      <alignment horizontal="center" vertical="center"/>
    </xf>
    <xf numFmtId="0" fontId="52" fillId="0" borderId="0" xfId="53" applyFont="1" applyAlignment="1">
      <alignment horizontal="justify" vertical="center"/>
    </xf>
    <xf numFmtId="0" fontId="8" fillId="0" borderId="0" xfId="53"/>
    <xf numFmtId="0" fontId="17" fillId="0" borderId="0" xfId="53" applyFont="1" applyAlignment="1">
      <alignment horizontal="center" vertical="center"/>
    </xf>
    <xf numFmtId="0" fontId="14" fillId="0" borderId="0" xfId="53" applyFont="1" applyAlignment="1">
      <alignment horizontal="justify" vertical="center"/>
    </xf>
    <xf numFmtId="0" fontId="14" fillId="0" borderId="0" xfId="53" applyFont="1" applyAlignment="1">
      <alignment horizontal="right"/>
    </xf>
    <xf numFmtId="0" fontId="14" fillId="0" borderId="0" xfId="53" applyFont="1"/>
    <xf numFmtId="0" fontId="19" fillId="0" borderId="0" xfId="53" applyFont="1" applyAlignment="1">
      <alignment horizontal="center" vertical="center"/>
    </xf>
    <xf numFmtId="0" fontId="8" fillId="0" borderId="0" xfId="53" applyAlignment="1">
      <alignment horizontal="justify" vertical="center"/>
    </xf>
    <xf numFmtId="0" fontId="8" fillId="0" borderId="0" xfId="53" applyAlignment="1"/>
    <xf numFmtId="0" fontId="8" fillId="0" borderId="0" xfId="53" applyFont="1"/>
    <xf numFmtId="0" fontId="18" fillId="0" borderId="0" xfId="53" applyFont="1" applyAlignment="1">
      <alignment horizontal="center" vertical="center"/>
    </xf>
    <xf numFmtId="0" fontId="8" fillId="0" borderId="0" xfId="53" applyFont="1" applyAlignment="1">
      <alignment horizontal="right"/>
    </xf>
    <xf numFmtId="0" fontId="14" fillId="0" borderId="0" xfId="53" applyFont="1" applyAlignment="1">
      <alignment vertical="center"/>
    </xf>
    <xf numFmtId="0" fontId="14" fillId="0" borderId="0" xfId="53" applyFont="1" applyAlignment="1">
      <alignment horizontal="justify" vertical="top"/>
    </xf>
    <xf numFmtId="0" fontId="8" fillId="0" borderId="0" xfId="53" applyFont="1" applyAlignment="1">
      <alignment vertical="top"/>
    </xf>
    <xf numFmtId="0" fontId="8" fillId="0" borderId="0" xfId="53" applyFont="1" applyAlignment="1">
      <alignment horizontal="right" vertical="top"/>
    </xf>
    <xf numFmtId="0" fontId="8" fillId="0" borderId="0" xfId="53" applyAlignment="1">
      <alignment vertical="top"/>
    </xf>
    <xf numFmtId="0" fontId="19" fillId="0" borderId="0" xfId="53" applyFont="1" applyAlignment="1">
      <alignment horizontal="center" vertical="top"/>
    </xf>
    <xf numFmtId="4" fontId="45" fillId="0" borderId="0" xfId="2" applyNumberFormat="1" applyFont="1" applyFill="1" applyBorder="1" applyAlignment="1">
      <alignment wrapText="1"/>
    </xf>
    <xf numFmtId="168" fontId="15" fillId="0" borderId="0" xfId="2" applyNumberFormat="1" applyFont="1"/>
    <xf numFmtId="0" fontId="25" fillId="0" borderId="0" xfId="2" applyFont="1" applyAlignment="1">
      <alignment horizontal="center"/>
    </xf>
    <xf numFmtId="168" fontId="22" fillId="0" borderId="0" xfId="2" applyNumberFormat="1" applyFont="1"/>
    <xf numFmtId="0" fontId="22" fillId="8" borderId="0" xfId="2" applyFont="1" applyFill="1"/>
    <xf numFmtId="4" fontId="22" fillId="8" borderId="0" xfId="2" applyNumberFormat="1" applyFont="1" applyFill="1"/>
    <xf numFmtId="0" fontId="33" fillId="8" borderId="0" xfId="2" applyFont="1" applyFill="1"/>
    <xf numFmtId="0" fontId="26" fillId="8" borderId="0" xfId="2" applyFont="1" applyFill="1"/>
    <xf numFmtId="14" fontId="26" fillId="8" borderId="0" xfId="2" applyNumberFormat="1" applyFont="1" applyFill="1" applyAlignment="1">
      <alignment horizontal="left"/>
    </xf>
    <xf numFmtId="0" fontId="26" fillId="8" borderId="0" xfId="2" applyFont="1" applyFill="1" applyAlignment="1">
      <alignment horizontal="left"/>
    </xf>
    <xf numFmtId="168" fontId="87" fillId="0" borderId="0" xfId="2" applyNumberFormat="1" applyFont="1"/>
    <xf numFmtId="0" fontId="7" fillId="0" borderId="0" xfId="2" applyFont="1"/>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6" fillId="42" borderId="51" xfId="2" applyFont="1" applyFill="1" applyBorder="1" applyAlignment="1">
      <alignment horizontal="center"/>
    </xf>
    <xf numFmtId="0" fontId="13" fillId="47" borderId="0" xfId="2" applyFill="1"/>
    <xf numFmtId="0" fontId="13" fillId="47" borderId="51" xfId="2" applyNumberFormat="1" applyFont="1" applyFill="1" applyBorder="1" applyAlignment="1">
      <alignment horizontal="center"/>
    </xf>
    <xf numFmtId="0" fontId="6" fillId="47" borderId="51" xfId="2" applyNumberFormat="1" applyFont="1" applyFill="1" applyBorder="1" applyAlignment="1">
      <alignment horizontal="center"/>
    </xf>
    <xf numFmtId="0" fontId="13" fillId="47" borderId="68" xfId="2" applyNumberFormat="1" applyFont="1" applyFill="1" applyBorder="1" applyAlignment="1">
      <alignment horizontal="center"/>
    </xf>
    <xf numFmtId="0" fontId="6" fillId="0" borderId="0" xfId="2" applyFont="1"/>
    <xf numFmtId="0" fontId="18" fillId="0" borderId="0" xfId="2" applyFont="1"/>
    <xf numFmtId="0" fontId="5" fillId="0" borderId="0" xfId="2" applyFont="1"/>
    <xf numFmtId="168" fontId="45" fillId="0" borderId="0" xfId="2" applyNumberFormat="1" applyFont="1" applyFill="1" applyBorder="1" applyAlignment="1">
      <alignment wrapText="1"/>
    </xf>
    <xf numFmtId="3" fontId="45" fillId="0" borderId="0" xfId="2" applyNumberFormat="1" applyFont="1" applyFill="1" applyBorder="1" applyAlignment="1">
      <alignment wrapText="1"/>
    </xf>
    <xf numFmtId="0" fontId="5" fillId="42" borderId="51" xfId="2" applyFont="1" applyFill="1" applyBorder="1" applyAlignment="1">
      <alignment horizontal="center"/>
    </xf>
    <xf numFmtId="0" fontId="5" fillId="47" borderId="52" xfId="2" applyFont="1" applyFill="1" applyBorder="1" applyAlignment="1">
      <alignment horizontal="center"/>
    </xf>
    <xf numFmtId="0" fontId="6" fillId="47" borderId="52" xfId="2" applyFont="1" applyFill="1" applyBorder="1" applyAlignment="1">
      <alignment horizontal="center"/>
    </xf>
    <xf numFmtId="0" fontId="13" fillId="47" borderId="52" xfId="2" applyFont="1" applyFill="1" applyBorder="1" applyAlignment="1">
      <alignment horizontal="center"/>
    </xf>
    <xf numFmtId="0" fontId="13" fillId="47" borderId="69" xfId="2" applyFont="1" applyFill="1" applyBorder="1" applyAlignment="1">
      <alignment horizontal="center"/>
    </xf>
    <xf numFmtId="0" fontId="22" fillId="0" borderId="0" xfId="2" applyFont="1" applyAlignment="1">
      <alignment horizontal="left" wrapText="1"/>
    </xf>
    <xf numFmtId="0" fontId="88" fillId="0" borderId="0" xfId="2" applyFont="1"/>
    <xf numFmtId="0" fontId="90" fillId="0" borderId="0" xfId="2" applyFont="1"/>
    <xf numFmtId="0" fontId="46" fillId="0" borderId="0" xfId="2" applyFont="1" applyFill="1" applyBorder="1" applyAlignment="1"/>
    <xf numFmtId="0" fontId="21" fillId="0" borderId="23" xfId="2" applyFont="1" applyBorder="1"/>
    <xf numFmtId="0" fontId="22" fillId="0" borderId="23" xfId="2" applyFont="1" applyBorder="1"/>
    <xf numFmtId="0" fontId="22" fillId="0" borderId="23" xfId="2" applyFont="1" applyBorder="1" applyAlignment="1">
      <alignment horizontal="left" wrapText="1"/>
    </xf>
    <xf numFmtId="0" fontId="22" fillId="0" borderId="23" xfId="2" applyFont="1" applyBorder="1" applyAlignment="1">
      <alignment horizontal="left" indent="1"/>
    </xf>
    <xf numFmtId="0" fontId="22" fillId="0" borderId="23" xfId="2" applyFont="1" applyBorder="1" applyAlignment="1">
      <alignment wrapText="1"/>
    </xf>
    <xf numFmtId="0" fontId="92" fillId="0" borderId="43" xfId="2" applyFont="1" applyBorder="1" applyAlignment="1">
      <alignment vertical="top"/>
    </xf>
    <xf numFmtId="0" fontId="92" fillId="0" borderId="23" xfId="2" applyFont="1" applyBorder="1" applyAlignment="1">
      <alignment vertical="top"/>
    </xf>
    <xf numFmtId="0" fontId="92" fillId="0" borderId="0" xfId="2" applyFont="1" applyAlignment="1">
      <alignment vertical="top"/>
    </xf>
    <xf numFmtId="0" fontId="22" fillId="0" borderId="0" xfId="0" applyFont="1" applyAlignment="1">
      <alignment wrapText="1"/>
    </xf>
    <xf numFmtId="0" fontId="92" fillId="0" borderId="0" xfId="2" applyFont="1"/>
    <xf numFmtId="0" fontId="20" fillId="0" borderId="0" xfId="2" applyFont="1"/>
    <xf numFmtId="0" fontId="23" fillId="0" borderId="0" xfId="2" applyFont="1"/>
    <xf numFmtId="0" fontId="13" fillId="0" borderId="0" xfId="2" applyFill="1" applyAlignment="1">
      <alignment horizontal="right"/>
    </xf>
    <xf numFmtId="167" fontId="15" fillId="0" borderId="0" xfId="54" applyNumberFormat="1" applyFont="1" applyFill="1" applyAlignment="1">
      <alignment horizontal="right"/>
    </xf>
    <xf numFmtId="167" fontId="15" fillId="0" borderId="0" xfId="54" applyNumberFormat="1" applyFont="1"/>
    <xf numFmtId="166" fontId="13" fillId="0" borderId="0" xfId="1" applyNumberFormat="1" applyFont="1"/>
    <xf numFmtId="166" fontId="13" fillId="0" borderId="0" xfId="1" applyNumberFormat="1" applyFont="1" applyAlignment="1">
      <alignment horizontal="right"/>
    </xf>
    <xf numFmtId="166" fontId="13" fillId="0" borderId="0" xfId="1" applyNumberFormat="1" applyFont="1" applyFill="1" applyAlignment="1">
      <alignment horizontal="right"/>
    </xf>
    <xf numFmtId="0" fontId="4" fillId="0" borderId="0" xfId="2" applyFont="1"/>
    <xf numFmtId="43" fontId="13" fillId="0" borderId="0" xfId="2" applyNumberFormat="1"/>
    <xf numFmtId="4" fontId="45" fillId="0" borderId="0" xfId="2" applyNumberFormat="1" applyFont="1" applyFill="1" applyBorder="1" applyAlignment="1">
      <alignment wrapText="1"/>
    </xf>
    <xf numFmtId="0" fontId="3" fillId="0" borderId="0" xfId="2" applyFont="1"/>
    <xf numFmtId="0" fontId="3" fillId="42" borderId="51" xfId="2" applyFont="1" applyFill="1" applyBorder="1" applyAlignment="1">
      <alignment horizontal="center"/>
    </xf>
    <xf numFmtId="0" fontId="3" fillId="47" borderId="52" xfId="2" applyFont="1" applyFill="1" applyBorder="1" applyAlignment="1">
      <alignment horizontal="center"/>
    </xf>
    <xf numFmtId="0" fontId="3" fillId="0" borderId="0" xfId="53" applyFont="1"/>
    <xf numFmtId="4" fontId="45" fillId="0" borderId="0" xfId="2" applyNumberFormat="1" applyFont="1" applyFill="1" applyBorder="1" applyAlignment="1">
      <alignment wrapText="1"/>
    </xf>
    <xf numFmtId="0" fontId="22" fillId="0" borderId="0" xfId="2" applyFont="1" applyAlignment="1">
      <alignment horizontal="center"/>
    </xf>
    <xf numFmtId="171" fontId="22" fillId="0" borderId="0" xfId="2" applyNumberFormat="1" applyFont="1"/>
    <xf numFmtId="171" fontId="45" fillId="0" borderId="0" xfId="2" applyNumberFormat="1" applyFont="1" applyFill="1" applyBorder="1" applyAlignment="1">
      <alignment wrapText="1"/>
    </xf>
    <xf numFmtId="4" fontId="49" fillId="8" borderId="0" xfId="2" applyNumberFormat="1" applyFont="1" applyFill="1" applyBorder="1" applyAlignment="1">
      <alignment wrapText="1"/>
    </xf>
    <xf numFmtId="4" fontId="45" fillId="0" borderId="0" xfId="2" applyNumberFormat="1" applyFont="1" applyFill="1" applyBorder="1" applyAlignment="1"/>
    <xf numFmtId="4" fontId="62" fillId="0" borderId="0" xfId="2" applyNumberFormat="1" applyFont="1" applyFill="1" applyBorder="1" applyAlignment="1"/>
    <xf numFmtId="4" fontId="55" fillId="0" borderId="0" xfId="2" applyNumberFormat="1" applyFont="1" applyFill="1" applyBorder="1" applyAlignment="1"/>
    <xf numFmtId="4" fontId="60" fillId="0" borderId="0" xfId="2" applyNumberFormat="1" applyFont="1" applyFill="1" applyBorder="1" applyAlignment="1"/>
    <xf numFmtId="4" fontId="61" fillId="48" borderId="0" xfId="2" applyNumberFormat="1" applyFont="1" applyFill="1" applyBorder="1" applyAlignment="1">
      <alignment horizontal="right" wrapText="1"/>
    </xf>
    <xf numFmtId="170" fontId="45" fillId="0" borderId="0" xfId="2" applyNumberFormat="1" applyFont="1" applyFill="1" applyBorder="1" applyAlignment="1">
      <alignment wrapText="1"/>
    </xf>
    <xf numFmtId="4" fontId="45" fillId="49" borderId="0" xfId="2" applyNumberFormat="1" applyFont="1" applyFill="1" applyBorder="1" applyAlignment="1">
      <alignment wrapText="1"/>
    </xf>
    <xf numFmtId="164" fontId="45" fillId="49" borderId="0" xfId="2" applyNumberFormat="1" applyFont="1" applyFill="1" applyBorder="1" applyAlignment="1">
      <alignment wrapText="1"/>
    </xf>
    <xf numFmtId="2" fontId="45" fillId="49" borderId="0" xfId="2" applyNumberFormat="1" applyFont="1" applyFill="1" applyBorder="1" applyAlignment="1">
      <alignment wrapText="1"/>
    </xf>
    <xf numFmtId="2" fontId="60" fillId="49" borderId="0" xfId="2" applyNumberFormat="1" applyFont="1" applyFill="1" applyBorder="1" applyAlignment="1">
      <alignment wrapText="1"/>
    </xf>
    <xf numFmtId="168" fontId="45" fillId="49" borderId="0" xfId="2" applyNumberFormat="1" applyFont="1" applyFill="1" applyBorder="1" applyAlignment="1">
      <alignment wrapText="1"/>
    </xf>
    <xf numFmtId="43" fontId="22" fillId="0" borderId="0" xfId="2" applyNumberFormat="1" applyFont="1" applyAlignment="1"/>
    <xf numFmtId="168" fontId="22" fillId="0" borderId="0" xfId="2" applyNumberFormat="1" applyFont="1" applyAlignment="1">
      <alignment horizontal="right"/>
    </xf>
    <xf numFmtId="4" fontId="45" fillId="0" borderId="0" xfId="2" applyNumberFormat="1" applyFont="1" applyFill="1" applyBorder="1" applyAlignment="1">
      <alignment horizontal="center" wrapText="1"/>
    </xf>
    <xf numFmtId="172" fontId="60" fillId="0" borderId="0" xfId="2" applyNumberFormat="1" applyFont="1" applyFill="1" applyBorder="1" applyAlignment="1">
      <alignment wrapText="1"/>
    </xf>
    <xf numFmtId="0" fontId="0" fillId="0" borderId="0" xfId="0"/>
    <xf numFmtId="0" fontId="2" fillId="0" borderId="0" xfId="74" applyAlignment="1">
      <alignment wrapText="1"/>
    </xf>
    <xf numFmtId="0" fontId="22" fillId="0" borderId="0" xfId="0" applyFont="1"/>
    <xf numFmtId="0" fontId="22" fillId="0" borderId="0" xfId="0" applyFont="1" applyFill="1"/>
    <xf numFmtId="0" fontId="2" fillId="0" borderId="0" xfId="74" applyFont="1"/>
    <xf numFmtId="0" fontId="16" fillId="0" borderId="0" xfId="74" applyFont="1"/>
    <xf numFmtId="0" fontId="64" fillId="0" borderId="0" xfId="74" applyFont="1"/>
    <xf numFmtId="0" fontId="43" fillId="0" borderId="0" xfId="5"/>
    <xf numFmtId="0" fontId="88" fillId="0" borderId="0" xfId="74" applyFont="1"/>
    <xf numFmtId="0" fontId="56" fillId="0" borderId="0" xfId="0" applyFont="1"/>
    <xf numFmtId="0" fontId="33" fillId="0" borderId="0" xfId="0" applyFont="1"/>
    <xf numFmtId="0" fontId="56" fillId="0" borderId="0" xfId="0" applyFont="1" applyAlignment="1">
      <alignment horizontal="right"/>
    </xf>
    <xf numFmtId="0" fontId="25" fillId="0" borderId="0" xfId="0" applyFont="1" applyAlignment="1">
      <alignment wrapText="1"/>
    </xf>
    <xf numFmtId="0" fontId="43" fillId="0" borderId="0" xfId="5" applyAlignment="1">
      <alignment wrapText="1"/>
    </xf>
    <xf numFmtId="0" fontId="93" fillId="0" borderId="0" xfId="0" applyFont="1"/>
    <xf numFmtId="0" fontId="94" fillId="0" borderId="0" xfId="74" applyFont="1"/>
    <xf numFmtId="0" fontId="34" fillId="0" borderId="0" xfId="0" applyFont="1" applyAlignment="1">
      <alignment wrapText="1"/>
    </xf>
    <xf numFmtId="0" fontId="2" fillId="0" borderId="0" xfId="2" applyFont="1"/>
    <xf numFmtId="0" fontId="22" fillId="0" borderId="0" xfId="2" applyNumberFormat="1" applyFont="1" applyFill="1"/>
    <xf numFmtId="0" fontId="8" fillId="0" borderId="0" xfId="53" applyFont="1" applyAlignment="1">
      <alignment horizontal="left" vertical="top" wrapText="1"/>
    </xf>
    <xf numFmtId="0" fontId="8" fillId="0" borderId="0" xfId="53" applyAlignment="1">
      <alignment horizontal="left" vertical="top" wrapText="1"/>
    </xf>
    <xf numFmtId="0" fontId="8" fillId="0" borderId="0" xfId="53" applyFont="1" applyAlignment="1">
      <alignment wrapText="1"/>
    </xf>
    <xf numFmtId="0" fontId="8" fillId="0" borderId="0" xfId="53" applyAlignment="1">
      <alignment horizontal="left" vertical="top" wrapText="1" indent="1"/>
    </xf>
    <xf numFmtId="0" fontId="22" fillId="0" borderId="0" xfId="2" applyFont="1" applyAlignment="1">
      <alignment horizontal="left"/>
    </xf>
    <xf numFmtId="0" fontId="22" fillId="0" borderId="0" xfId="2" applyFont="1" applyAlignment="1">
      <alignment horizontal="left" vertical="top" wrapText="1"/>
    </xf>
    <xf numFmtId="0" fontId="25" fillId="0" borderId="27" xfId="2" applyFont="1" applyBorder="1" applyAlignment="1">
      <alignment horizontal="center"/>
    </xf>
    <xf numFmtId="0" fontId="25" fillId="0" borderId="4" xfId="0" applyFont="1" applyBorder="1" applyAlignment="1">
      <alignment horizontal="center" vertical="center" textRotation="90"/>
    </xf>
    <xf numFmtId="0" fontId="25" fillId="0" borderId="6" xfId="0" applyFont="1" applyBorder="1" applyAlignment="1">
      <alignment horizontal="center" vertical="center" textRotation="90"/>
    </xf>
    <xf numFmtId="0" fontId="25" fillId="0" borderId="7" xfId="0" applyFont="1" applyBorder="1" applyAlignment="1">
      <alignment horizontal="center" vertical="center" textRotation="90"/>
    </xf>
    <xf numFmtId="0" fontId="25" fillId="0" borderId="1" xfId="0" applyFont="1" applyBorder="1" applyAlignment="1">
      <alignment horizontal="center" vertical="center" textRotation="90"/>
    </xf>
    <xf numFmtId="0" fontId="25" fillId="0" borderId="5" xfId="0" applyFont="1" applyBorder="1" applyAlignment="1">
      <alignment horizontal="center" vertical="center" textRotation="90"/>
    </xf>
    <xf numFmtId="0" fontId="22" fillId="0" borderId="0" xfId="0" applyFont="1" applyAlignment="1">
      <alignment horizontal="left" wrapText="1"/>
    </xf>
    <xf numFmtId="0" fontId="21" fillId="0" borderId="0" xfId="0" applyFont="1" applyFill="1" applyBorder="1" applyAlignment="1">
      <alignment horizontal="center" wrapText="1"/>
    </xf>
    <xf numFmtId="0" fontId="21" fillId="0" borderId="0" xfId="0" applyFont="1" applyAlignment="1">
      <alignment horizontal="center" wrapText="1"/>
    </xf>
    <xf numFmtId="0" fontId="21" fillId="0" borderId="0" xfId="0" applyFont="1" applyAlignment="1">
      <alignment horizontal="center"/>
    </xf>
    <xf numFmtId="0" fontId="25" fillId="0" borderId="4"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92" fillId="0" borderId="43" xfId="2" applyFont="1" applyBorder="1" applyAlignment="1">
      <alignment horizontal="left" wrapText="1"/>
    </xf>
    <xf numFmtId="0" fontId="20" fillId="0" borderId="0" xfId="2" applyFont="1" applyAlignment="1">
      <alignment horizontal="left" wrapText="1"/>
    </xf>
    <xf numFmtId="0" fontId="22" fillId="0" borderId="0" xfId="2" applyFont="1" applyAlignment="1">
      <alignment horizontal="left" wrapText="1"/>
    </xf>
    <xf numFmtId="0" fontId="35" fillId="0" borderId="41" xfId="2" applyFont="1" applyBorder="1" applyAlignment="1">
      <alignment horizontal="left" vertical="top" wrapText="1"/>
    </xf>
    <xf numFmtId="0" fontId="35" fillId="0" borderId="42" xfId="2" applyFont="1" applyBorder="1" applyAlignment="1">
      <alignment horizontal="left" vertical="top" wrapText="1"/>
    </xf>
    <xf numFmtId="0" fontId="35" fillId="0" borderId="23" xfId="2" applyFont="1" applyBorder="1" applyAlignment="1">
      <alignment horizontal="left" vertical="top" wrapText="1"/>
    </xf>
    <xf numFmtId="0" fontId="35" fillId="0" borderId="24" xfId="2" applyFont="1" applyBorder="1" applyAlignment="1">
      <alignment horizontal="left" vertical="top" wrapText="1"/>
    </xf>
    <xf numFmtId="0" fontId="35" fillId="0" borderId="25" xfId="2" applyFont="1" applyBorder="1" applyAlignment="1">
      <alignment horizontal="left" vertical="top" wrapText="1"/>
    </xf>
    <xf numFmtId="0" fontId="35" fillId="0" borderId="26" xfId="2" applyFont="1" applyBorder="1" applyAlignment="1">
      <alignment horizontal="left" vertical="top" wrapText="1"/>
    </xf>
    <xf numFmtId="0" fontId="22" fillId="0" borderId="0" xfId="2" applyFont="1" applyBorder="1" applyAlignment="1">
      <alignment horizontal="left" vertical="center" wrapText="1" indent="2"/>
    </xf>
    <xf numFmtId="0" fontId="92" fillId="0" borderId="43" xfId="2" applyFont="1" applyBorder="1" applyAlignment="1">
      <alignment horizontal="left" vertical="top" wrapText="1"/>
    </xf>
    <xf numFmtId="0" fontId="92" fillId="0" borderId="41" xfId="2" applyFont="1" applyBorder="1" applyAlignment="1">
      <alignment horizontal="left" vertical="top" wrapText="1"/>
    </xf>
    <xf numFmtId="0" fontId="39" fillId="0" borderId="92" xfId="2" applyFont="1" applyBorder="1" applyAlignment="1">
      <alignment horizontal="center" vertical="center" textRotation="90"/>
    </xf>
    <xf numFmtId="0" fontId="39" fillId="0" borderId="23" xfId="2" applyFont="1" applyBorder="1" applyAlignment="1">
      <alignment horizontal="center" vertical="center" textRotation="90"/>
    </xf>
    <xf numFmtId="0" fontId="39" fillId="0" borderId="93" xfId="2" applyFont="1" applyBorder="1" applyAlignment="1">
      <alignment horizontal="center" vertical="center" textRotation="90"/>
    </xf>
    <xf numFmtId="4" fontId="28" fillId="2" borderId="6" xfId="2" applyNumberFormat="1" applyFont="1" applyFill="1" applyBorder="1" applyAlignment="1">
      <alignment horizontal="center"/>
    </xf>
    <xf numFmtId="4" fontId="28" fillId="2" borderId="0" xfId="2" applyNumberFormat="1" applyFont="1" applyFill="1" applyBorder="1" applyAlignment="1">
      <alignment horizontal="center"/>
    </xf>
    <xf numFmtId="4" fontId="28" fillId="0" borderId="6" xfId="2" applyNumberFormat="1" applyFont="1" applyBorder="1" applyAlignment="1">
      <alignment horizontal="center"/>
    </xf>
    <xf numFmtId="4" fontId="28" fillId="0" borderId="0" xfId="2" applyNumberFormat="1" applyFont="1" applyBorder="1" applyAlignment="1">
      <alignment horizontal="center"/>
    </xf>
    <xf numFmtId="0" fontId="25" fillId="0" borderId="0" xfId="2" applyFont="1" applyAlignment="1">
      <alignment horizontal="left" wrapText="1"/>
    </xf>
    <xf numFmtId="0" fontId="29" fillId="0" borderId="0" xfId="2" applyFont="1" applyBorder="1" applyAlignment="1">
      <alignment horizontal="center" wrapText="1"/>
    </xf>
    <xf numFmtId="0" fontId="38" fillId="0" borderId="41" xfId="2" applyFont="1" applyBorder="1" applyAlignment="1">
      <alignment horizontal="left" vertical="top" wrapText="1"/>
    </xf>
    <xf numFmtId="0" fontId="38" fillId="0" borderId="43" xfId="2" applyFont="1" applyBorder="1" applyAlignment="1">
      <alignment horizontal="left" vertical="top" wrapText="1"/>
    </xf>
    <xf numFmtId="0" fontId="38" fillId="0" borderId="42" xfId="2" applyFont="1" applyBorder="1" applyAlignment="1">
      <alignment horizontal="left" vertical="top" wrapText="1"/>
    </xf>
    <xf numFmtId="0" fontId="38" fillId="0" borderId="23" xfId="2" applyFont="1" applyBorder="1" applyAlignment="1">
      <alignment horizontal="left" vertical="top" wrapText="1"/>
    </xf>
    <xf numFmtId="0" fontId="38" fillId="0" borderId="0" xfId="2" applyFont="1" applyBorder="1" applyAlignment="1">
      <alignment horizontal="left" vertical="top" wrapText="1"/>
    </xf>
    <xf numFmtId="0" fontId="38" fillId="0" borderId="24" xfId="2" applyFont="1" applyBorder="1" applyAlignment="1">
      <alignment horizontal="left" vertical="top" wrapText="1"/>
    </xf>
    <xf numFmtId="0" fontId="38" fillId="0" borderId="25" xfId="2" applyFont="1" applyBorder="1" applyAlignment="1">
      <alignment horizontal="left" vertical="top" wrapText="1"/>
    </xf>
    <xf numFmtId="0" fontId="38" fillId="0" borderId="21" xfId="2" applyFont="1" applyBorder="1" applyAlignment="1">
      <alignment horizontal="left" vertical="top" wrapText="1"/>
    </xf>
    <xf numFmtId="0" fontId="38" fillId="0" borderId="26" xfId="2" applyFont="1" applyBorder="1" applyAlignment="1">
      <alignment horizontal="left" vertical="top" wrapText="1"/>
    </xf>
    <xf numFmtId="0" fontId="39" fillId="0" borderId="4" xfId="2" applyFont="1" applyBorder="1" applyAlignment="1">
      <alignment horizontal="center" vertical="center" textRotation="90"/>
    </xf>
    <xf numFmtId="0" fontId="39" fillId="0" borderId="6" xfId="2" applyFont="1" applyBorder="1" applyAlignment="1">
      <alignment horizontal="center" vertical="center" textRotation="90"/>
    </xf>
    <xf numFmtId="0" fontId="39" fillId="0" borderId="7" xfId="2" applyFont="1" applyBorder="1" applyAlignment="1">
      <alignment horizontal="center" vertical="center" textRotation="90"/>
    </xf>
    <xf numFmtId="4" fontId="54" fillId="0" borderId="28" xfId="2" applyNumberFormat="1" applyFont="1" applyFill="1" applyBorder="1" applyAlignment="1">
      <alignment wrapText="1"/>
    </xf>
    <xf numFmtId="0" fontId="54" fillId="0" borderId="30" xfId="2" applyFont="1" applyFill="1" applyBorder="1" applyAlignment="1">
      <alignment wrapText="1"/>
    </xf>
    <xf numFmtId="0" fontId="54" fillId="0" borderId="31" xfId="2" applyFont="1" applyFill="1" applyBorder="1" applyAlignment="1">
      <alignment wrapText="1"/>
    </xf>
    <xf numFmtId="4" fontId="45" fillId="0" borderId="0" xfId="2" applyNumberFormat="1" applyFont="1" applyFill="1" applyBorder="1" applyAlignment="1">
      <alignment wrapText="1"/>
    </xf>
    <xf numFmtId="0" fontId="45" fillId="0" borderId="0" xfId="2" applyFont="1" applyFill="1" applyBorder="1" applyAlignment="1">
      <alignment wrapText="1"/>
    </xf>
    <xf numFmtId="4" fontId="45" fillId="0" borderId="0" xfId="2" applyNumberFormat="1" applyFont="1" applyFill="1" applyBorder="1" applyAlignment="1">
      <alignment vertical="center" wrapText="1"/>
    </xf>
    <xf numFmtId="0" fontId="45" fillId="0" borderId="0" xfId="2" applyFont="1" applyFill="1" applyBorder="1" applyAlignment="1">
      <alignment vertical="center" wrapText="1"/>
    </xf>
    <xf numFmtId="0" fontId="63" fillId="0" borderId="0" xfId="2" applyFont="1" applyAlignment="1">
      <alignment horizontal="center"/>
    </xf>
    <xf numFmtId="0" fontId="1" fillId="0" borderId="0" xfId="53" applyFont="1"/>
  </cellXfs>
  <cellStyles count="75">
    <cellStyle name="20% - Accent1" xfId="24" builtinId="30" customBuiltin="1"/>
    <cellStyle name="20% - Accent1 2" xfId="58"/>
    <cellStyle name="20% - Accent2" xfId="28" builtinId="34" customBuiltin="1"/>
    <cellStyle name="20% - Accent2 2" xfId="60"/>
    <cellStyle name="20% - Accent3" xfId="32" builtinId="38" customBuiltin="1"/>
    <cellStyle name="20% - Accent3 2" xfId="62"/>
    <cellStyle name="20% - Accent4" xfId="36" builtinId="42" customBuiltin="1"/>
    <cellStyle name="20% - Accent4 2" xfId="64"/>
    <cellStyle name="20% - Accent5" xfId="40" builtinId="46" customBuiltin="1"/>
    <cellStyle name="20% - Accent5 2" xfId="66"/>
    <cellStyle name="20% - Accent6" xfId="44" builtinId="50" customBuiltin="1"/>
    <cellStyle name="20% - Accent6 2" xfId="68"/>
    <cellStyle name="40% - Accent1" xfId="25" builtinId="31" customBuiltin="1"/>
    <cellStyle name="40% - Accent1 2" xfId="59"/>
    <cellStyle name="40% - Accent2" xfId="29" builtinId="35" customBuiltin="1"/>
    <cellStyle name="40% - Accent2 2" xfId="61"/>
    <cellStyle name="40% - Accent3" xfId="33" builtinId="39" customBuiltin="1"/>
    <cellStyle name="40% - Accent3 2" xfId="63"/>
    <cellStyle name="40% - Accent4" xfId="37" builtinId="43" customBuiltin="1"/>
    <cellStyle name="40% - Accent4 2" xfId="65"/>
    <cellStyle name="40% - Accent5" xfId="41" builtinId="47" customBuiltin="1"/>
    <cellStyle name="40% - Accent5 2" xfId="67"/>
    <cellStyle name="40% - Accent6" xfId="45" builtinId="51" customBuiltin="1"/>
    <cellStyle name="40% - Accent6 2" xfId="69"/>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cellStyle name="Comma 2 2" xfId="56"/>
    <cellStyle name="Comma 3" xfId="49"/>
    <cellStyle name="Comma 3 2" xfId="72"/>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cellStyle name="Input" xfId="15" builtinId="20" customBuiltin="1"/>
    <cellStyle name="Linked Cell" xfId="18" builtinId="24" customBuiltin="1"/>
    <cellStyle name="Neutral" xfId="14" builtinId="28" customBuiltin="1"/>
    <cellStyle name="Normal" xfId="0" builtinId="0"/>
    <cellStyle name="Normal 2" xfId="2"/>
    <cellStyle name="Normal 2 2" xfId="51"/>
    <cellStyle name="Normal 2 3" xfId="53"/>
    <cellStyle name="Normal 2 3 2" xfId="74"/>
    <cellStyle name="Normal 2 4" xfId="55"/>
    <cellStyle name="Normal 3" xfId="47"/>
    <cellStyle name="Normal 3 2" xfId="70"/>
    <cellStyle name="Note 2" xfId="48"/>
    <cellStyle name="Note 2 2" xfId="71"/>
    <cellStyle name="Output" xfId="16" builtinId="21" customBuiltin="1"/>
    <cellStyle name="Percent" xfId="54" builtinId="5"/>
    <cellStyle name="Percent 2" xfId="4"/>
    <cellStyle name="Percent 2 2" xfId="52"/>
    <cellStyle name="Percent 2 3" xfId="57"/>
    <cellStyle name="Percent 3" xfId="50"/>
    <cellStyle name="Percent 3 2" xfId="73"/>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009A46"/>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id="4" name="Impervious" displayName="Impervious" ref="B5:E27" totalsRowShown="0" headerRowDxfId="79" tableBorderDxfId="78">
  <autoFilter ref="B5:E27"/>
  <tableColumns count="4">
    <tableColumn id="1" name="Source" dataDxfId="77"/>
    <tableColumn id="2" name="impervFraction_defaultMapShed"/>
    <tableColumn id="3" name="impervFraction_manualEntry"/>
    <tableColumn id="4"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Street_Sweeping" displayName="Street_Sweeping" ref="B30:F31" totalsRowShown="0">
  <autoFilter ref="B30:F31"/>
  <tableColumns count="5">
    <tableColumn id="1" name="Street Sweeping"/>
    <tableColumn id="2" name="TSS Reduction (%)" dataDxfId="75">
      <calculatedColumnFormula>0.05</calculatedColumnFormula>
    </tableColumn>
    <tableColumn id="3" name="TP Reduction (%)" dataDxfId="74">
      <calculatedColumnFormula>0.05</calculatedColumnFormula>
    </tableColumn>
    <tableColumn id="4" name="TN Reduction (%)" dataDxfId="73">
      <calculatedColumnFormula>0.05</calculatedColumnFormula>
    </tableColumn>
    <tableColumn id="5" name="Road Width (ft)" dataDxfId="72"/>
  </tableColumns>
  <tableStyleInfo name="TableStyleMedium2" showFirstColumn="0" showLastColumn="0" showRowStripes="1" showColumnStripes="0"/>
</table>
</file>

<file path=xl/tables/table3.xml><?xml version="1.0" encoding="utf-8"?>
<table xmlns="http://schemas.openxmlformats.org/spreadsheetml/2006/main" id="6" name="Stream_Nutrients" displayName="Stream_Nutrients" ref="B33:E34" totalsRowShown="0">
  <autoFilter ref="B33:E34"/>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ables/table4.xml><?xml version="1.0" encoding="utf-8"?>
<table xmlns="http://schemas.openxmlformats.org/spreadsheetml/2006/main" id="9" name="LoadRates" displayName="LoadRates" ref="B14:AA30" totalsRowShown="0" headerRowDxfId="71" tableBorderDxfId="70">
  <autoFilter ref="B14:AA30"/>
  <tableColumns count="26">
    <tableColumn id="1" name="Source" dataDxfId="69"/>
    <tableColumn id="2" name="area_ac" dataDxfId="68">
      <calculatedColumnFormula>+'MMW Output'!C20</calculatedColumnFormula>
    </tableColumn>
    <tableColumn id="3" name="runoff_in" dataDxfId="67"/>
    <tableColumn id="4" name="erosion_tons" dataDxfId="66"/>
    <tableColumn id="5" name="Column1" dataDxfId="65"/>
    <tableColumn id="6" name="sediment_tons" dataDxfId="64">
      <calculatedColumnFormula>+'MMW Output'!D20</calculatedColumnFormula>
    </tableColumn>
    <tableColumn id="7" name="DN_lbs" dataDxfId="63"/>
    <tableColumn id="8" name="Column2" dataDxfId="62"/>
    <tableColumn id="9" name="TN_lbs" dataDxfId="61">
      <calculatedColumnFormula>+'MMW Output'!E20</calculatedColumnFormula>
    </tableColumn>
    <tableColumn id="10" name="DP_lbs" dataDxfId="60"/>
    <tableColumn id="11" name="Column3" dataDxfId="59"/>
    <tableColumn id="12" name="TP_lbs" dataDxfId="58">
      <calculatedColumnFormula>+'MMW Output'!F20</calculatedColumnFormula>
    </tableColumn>
    <tableColumn id="13" name="Column4" dataDxfId="57"/>
    <tableColumn id="14" name="TSS_LoadRateLand_lbPerAcPerY" dataDxfId="56">
      <calculatedColumnFormula>IF(C15=0,0,(G15*2000/C15))</calculatedColumnFormula>
    </tableColumn>
    <tableColumn id="15" name="TSS_LoadRateBanks_lbPerAcPerY" dataDxfId="55">
      <calculatedColumnFormula>IF(C15=0,0,'Stream Bank Loading Rates'!#REF!)</calculatedColumnFormula>
    </tableColumn>
    <tableColumn id="16" name="TSS_LoadRate_lbPerAcPerY" dataDxfId="54">
      <calculatedColumnFormula>SUM(O15:P15)</calculatedColumnFormula>
    </tableColumn>
    <tableColumn id="17" name="Column5" dataDxfId="53"/>
    <tableColumn id="18" name="TN_LoadRateLand_lbPerAcPerY" dataDxfId="52">
      <calculatedColumnFormula>IF(C15=0,0,ROUND((J15/C15),2))</calculatedColumnFormula>
    </tableColumn>
    <tableColumn id="19" name="TN_LoadRateBanks_lbPerAcPerY" dataDxfId="51">
      <calculatedColumnFormula>IF(C15=0,0,ROUND('Stream Bank Loading Rates'!#REF!,2))</calculatedColumnFormula>
    </tableColumn>
    <tableColumn id="20" name="TN_LoadRateAnimal_lbPerAcPerY" dataDxfId="50"/>
    <tableColumn id="21" name="TN_LoadRate_lbPerAcPerY" dataDxfId="49">
      <calculatedColumnFormula>SUM(S15:U15)</calculatedColumnFormula>
    </tableColumn>
    <tableColumn id="22" name="Column6" dataDxfId="48"/>
    <tableColumn id="23" name="TP_LoadRateLand_lbPerAcPerY" dataDxfId="47">
      <calculatedColumnFormula>IF(C15=0,0,ROUND((M15/C15),2))</calculatedColumnFormula>
    </tableColumn>
    <tableColumn id="24" name="TP_LoadRateBanks_lbPerAcPerY" dataDxfId="46">
      <calculatedColumnFormula>IF(C15=0,0,ROUND('Stream Bank Loading Rates'!#REF!,2))</calculatedColumnFormula>
    </tableColumn>
    <tableColumn id="25" name="TP_LoadRateAnimal_lbPerAcPerY" dataDxfId="45"/>
    <tableColumn id="26"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2" name="UrbanBMPs" displayName="UrbanBMPs" ref="A10:Y23" totalsRowShown="0" headerRowDxfId="29" dataDxfId="27" headerRowBorderDxfId="28" tableBorderDxfId="26" totalsRowBorderDxfId="25" headerRowCellStyle="Normal 2" dataCellStyle="Normal 2">
  <autoFilter ref="A10:Y23"/>
  <tableColumns count="25">
    <tableColumn id="1" name="Project_name" dataDxfId="24" dataCellStyle="Normal 2"/>
    <tableColumn id="2" name="BMP_name" dataDxfId="23" dataCellStyle="Normal 2"/>
    <tableColumn id="3" name="BMP_type" dataDxfId="22" dataCellStyle="Normal 2"/>
    <tableColumn id="4" name="Existing?" dataDxfId="21" dataCellStyle="Normal 2"/>
    <tableColumn id="5" name="YearInstalled" dataDxfId="20" dataCellStyle="Normal 2"/>
    <tableColumn id="6" name="drainageLandCoverClass" dataDxfId="19" dataCellStyle="Normal 2"/>
    <tableColumn id="7" name="drainageArea_ac" dataDxfId="18" dataCellStyle="Normal 2"/>
    <tableColumn id="8" name="treatmentDepth_in" dataDxfId="17" dataCellStyle="Normal 2"/>
    <tableColumn id="9" name="lengthTreatedStream_ft" dataDxfId="16" dataCellStyle="Normal 2"/>
    <tableColumn id="10" name="lengthTreatedRoad_ft2" dataDxfId="15" dataCellStyle="Normal 2"/>
    <tableColumn id="11" name="impervArea_ac" dataDxfId="14" dataCellStyle="Normal 2"/>
    <tableColumn id="12" name="treatmentDepthNormalized_inPerImpervAc" dataDxfId="13" dataCellStyle="Normal 2"/>
    <tableColumn id="13" name="treatmentDepthNormalizedManual_inPerImpervAc" dataDxfId="12" dataCellStyle="Normal 2"/>
    <tableColumn id="14" name="treatmentDepthNormalizedEffective_inPerImpervAc" dataDxfId="11" dataCellStyle="Normal 2"/>
    <tableColumn id="15" name="impervFraction_percent" dataDxfId="10" dataCellStyle="Normal 2">
      <calculatedColumnFormula>IF(UrbanBMPs[[#This Row],[BMP_type]]="Stream Restoration",NA(),IFERROR(INDEX(Impervious[#All],MATCH(UrbanBMPs[[#This Row],[drainageLandCoverClass]],Impervious[[#All],[Source]],0),4),0))</calculatedColumnFormula>
    </tableColumn>
    <tableColumn id="16"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name="TSS_Reduction_tonPerY" dataDxfId="2" dataCellStyle="Normal 2"/>
    <tableColumn id="24"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80" zoomScaleNormal="80" workbookViewId="0">
      <selection activeCell="J8" sqref="J8"/>
    </sheetView>
  </sheetViews>
  <sheetFormatPr defaultColWidth="9.125" defaultRowHeight="15" x14ac:dyDescent="0.25"/>
  <cols>
    <col min="1" max="1" width="9.375" style="437" customWidth="1"/>
    <col min="2" max="5" width="9.125" style="437"/>
    <col min="6" max="8" width="9.125" style="439"/>
    <col min="9" max="9" width="12.5" style="439" customWidth="1"/>
    <col min="10" max="16384" width="9.125" style="439"/>
  </cols>
  <sheetData>
    <row r="1" spans="1:12" s="433" customFormat="1" ht="26.25" x14ac:dyDescent="0.4">
      <c r="A1" s="431"/>
      <c r="B1" s="431"/>
      <c r="C1" s="431"/>
      <c r="D1" s="431"/>
      <c r="E1" s="432" t="s">
        <v>403</v>
      </c>
    </row>
    <row r="2" spans="1:12" s="436" customFormat="1" ht="21" x14ac:dyDescent="0.35">
      <c r="A2" s="434"/>
      <c r="B2" s="434"/>
      <c r="C2" s="434"/>
      <c r="D2" s="434"/>
      <c r="E2" s="435" t="s">
        <v>0</v>
      </c>
    </row>
    <row r="3" spans="1:12" x14ac:dyDescent="0.25">
      <c r="B3" s="440" t="s">
        <v>618</v>
      </c>
      <c r="C3" s="611" t="s">
        <v>619</v>
      </c>
      <c r="E3" s="438"/>
      <c r="F3" s="437"/>
      <c r="G3" s="437"/>
      <c r="H3" s="437"/>
      <c r="I3" s="437"/>
    </row>
    <row r="4" spans="1:12" ht="15.75" x14ac:dyDescent="0.25">
      <c r="B4" s="440" t="s">
        <v>454</v>
      </c>
      <c r="C4" s="441" t="s">
        <v>617</v>
      </c>
      <c r="E4" s="442"/>
      <c r="F4" s="437"/>
      <c r="G4" s="437"/>
      <c r="H4" s="437"/>
      <c r="I4" s="437"/>
    </row>
    <row r="5" spans="1:12" x14ac:dyDescent="0.25">
      <c r="E5" s="443"/>
    </row>
    <row r="6" spans="1:12" x14ac:dyDescent="0.25">
      <c r="A6" s="439"/>
      <c r="B6" s="440" t="s">
        <v>1</v>
      </c>
      <c r="C6" s="444" t="s">
        <v>2</v>
      </c>
      <c r="E6" s="438"/>
      <c r="F6" s="437"/>
      <c r="G6" s="437"/>
      <c r="H6" s="437"/>
      <c r="I6" s="437"/>
    </row>
    <row r="7" spans="1:12" x14ac:dyDescent="0.25">
      <c r="C7" s="445" t="s">
        <v>476</v>
      </c>
      <c r="E7" s="446"/>
      <c r="F7" s="437"/>
      <c r="G7" s="437"/>
      <c r="H7" s="437"/>
      <c r="I7" s="437"/>
    </row>
    <row r="8" spans="1:12" ht="15.75" x14ac:dyDescent="0.25">
      <c r="C8" s="437" t="s">
        <v>3</v>
      </c>
      <c r="E8" s="442"/>
    </row>
    <row r="9" spans="1:12" ht="15.75" x14ac:dyDescent="0.25">
      <c r="C9" s="437" t="s">
        <v>585</v>
      </c>
      <c r="E9" s="442"/>
    </row>
    <row r="10" spans="1:12" ht="15.75" x14ac:dyDescent="0.25">
      <c r="B10" s="447"/>
      <c r="E10" s="442"/>
      <c r="F10" s="437"/>
      <c r="G10" s="437"/>
      <c r="H10" s="437"/>
      <c r="I10" s="437"/>
    </row>
    <row r="11" spans="1:12" ht="15.75" x14ac:dyDescent="0.25">
      <c r="B11" s="440" t="s">
        <v>481</v>
      </c>
      <c r="C11" s="338" t="s">
        <v>482</v>
      </c>
      <c r="F11" s="437"/>
      <c r="G11" s="437"/>
      <c r="H11" s="437"/>
      <c r="I11" s="437"/>
    </row>
    <row r="12" spans="1:12" ht="15.75" x14ac:dyDescent="0.25">
      <c r="B12" s="440" t="s">
        <v>479</v>
      </c>
      <c r="C12" s="338" t="s">
        <v>480</v>
      </c>
    </row>
    <row r="13" spans="1:12" ht="15.75" x14ac:dyDescent="0.25">
      <c r="B13" s="440" t="s">
        <v>455</v>
      </c>
      <c r="C13" s="338" t="s">
        <v>478</v>
      </c>
      <c r="E13" s="438"/>
      <c r="F13" s="437"/>
      <c r="G13" s="437"/>
      <c r="H13" s="437"/>
      <c r="I13" s="437"/>
    </row>
    <row r="15" spans="1:12" ht="15.75" x14ac:dyDescent="0.25">
      <c r="A15" s="441" t="s">
        <v>4</v>
      </c>
      <c r="B15" s="447"/>
      <c r="E15" s="442"/>
      <c r="F15" s="437"/>
      <c r="G15" s="437"/>
      <c r="H15" s="437"/>
      <c r="I15" s="437"/>
    </row>
    <row r="16" spans="1:12" s="448" customFormat="1" ht="45" customHeight="1" x14ac:dyDescent="0.25">
      <c r="A16" s="553" t="s">
        <v>5</v>
      </c>
      <c r="B16" s="553"/>
      <c r="C16" s="553"/>
      <c r="D16" s="553"/>
      <c r="E16" s="553"/>
      <c r="F16" s="553"/>
      <c r="G16" s="553"/>
      <c r="H16" s="553"/>
      <c r="I16" s="553"/>
      <c r="J16" s="553"/>
      <c r="K16" s="553"/>
      <c r="L16" s="553"/>
    </row>
    <row r="17" spans="1:12" s="448" customFormat="1" ht="51.75" customHeight="1" x14ac:dyDescent="0.25">
      <c r="A17" s="553" t="s">
        <v>6</v>
      </c>
      <c r="B17" s="553"/>
      <c r="C17" s="553"/>
      <c r="D17" s="553"/>
      <c r="E17" s="553"/>
      <c r="F17" s="553"/>
      <c r="G17" s="553"/>
      <c r="H17" s="553"/>
      <c r="I17" s="553"/>
      <c r="J17" s="553"/>
      <c r="K17" s="553"/>
      <c r="L17" s="553"/>
    </row>
    <row r="18" spans="1:12" ht="15.75" x14ac:dyDescent="0.25">
      <c r="B18" s="447"/>
      <c r="E18" s="442"/>
      <c r="F18" s="437"/>
      <c r="G18" s="437"/>
      <c r="H18" s="437"/>
      <c r="I18" s="437"/>
    </row>
    <row r="19" spans="1:12" ht="15.75" x14ac:dyDescent="0.25">
      <c r="A19" s="441" t="s">
        <v>458</v>
      </c>
      <c r="B19" s="447"/>
      <c r="E19" s="442"/>
      <c r="F19" s="437"/>
      <c r="G19" s="437"/>
      <c r="H19" s="437"/>
      <c r="I19" s="437"/>
    </row>
    <row r="20" spans="1:12" s="449" customFormat="1" ht="70.5" customHeight="1" x14ac:dyDescent="0.25">
      <c r="A20" s="551" t="s">
        <v>459</v>
      </c>
      <c r="B20" s="551"/>
      <c r="C20" s="551"/>
      <c r="D20" s="551"/>
      <c r="E20" s="551"/>
      <c r="F20" s="551"/>
      <c r="G20" s="551"/>
      <c r="H20" s="551"/>
      <c r="I20" s="551"/>
      <c r="J20" s="551"/>
      <c r="K20" s="551"/>
      <c r="L20" s="551"/>
    </row>
    <row r="21" spans="1:12" s="449" customFormat="1" ht="63.75" customHeight="1" x14ac:dyDescent="0.25">
      <c r="A21" s="554" t="s">
        <v>456</v>
      </c>
      <c r="B21" s="554"/>
      <c r="C21" s="554"/>
      <c r="D21" s="554"/>
      <c r="E21" s="554"/>
      <c r="F21" s="554"/>
      <c r="G21" s="554"/>
      <c r="H21" s="554"/>
      <c r="I21" s="554"/>
      <c r="J21" s="554"/>
      <c r="K21" s="554"/>
      <c r="L21" s="554"/>
    </row>
    <row r="22" spans="1:12" s="449" customFormat="1" ht="94.5" customHeight="1" x14ac:dyDescent="0.25">
      <c r="A22" s="554" t="s">
        <v>457</v>
      </c>
      <c r="B22" s="554"/>
      <c r="C22" s="554"/>
      <c r="D22" s="554"/>
      <c r="E22" s="554"/>
      <c r="F22" s="554"/>
      <c r="G22" s="554"/>
      <c r="H22" s="554"/>
      <c r="I22" s="554"/>
      <c r="J22" s="554"/>
      <c r="K22" s="554"/>
      <c r="L22" s="554"/>
    </row>
    <row r="23" spans="1:12" s="449" customFormat="1" ht="15.75" x14ac:dyDescent="0.25">
      <c r="A23" s="450" t="s">
        <v>460</v>
      </c>
      <c r="B23" s="451"/>
      <c r="C23" s="452"/>
      <c r="D23" s="452"/>
      <c r="E23" s="453"/>
      <c r="F23" s="452"/>
      <c r="G23" s="452"/>
      <c r="H23" s="452"/>
      <c r="I23" s="452"/>
    </row>
    <row r="24" spans="1:12" s="449" customFormat="1" ht="15.75" x14ac:dyDescent="0.25">
      <c r="A24" s="450" t="s">
        <v>477</v>
      </c>
      <c r="B24" s="451"/>
      <c r="C24" s="452"/>
      <c r="D24" s="452"/>
      <c r="E24" s="453"/>
      <c r="F24" s="452"/>
      <c r="G24" s="452"/>
      <c r="H24" s="452"/>
      <c r="I24" s="452"/>
    </row>
    <row r="25" spans="1:12" ht="15.75" x14ac:dyDescent="0.25">
      <c r="B25" s="447"/>
      <c r="E25" s="442"/>
      <c r="F25" s="437"/>
      <c r="G25" s="437"/>
      <c r="H25" s="437"/>
      <c r="I25" s="437"/>
    </row>
    <row r="26" spans="1:12" s="2" customFormat="1" x14ac:dyDescent="0.25">
      <c r="A26" s="420"/>
      <c r="B26" s="421" t="s">
        <v>467</v>
      </c>
      <c r="C26" s="1"/>
      <c r="D26" s="1"/>
      <c r="E26" s="1"/>
    </row>
    <row r="27" spans="1:12" s="2" customFormat="1" x14ac:dyDescent="0.25">
      <c r="A27" s="422"/>
      <c r="B27" s="421" t="s">
        <v>468</v>
      </c>
      <c r="C27" s="1"/>
      <c r="D27" s="1"/>
      <c r="E27" s="1"/>
    </row>
    <row r="28" spans="1:12" s="2" customFormat="1" x14ac:dyDescent="0.25">
      <c r="A28" s="423"/>
      <c r="B28" s="421" t="s">
        <v>469</v>
      </c>
      <c r="C28" s="1"/>
      <c r="D28" s="1"/>
      <c r="E28" s="1"/>
    </row>
    <row r="29" spans="1:12" ht="15.75" x14ac:dyDescent="0.25">
      <c r="B29" s="447"/>
      <c r="E29" s="442"/>
      <c r="F29" s="437"/>
      <c r="G29" s="437"/>
      <c r="H29" s="437"/>
      <c r="I29" s="437"/>
    </row>
    <row r="30" spans="1:12" ht="15.75" x14ac:dyDescent="0.25">
      <c r="A30" s="511" t="s">
        <v>526</v>
      </c>
      <c r="B30" s="447"/>
      <c r="E30" s="442"/>
      <c r="F30" s="437"/>
      <c r="G30" s="437"/>
      <c r="H30" s="437"/>
      <c r="I30" s="338" t="s">
        <v>478</v>
      </c>
    </row>
    <row r="31" spans="1:12" ht="15.75" x14ac:dyDescent="0.25">
      <c r="A31" s="445"/>
      <c r="B31" s="447"/>
      <c r="E31" s="442"/>
      <c r="F31" s="437"/>
      <c r="G31" s="437"/>
      <c r="H31" s="437"/>
      <c r="I31" s="437"/>
    </row>
    <row r="32" spans="1:12" x14ac:dyDescent="0.25">
      <c r="A32" s="441" t="s">
        <v>483</v>
      </c>
      <c r="E32" s="443"/>
    </row>
    <row r="33" spans="1:12" ht="101.25" customHeight="1" x14ac:dyDescent="0.25">
      <c r="A33" s="551" t="s">
        <v>484</v>
      </c>
      <c r="B33" s="552"/>
      <c r="C33" s="552"/>
      <c r="D33" s="552"/>
      <c r="E33" s="552"/>
      <c r="F33" s="552"/>
      <c r="G33" s="552"/>
      <c r="H33" s="552"/>
      <c r="I33" s="552"/>
      <c r="J33" s="552"/>
      <c r="K33" s="552"/>
      <c r="L33" s="552"/>
    </row>
  </sheetData>
  <mergeCells count="6">
    <mergeCell ref="A33:L33"/>
    <mergeCell ref="A16:L16"/>
    <mergeCell ref="A17:L17"/>
    <mergeCell ref="A20:L20"/>
    <mergeCell ref="A21:L21"/>
    <mergeCell ref="A22:L22"/>
  </mergeCells>
  <hyperlinks>
    <hyperlink ref="C11" r:id="rId1"/>
    <hyperlink ref="C13" r:id="rId2"/>
    <hyperlink ref="C12" r:id="rId3"/>
    <hyperlink ref="I30" r:id="rId4"/>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197"/>
  <sheetViews>
    <sheetView topLeftCell="C1" zoomScale="80" zoomScaleNormal="80" workbookViewId="0">
      <selection activeCell="G155" sqref="G155"/>
    </sheetView>
  </sheetViews>
  <sheetFormatPr defaultColWidth="8.875" defaultRowHeight="15" x14ac:dyDescent="0.25"/>
  <cols>
    <col min="1" max="1" width="13.5" style="1" customWidth="1"/>
    <col min="2" max="2" width="27.625" style="1" customWidth="1"/>
    <col min="3" max="5" width="15.875" style="1" customWidth="1"/>
    <col min="6" max="11" width="8.875" style="1"/>
    <col min="12" max="17" width="10.875" style="1" customWidth="1"/>
    <col min="18" max="16384" width="8.875" style="1"/>
  </cols>
  <sheetData>
    <row r="1" spans="1:5" ht="31.5" x14ac:dyDescent="0.5">
      <c r="A1" s="484" t="s">
        <v>511</v>
      </c>
    </row>
    <row r="2" spans="1:5" ht="15.75" x14ac:dyDescent="0.25">
      <c r="B2" s="485" t="s">
        <v>461</v>
      </c>
    </row>
    <row r="4" spans="1:5" ht="45" x14ac:dyDescent="0.25">
      <c r="B4" s="341" t="s">
        <v>13</v>
      </c>
      <c r="C4" s="346" t="s">
        <v>404</v>
      </c>
      <c r="D4" s="346" t="s">
        <v>405</v>
      </c>
      <c r="E4" s="346" t="s">
        <v>406</v>
      </c>
    </row>
    <row r="5" spans="1:5" s="3" customFormat="1" ht="31.5" x14ac:dyDescent="0.25">
      <c r="B5" s="346" t="s">
        <v>13</v>
      </c>
      <c r="C5" s="342" t="s">
        <v>411</v>
      </c>
      <c r="D5" s="342" t="s">
        <v>412</v>
      </c>
      <c r="E5" s="342" t="s">
        <v>413</v>
      </c>
    </row>
    <row r="6" spans="1:5" ht="15.75" x14ac:dyDescent="0.25">
      <c r="B6" s="343" t="s">
        <v>35</v>
      </c>
      <c r="C6"/>
      <c r="D6"/>
      <c r="E6">
        <f>IF(ISNUMBER(Impervious[[#This Row],[impervFraction_manualEntry]]),Impervious[[#This Row],[impervFraction_manualEntry]],Impervious[[#This Row],[impervFraction_defaultMapShed]])</f>
        <v>0</v>
      </c>
    </row>
    <row r="7" spans="1:5" ht="15.75" x14ac:dyDescent="0.25">
      <c r="B7" s="344" t="s">
        <v>36</v>
      </c>
      <c r="C7"/>
      <c r="D7"/>
      <c r="E7">
        <f>IF(ISNUMBER(Impervious[[#This Row],[impervFraction_manualEntry]]),Impervious[[#This Row],[impervFraction_manualEntry]],Impervious[[#This Row],[impervFraction_defaultMapShed]])</f>
        <v>0</v>
      </c>
    </row>
    <row r="8" spans="1:5" ht="15.75" x14ac:dyDescent="0.25">
      <c r="B8" s="343" t="s">
        <v>37</v>
      </c>
      <c r="C8"/>
      <c r="D8"/>
      <c r="E8">
        <f>IF(ISNUMBER(Impervious[[#This Row],[impervFraction_manualEntry]]),Impervious[[#This Row],[impervFraction_manualEntry]],Impervious[[#This Row],[impervFraction_defaultMapShed]])</f>
        <v>0</v>
      </c>
    </row>
    <row r="9" spans="1:5" ht="15.75" x14ac:dyDescent="0.25">
      <c r="B9" s="344" t="s">
        <v>39</v>
      </c>
      <c r="C9"/>
      <c r="D9"/>
      <c r="E9">
        <f>IF(ISNUMBER(Impervious[[#This Row],[impervFraction_manualEntry]]),Impervious[[#This Row],[impervFraction_manualEntry]],Impervious[[#This Row],[impervFraction_defaultMapShed]])</f>
        <v>0</v>
      </c>
    </row>
    <row r="10" spans="1:5" ht="15.75" x14ac:dyDescent="0.25">
      <c r="B10" s="344" t="s">
        <v>40</v>
      </c>
      <c r="C10"/>
      <c r="D10"/>
      <c r="E10" s="345">
        <f>IF(ISNUMBER(Impervious[[#This Row],[impervFraction_manualEntry]]),Impervious[[#This Row],[impervFraction_manualEntry]],Impervious[[#This Row],[impervFraction_defaultMapShed]])</f>
        <v>0</v>
      </c>
    </row>
    <row r="11" spans="1:5" ht="15.75" x14ac:dyDescent="0.25">
      <c r="B11" s="344" t="s">
        <v>41</v>
      </c>
      <c r="C11"/>
      <c r="D11"/>
      <c r="E11" s="345">
        <f>IF(ISNUMBER(Impervious[[#This Row],[impervFraction_manualEntry]]),Impervious[[#This Row],[impervFraction_manualEntry]],Impervious[[#This Row],[impervFraction_defaultMapShed]])</f>
        <v>0</v>
      </c>
    </row>
    <row r="12" spans="1:5" ht="15.75" x14ac:dyDescent="0.25">
      <c r="B12" s="344" t="s">
        <v>42</v>
      </c>
      <c r="C12"/>
      <c r="D12"/>
      <c r="E12" s="345">
        <f>IF(ISNUMBER(Impervious[[#This Row],[impervFraction_manualEntry]]),Impervious[[#This Row],[impervFraction_manualEntry]],Impervious[[#This Row],[impervFraction_defaultMapShed]])</f>
        <v>0</v>
      </c>
    </row>
    <row r="13" spans="1:5" ht="15.75" x14ac:dyDescent="0.25">
      <c r="B13" s="344" t="s">
        <v>43</v>
      </c>
      <c r="C13"/>
      <c r="D13"/>
      <c r="E13" s="345">
        <f>IF(ISNUMBER(Impervious[[#This Row],[impervFraction_manualEntry]]),Impervious[[#This Row],[impervFraction_manualEntry]],Impervious[[#This Row],[impervFraction_defaultMapShed]])</f>
        <v>0</v>
      </c>
    </row>
    <row r="14" spans="1:5" ht="15.75" x14ac:dyDescent="0.25">
      <c r="B14" s="344" t="s">
        <v>44</v>
      </c>
      <c r="C14"/>
      <c r="D14"/>
      <c r="E14" s="345">
        <f>IF(ISNUMBER(Impervious[[#This Row],[impervFraction_manualEntry]]),Impervious[[#This Row],[impervFraction_manualEntry]],Impervious[[#This Row],[impervFraction_defaultMapShed]])</f>
        <v>0</v>
      </c>
    </row>
    <row r="15" spans="1:5" ht="15.75" x14ac:dyDescent="0.25">
      <c r="B15" s="344" t="s">
        <v>45</v>
      </c>
      <c r="C15"/>
      <c r="D15"/>
      <c r="E15" s="345">
        <f>IF(ISNUMBER(Impervious[[#This Row],[impervFraction_manualEntry]]),Impervious[[#This Row],[impervFraction_manualEntry]],Impervious[[#This Row],[impervFraction_defaultMapShed]])</f>
        <v>0</v>
      </c>
    </row>
    <row r="16" spans="1:5" ht="15.75" x14ac:dyDescent="0.25">
      <c r="B16" s="344" t="s">
        <v>46</v>
      </c>
      <c r="C16">
        <v>0.15</v>
      </c>
      <c r="D16"/>
      <c r="E16" s="345">
        <f>IF(ISNUMBER(Impervious[[#This Row],[impervFraction_manualEntry]]),Impervious[[#This Row],[impervFraction_manualEntry]],Impervious[[#This Row],[impervFraction_defaultMapShed]])</f>
        <v>0.15</v>
      </c>
    </row>
    <row r="17" spans="2:6" ht="15.75" x14ac:dyDescent="0.25">
      <c r="B17" s="344" t="s">
        <v>47</v>
      </c>
      <c r="C17">
        <v>0.52</v>
      </c>
      <c r="D17"/>
      <c r="E17" s="345">
        <f>IF(ISNUMBER(Impervious[[#This Row],[impervFraction_manualEntry]]),Impervious[[#This Row],[impervFraction_manualEntry]],Impervious[[#This Row],[impervFraction_defaultMapShed]])</f>
        <v>0.52</v>
      </c>
    </row>
    <row r="18" spans="2:6" ht="15.75" x14ac:dyDescent="0.25">
      <c r="B18" s="344" t="s">
        <v>48</v>
      </c>
      <c r="C18">
        <v>0.87</v>
      </c>
      <c r="D18"/>
      <c r="E18" s="345">
        <f>IF(ISNUMBER(Impervious[[#This Row],[impervFraction_manualEntry]]),Impervious[[#This Row],[impervFraction_manualEntry]],Impervious[[#This Row],[impervFraction_defaultMapShed]])</f>
        <v>0.87</v>
      </c>
    </row>
    <row r="19" spans="2:6" ht="15.75" x14ac:dyDescent="0.25">
      <c r="B19" s="344" t="s">
        <v>49</v>
      </c>
      <c r="C19">
        <v>0.15</v>
      </c>
      <c r="D19"/>
      <c r="E19" s="345">
        <f>IF(ISNUMBER(Impervious[[#This Row],[impervFraction_manualEntry]]),Impervious[[#This Row],[impervFraction_manualEntry]],Impervious[[#This Row],[impervFraction_defaultMapShed]])</f>
        <v>0.15</v>
      </c>
    </row>
    <row r="20" spans="2:6" ht="15.75" x14ac:dyDescent="0.25">
      <c r="B20" s="344" t="s">
        <v>50</v>
      </c>
      <c r="C20">
        <v>0.52</v>
      </c>
      <c r="D20"/>
      <c r="E20" s="345">
        <f>IF(ISNUMBER(Impervious[[#This Row],[impervFraction_manualEntry]]),Impervious[[#This Row],[impervFraction_manualEntry]],Impervious[[#This Row],[impervFraction_defaultMapShed]])</f>
        <v>0.52</v>
      </c>
    </row>
    <row r="21" spans="2:6" ht="15.75" x14ac:dyDescent="0.25">
      <c r="B21" s="344" t="s">
        <v>51</v>
      </c>
      <c r="C21">
        <v>0.87</v>
      </c>
      <c r="D21"/>
      <c r="E21" s="345">
        <f>IF(ISNUMBER(Impervious[[#This Row],[impervFraction_manualEntry]]),Impervious[[#This Row],[impervFraction_manualEntry]],Impervious[[#This Row],[impervFraction_defaultMapShed]])</f>
        <v>0.87</v>
      </c>
    </row>
    <row r="22" spans="2:6" ht="15.75" hidden="1" x14ac:dyDescent="0.25">
      <c r="B22" s="344" t="s">
        <v>324</v>
      </c>
      <c r="C22">
        <v>0.15</v>
      </c>
      <c r="D22"/>
      <c r="E22" s="345">
        <f>IF(ISNUMBER(Impervious[[#This Row],[impervFraction_manualEntry]]),Impervious[[#This Row],[impervFraction_manualEntry]],Impervious[[#This Row],[impervFraction_defaultMapShed]])</f>
        <v>0.15</v>
      </c>
    </row>
    <row r="23" spans="2:6" ht="15.75" hidden="1" x14ac:dyDescent="0.25">
      <c r="B23" s="344" t="s">
        <v>407</v>
      </c>
      <c r="C23">
        <v>0.52</v>
      </c>
      <c r="D23"/>
      <c r="E23" s="345">
        <f>IF(ISNUMBER(Impervious[[#This Row],[impervFraction_manualEntry]]),Impervious[[#This Row],[impervFraction_manualEntry]],Impervious[[#This Row],[impervFraction_defaultMapShed]])</f>
        <v>0.52</v>
      </c>
    </row>
    <row r="24" spans="2:6" ht="15.75" hidden="1" x14ac:dyDescent="0.25">
      <c r="B24" s="344" t="s">
        <v>325</v>
      </c>
      <c r="C24">
        <v>0.87</v>
      </c>
      <c r="D24"/>
      <c r="E24" s="345">
        <f>IF(ISNUMBER(Impervious[[#This Row],[impervFraction_manualEntry]]),Impervious[[#This Row],[impervFraction_manualEntry]],Impervious[[#This Row],[impervFraction_defaultMapShed]])</f>
        <v>0.87</v>
      </c>
    </row>
    <row r="25" spans="2:6" ht="15.75" hidden="1" x14ac:dyDescent="0.25">
      <c r="B25" s="344" t="s">
        <v>408</v>
      </c>
      <c r="C25">
        <v>0.15</v>
      </c>
      <c r="D25"/>
      <c r="E25" s="345">
        <f>IF(ISNUMBER(Impervious[[#This Row],[impervFraction_manualEntry]]),Impervious[[#This Row],[impervFraction_manualEntry]],Impervious[[#This Row],[impervFraction_defaultMapShed]])</f>
        <v>0.15</v>
      </c>
    </row>
    <row r="26" spans="2:6" ht="15.75" hidden="1" x14ac:dyDescent="0.25">
      <c r="B26" s="344" t="s">
        <v>409</v>
      </c>
      <c r="C26">
        <v>0.52</v>
      </c>
      <c r="D26"/>
      <c r="E26" s="345">
        <f>IF(ISNUMBER(Impervious[[#This Row],[impervFraction_manualEntry]]),Impervious[[#This Row],[impervFraction_manualEntry]],Impervious[[#This Row],[impervFraction_defaultMapShed]])</f>
        <v>0.52</v>
      </c>
    </row>
    <row r="27" spans="2:6" ht="15.75" hidden="1" x14ac:dyDescent="0.25">
      <c r="B27" s="344" t="s">
        <v>410</v>
      </c>
      <c r="C27">
        <v>0.87</v>
      </c>
      <c r="D27"/>
      <c r="E27" s="345">
        <f>IF(ISNUMBER(Impervious[[#This Row],[impervFraction_manualEntry]]),Impervious[[#This Row],[impervFraction_manualEntry]],Impervious[[#This Row],[impervFraction_defaultMapShed]])</f>
        <v>0.87</v>
      </c>
    </row>
    <row r="29" spans="2:6" x14ac:dyDescent="0.25">
      <c r="B29" s="1" t="s">
        <v>421</v>
      </c>
    </row>
    <row r="30" spans="2:6" ht="15.75" x14ac:dyDescent="0.25">
      <c r="B30" s="347" t="s">
        <v>323</v>
      </c>
      <c r="C30" t="s">
        <v>314</v>
      </c>
      <c r="D30" t="s">
        <v>315</v>
      </c>
      <c r="E30" s="348" t="s">
        <v>316</v>
      </c>
      <c r="F30" s="348" t="s">
        <v>414</v>
      </c>
    </row>
    <row r="31" spans="2:6" ht="15.75" x14ac:dyDescent="0.25">
      <c r="B31" t="s">
        <v>415</v>
      </c>
      <c r="C31" s="349">
        <f>0.05</f>
        <v>0.05</v>
      </c>
      <c r="D31" s="349">
        <f>0.05</f>
        <v>0.05</v>
      </c>
      <c r="E31" s="349">
        <f>0.05</f>
        <v>0.05</v>
      </c>
      <c r="F31" s="345">
        <v>20</v>
      </c>
    </row>
    <row r="32" spans="2:6" ht="15.75" x14ac:dyDescent="0.25">
      <c r="B32"/>
      <c r="C32"/>
      <c r="D32"/>
      <c r="E32"/>
      <c r="F32"/>
    </row>
    <row r="33" spans="1:20" ht="15.75" x14ac:dyDescent="0.25">
      <c r="B33" s="347" t="s">
        <v>416</v>
      </c>
      <c r="C33" t="s">
        <v>417</v>
      </c>
      <c r="D33" t="s">
        <v>418</v>
      </c>
      <c r="E33" t="s">
        <v>419</v>
      </c>
      <c r="F33"/>
    </row>
    <row r="34" spans="1:20" ht="15.75" x14ac:dyDescent="0.25">
      <c r="B34" t="s">
        <v>420</v>
      </c>
      <c r="C34">
        <v>115</v>
      </c>
      <c r="D34">
        <v>0.17399999999999999</v>
      </c>
      <c r="E34">
        <v>0.192</v>
      </c>
      <c r="F34"/>
    </row>
    <row r="39" spans="1:20" ht="31.5" x14ac:dyDescent="0.5">
      <c r="A39" s="245" t="s">
        <v>512</v>
      </c>
      <c r="B39" s="246"/>
      <c r="C39" s="246"/>
      <c r="D39" s="246"/>
      <c r="E39" s="246"/>
      <c r="F39" s="246"/>
      <c r="G39" s="246"/>
      <c r="H39" s="246"/>
      <c r="I39" s="246"/>
      <c r="J39" s="246"/>
      <c r="R39" s="246"/>
      <c r="S39" s="246"/>
      <c r="T39" s="246"/>
    </row>
    <row r="40" spans="1:20" ht="15.75" x14ac:dyDescent="0.25">
      <c r="A40" s="486" t="s">
        <v>256</v>
      </c>
      <c r="B40" s="486"/>
      <c r="C40" s="486"/>
      <c r="D40" s="486"/>
      <c r="E40" s="486"/>
      <c r="F40" s="486"/>
      <c r="G40" s="486"/>
      <c r="H40" s="486"/>
      <c r="I40" s="486"/>
      <c r="J40" s="486"/>
      <c r="K40" s="486"/>
      <c r="L40" s="486"/>
      <c r="M40" s="247"/>
      <c r="N40" s="4"/>
      <c r="O40" s="4"/>
      <c r="P40" s="4"/>
      <c r="Q40" s="4"/>
      <c r="R40" s="248"/>
      <c r="S40" s="248"/>
      <c r="T40" s="248"/>
    </row>
    <row r="41" spans="1:20" ht="15.75" x14ac:dyDescent="0.25">
      <c r="A41" s="249" t="s">
        <v>257</v>
      </c>
      <c r="B41" s="246"/>
      <c r="C41" s="248"/>
      <c r="D41" s="248"/>
      <c r="E41" s="248"/>
      <c r="F41" s="248"/>
      <c r="G41" s="248"/>
      <c r="H41" s="248"/>
      <c r="I41" s="248"/>
      <c r="J41" s="248"/>
      <c r="K41" s="4"/>
      <c r="N41" s="4"/>
      <c r="O41" s="4"/>
      <c r="P41" s="4"/>
      <c r="Q41" s="4"/>
      <c r="R41" s="248"/>
      <c r="S41" s="248"/>
      <c r="T41" s="248"/>
    </row>
    <row r="42" spans="1:20" x14ac:dyDescent="0.25">
      <c r="A42" s="246"/>
      <c r="B42" s="246"/>
      <c r="C42" s="246"/>
      <c r="D42" s="246"/>
      <c r="E42" s="246"/>
      <c r="F42" s="246"/>
      <c r="G42" s="246"/>
      <c r="H42" s="246"/>
      <c r="I42" s="246"/>
      <c r="J42" s="246"/>
      <c r="M42" s="250"/>
      <c r="N42" s="250"/>
      <c r="O42" s="250"/>
      <c r="P42" s="250"/>
      <c r="Q42" s="250"/>
      <c r="R42" s="246"/>
      <c r="S42" s="246"/>
      <c r="T42" s="246"/>
    </row>
    <row r="43" spans="1:20" ht="15.95" customHeight="1" x14ac:dyDescent="0.25">
      <c r="A43" s="246"/>
      <c r="B43" s="246"/>
      <c r="C43" s="246"/>
      <c r="D43" s="246"/>
      <c r="E43" s="246"/>
      <c r="F43" s="246"/>
      <c r="G43" s="246"/>
      <c r="H43" s="246"/>
      <c r="I43" s="246"/>
      <c r="J43" s="246"/>
      <c r="R43" s="246"/>
      <c r="S43" s="246"/>
      <c r="T43" s="246"/>
    </row>
    <row r="44" spans="1:20" x14ac:dyDescent="0.25">
      <c r="A44" s="246"/>
      <c r="B44" s="246"/>
      <c r="C44" s="246"/>
      <c r="D44" s="246"/>
      <c r="E44" s="246"/>
      <c r="F44" s="246"/>
      <c r="G44" s="246"/>
      <c r="H44" s="246"/>
      <c r="I44" s="246"/>
      <c r="J44" s="246"/>
      <c r="R44" s="246"/>
      <c r="S44" s="246"/>
      <c r="T44" s="246"/>
    </row>
    <row r="45" spans="1:20" x14ac:dyDescent="0.25">
      <c r="A45" s="246"/>
      <c r="B45" s="246"/>
      <c r="C45" s="246"/>
      <c r="D45" s="246"/>
      <c r="E45" s="246"/>
      <c r="F45" s="246"/>
      <c r="G45" s="246"/>
      <c r="H45" s="246"/>
      <c r="I45" s="246"/>
      <c r="J45" s="246"/>
      <c r="R45" s="246"/>
      <c r="S45" s="246"/>
      <c r="T45" s="246"/>
    </row>
    <row r="46" spans="1:20" x14ac:dyDescent="0.25">
      <c r="A46" s="246"/>
      <c r="B46" s="246"/>
      <c r="C46" s="246"/>
      <c r="D46" s="246"/>
      <c r="E46" s="246"/>
      <c r="F46" s="246"/>
      <c r="G46" s="246"/>
      <c r="H46" s="246"/>
      <c r="I46" s="246"/>
      <c r="J46" s="246"/>
      <c r="R46" s="246"/>
      <c r="S46" s="246"/>
      <c r="T46" s="246"/>
    </row>
    <row r="47" spans="1:20" x14ac:dyDescent="0.25">
      <c r="A47" s="246"/>
      <c r="B47" s="246"/>
      <c r="C47" s="246"/>
      <c r="D47" s="246"/>
      <c r="E47" s="246"/>
      <c r="F47" s="246"/>
      <c r="G47" s="246"/>
      <c r="H47" s="246"/>
      <c r="I47" s="246"/>
      <c r="J47" s="246"/>
      <c r="R47" s="246"/>
      <c r="S47" s="246"/>
      <c r="T47" s="246"/>
    </row>
    <row r="48" spans="1:20" x14ac:dyDescent="0.25">
      <c r="A48" s="246"/>
      <c r="B48" s="246"/>
      <c r="C48" s="246"/>
      <c r="D48" s="246"/>
      <c r="E48" s="246"/>
      <c r="F48" s="246"/>
      <c r="G48" s="246"/>
      <c r="H48" s="246"/>
      <c r="I48" s="246"/>
      <c r="J48" s="246"/>
      <c r="R48" s="246"/>
      <c r="S48" s="246"/>
      <c r="T48" s="246"/>
    </row>
    <row r="49" spans="1:20" x14ac:dyDescent="0.25">
      <c r="A49" s="246"/>
      <c r="B49" s="246"/>
      <c r="C49" s="246"/>
      <c r="D49" s="246"/>
      <c r="E49" s="246"/>
      <c r="F49" s="246"/>
      <c r="G49" s="246"/>
      <c r="H49" s="246"/>
      <c r="I49" s="246"/>
      <c r="J49" s="246"/>
      <c r="R49" s="246"/>
      <c r="S49" s="246"/>
      <c r="T49" s="246"/>
    </row>
    <row r="50" spans="1:20" x14ac:dyDescent="0.25">
      <c r="A50" s="246"/>
      <c r="B50" s="246"/>
      <c r="C50" s="246"/>
      <c r="D50" s="246"/>
      <c r="E50" s="246"/>
      <c r="F50" s="246"/>
      <c r="G50" s="246"/>
      <c r="H50" s="246"/>
      <c r="I50" s="246"/>
      <c r="J50" s="246"/>
      <c r="R50" s="246"/>
      <c r="S50" s="246"/>
      <c r="T50" s="246"/>
    </row>
    <row r="51" spans="1:20" x14ac:dyDescent="0.25">
      <c r="A51" s="246"/>
      <c r="B51" s="246"/>
      <c r="C51" s="246"/>
      <c r="D51" s="246"/>
      <c r="E51" s="246"/>
      <c r="F51" s="246"/>
      <c r="G51" s="246"/>
      <c r="H51" s="246"/>
      <c r="I51" s="246"/>
      <c r="J51" s="246"/>
      <c r="R51" s="246"/>
      <c r="S51" s="246"/>
      <c r="T51" s="246"/>
    </row>
    <row r="52" spans="1:20" x14ac:dyDescent="0.25">
      <c r="A52" s="246"/>
      <c r="B52" s="246"/>
      <c r="C52" s="246"/>
      <c r="D52" s="246"/>
      <c r="E52" s="246"/>
      <c r="F52" s="246"/>
      <c r="G52" s="246"/>
      <c r="H52" s="246"/>
      <c r="I52" s="246"/>
      <c r="J52" s="246"/>
      <c r="R52" s="246"/>
      <c r="S52" s="246"/>
      <c r="T52" s="246"/>
    </row>
    <row r="53" spans="1:20" x14ac:dyDescent="0.25">
      <c r="A53" s="246"/>
      <c r="B53" s="246"/>
      <c r="C53" s="246"/>
      <c r="D53" s="246"/>
      <c r="E53" s="246"/>
      <c r="F53" s="246"/>
      <c r="G53" s="246"/>
      <c r="H53" s="246"/>
      <c r="I53" s="246"/>
      <c r="J53" s="246"/>
      <c r="R53" s="246"/>
      <c r="S53" s="246"/>
      <c r="T53" s="246"/>
    </row>
    <row r="54" spans="1:20" x14ac:dyDescent="0.25">
      <c r="A54" s="246"/>
      <c r="B54" s="246"/>
      <c r="C54" s="246"/>
      <c r="D54" s="246"/>
      <c r="E54" s="246"/>
      <c r="F54" s="246"/>
      <c r="G54" s="246"/>
      <c r="H54" s="246"/>
      <c r="I54" s="246"/>
      <c r="J54" s="246"/>
      <c r="R54" s="246"/>
      <c r="S54" s="246"/>
      <c r="T54" s="246"/>
    </row>
    <row r="55" spans="1:20" x14ac:dyDescent="0.25">
      <c r="A55" s="246"/>
      <c r="B55" s="246"/>
      <c r="C55" s="246"/>
      <c r="D55" s="246"/>
      <c r="E55" s="246"/>
      <c r="F55" s="246"/>
      <c r="G55" s="246"/>
      <c r="H55" s="246"/>
      <c r="I55" s="246"/>
      <c r="J55" s="246"/>
      <c r="R55" s="246"/>
      <c r="S55" s="246"/>
      <c r="T55" s="246"/>
    </row>
    <row r="56" spans="1:20" x14ac:dyDescent="0.25">
      <c r="A56" s="246"/>
      <c r="B56" s="246"/>
      <c r="C56" s="246"/>
      <c r="D56" s="246"/>
      <c r="E56" s="246"/>
      <c r="F56" s="246"/>
      <c r="G56" s="246"/>
      <c r="H56" s="246"/>
      <c r="I56" s="246"/>
      <c r="J56" s="246"/>
      <c r="R56" s="246"/>
      <c r="S56" s="246"/>
      <c r="T56" s="246"/>
    </row>
    <row r="57" spans="1:20" x14ac:dyDescent="0.25">
      <c r="A57" s="246"/>
      <c r="B57" s="246"/>
      <c r="C57" s="246"/>
      <c r="D57" s="246"/>
      <c r="E57" s="246"/>
      <c r="F57" s="246"/>
      <c r="G57" s="246"/>
      <c r="H57" s="246"/>
      <c r="I57" s="246"/>
      <c r="J57" s="246"/>
      <c r="R57" s="246"/>
      <c r="S57" s="246"/>
      <c r="T57" s="246"/>
    </row>
    <row r="58" spans="1:20" x14ac:dyDescent="0.25">
      <c r="A58" s="246"/>
      <c r="B58" s="246"/>
      <c r="C58" s="246"/>
      <c r="D58" s="246"/>
      <c r="E58" s="246"/>
      <c r="F58" s="246"/>
      <c r="G58" s="246"/>
      <c r="H58" s="246"/>
      <c r="I58" s="246"/>
      <c r="J58" s="246"/>
      <c r="R58" s="246"/>
      <c r="S58" s="246"/>
      <c r="T58" s="246"/>
    </row>
    <row r="59" spans="1:20" x14ac:dyDescent="0.25">
      <c r="A59" s="246"/>
      <c r="B59" s="246"/>
      <c r="C59" s="246"/>
      <c r="D59" s="246"/>
      <c r="E59" s="246"/>
      <c r="F59" s="246"/>
      <c r="G59" s="246"/>
      <c r="H59" s="246"/>
      <c r="I59" s="246"/>
      <c r="J59" s="246"/>
      <c r="R59" s="246"/>
      <c r="S59" s="246"/>
      <c r="T59" s="246"/>
    </row>
    <row r="60" spans="1:20" x14ac:dyDescent="0.25">
      <c r="A60" s="246"/>
      <c r="B60" s="246"/>
      <c r="C60" s="246"/>
      <c r="D60" s="246"/>
      <c r="E60" s="246"/>
      <c r="F60" s="246"/>
      <c r="G60" s="246"/>
      <c r="H60" s="246"/>
      <c r="I60" s="246"/>
      <c r="J60" s="246"/>
      <c r="R60" s="246"/>
      <c r="S60" s="246"/>
      <c r="T60" s="246"/>
    </row>
    <row r="61" spans="1:20" x14ac:dyDescent="0.25">
      <c r="A61" s="246"/>
      <c r="B61" s="246"/>
      <c r="C61" s="246"/>
      <c r="D61" s="246"/>
      <c r="E61" s="246"/>
      <c r="F61" s="246"/>
      <c r="G61" s="246"/>
      <c r="H61" s="246"/>
      <c r="I61" s="246"/>
      <c r="J61" s="246"/>
      <c r="R61" s="246"/>
      <c r="S61" s="246"/>
      <c r="T61" s="246"/>
    </row>
    <row r="62" spans="1:20" x14ac:dyDescent="0.25">
      <c r="A62" s="246"/>
      <c r="B62" s="246"/>
      <c r="C62" s="246"/>
      <c r="D62" s="246"/>
      <c r="E62" s="246"/>
      <c r="F62" s="246"/>
      <c r="G62" s="246"/>
      <c r="H62" s="246"/>
      <c r="I62" s="246"/>
      <c r="J62" s="246"/>
      <c r="R62" s="246"/>
      <c r="S62" s="246"/>
      <c r="T62" s="246"/>
    </row>
    <row r="63" spans="1:20" x14ac:dyDescent="0.25">
      <c r="A63" s="246"/>
      <c r="B63" s="246"/>
      <c r="C63" s="246"/>
      <c r="D63" s="246"/>
      <c r="E63" s="246"/>
      <c r="F63" s="246"/>
      <c r="G63" s="246"/>
      <c r="H63" s="246"/>
      <c r="I63" s="246"/>
      <c r="J63" s="246"/>
      <c r="R63" s="246"/>
      <c r="S63" s="246"/>
      <c r="T63" s="246"/>
    </row>
    <row r="64" spans="1:20" x14ac:dyDescent="0.25">
      <c r="A64" s="246"/>
      <c r="B64" s="246"/>
      <c r="C64" s="246"/>
      <c r="D64" s="246"/>
      <c r="E64" s="246"/>
      <c r="F64" s="246"/>
      <c r="G64" s="246"/>
      <c r="H64" s="246"/>
      <c r="I64" s="246"/>
      <c r="J64" s="246"/>
      <c r="R64" s="246"/>
      <c r="S64" s="246"/>
      <c r="T64" s="246"/>
    </row>
    <row r="65" spans="1:20" x14ac:dyDescent="0.25">
      <c r="A65" s="246"/>
      <c r="B65" s="246"/>
      <c r="C65" s="246"/>
      <c r="D65" s="246"/>
      <c r="E65" s="246"/>
      <c r="F65" s="246"/>
      <c r="G65" s="246"/>
      <c r="H65" s="246"/>
      <c r="I65" s="246"/>
      <c r="J65" s="246"/>
      <c r="R65" s="246"/>
      <c r="S65" s="246"/>
      <c r="T65" s="246"/>
    </row>
    <row r="66" spans="1:20" x14ac:dyDescent="0.25">
      <c r="A66" s="246"/>
      <c r="B66" s="246"/>
      <c r="C66" s="246"/>
      <c r="D66" s="246"/>
      <c r="E66" s="246"/>
      <c r="F66" s="246"/>
      <c r="G66" s="246"/>
      <c r="H66" s="246"/>
      <c r="I66" s="246"/>
      <c r="J66" s="246"/>
      <c r="R66" s="246"/>
      <c r="S66" s="246"/>
      <c r="T66" s="246"/>
    </row>
    <row r="67" spans="1:20" x14ac:dyDescent="0.25">
      <c r="A67" s="246"/>
      <c r="B67" s="246"/>
      <c r="C67" s="246"/>
      <c r="D67" s="246"/>
      <c r="E67" s="246"/>
      <c r="F67" s="246"/>
      <c r="G67" s="246"/>
      <c r="H67" s="246"/>
      <c r="I67" s="246"/>
      <c r="J67" s="246"/>
      <c r="R67" s="246"/>
      <c r="S67" s="246"/>
      <c r="T67" s="246"/>
    </row>
    <row r="68" spans="1:20" x14ac:dyDescent="0.25">
      <c r="A68" s="246"/>
      <c r="B68" s="246"/>
      <c r="C68" s="246"/>
      <c r="D68" s="246"/>
      <c r="E68" s="246"/>
      <c r="F68" s="246"/>
      <c r="G68" s="246"/>
      <c r="H68" s="246"/>
      <c r="I68" s="246"/>
      <c r="J68" s="246"/>
      <c r="R68" s="246"/>
      <c r="S68" s="246"/>
      <c r="T68" s="246"/>
    </row>
    <row r="69" spans="1:20" x14ac:dyDescent="0.25">
      <c r="A69" s="246"/>
      <c r="B69" s="246"/>
      <c r="C69" s="246"/>
      <c r="D69" s="246"/>
      <c r="E69" s="246"/>
      <c r="F69" s="246"/>
      <c r="G69" s="246"/>
      <c r="H69" s="246"/>
      <c r="I69" s="246"/>
      <c r="J69" s="246"/>
      <c r="R69" s="246"/>
      <c r="S69" s="246"/>
      <c r="T69" s="246"/>
    </row>
    <row r="70" spans="1:20" x14ac:dyDescent="0.25">
      <c r="A70" s="246"/>
      <c r="B70" s="246"/>
      <c r="C70" s="246"/>
      <c r="D70" s="246"/>
      <c r="E70" s="246"/>
      <c r="F70" s="246"/>
      <c r="G70" s="246"/>
      <c r="H70" s="246"/>
      <c r="I70" s="246"/>
      <c r="J70" s="246"/>
      <c r="R70" s="246"/>
      <c r="S70" s="246"/>
      <c r="T70" s="246"/>
    </row>
    <row r="71" spans="1:20" x14ac:dyDescent="0.25">
      <c r="A71" s="246"/>
      <c r="B71" s="246"/>
      <c r="C71" s="246"/>
      <c r="D71" s="246"/>
      <c r="E71" s="246"/>
      <c r="F71" s="246"/>
      <c r="G71" s="246"/>
      <c r="H71" s="246"/>
      <c r="I71" s="246"/>
      <c r="J71" s="246"/>
      <c r="R71" s="246"/>
      <c r="S71" s="246"/>
      <c r="T71" s="246"/>
    </row>
    <row r="72" spans="1:20" x14ac:dyDescent="0.25">
      <c r="A72" s="246"/>
      <c r="B72" s="246"/>
      <c r="C72" s="246"/>
      <c r="D72" s="246"/>
      <c r="E72" s="246"/>
      <c r="F72" s="246"/>
      <c r="G72" s="246"/>
      <c r="H72" s="246"/>
      <c r="I72" s="246"/>
      <c r="J72" s="246"/>
      <c r="R72" s="246"/>
      <c r="S72" s="246"/>
      <c r="T72" s="246"/>
    </row>
    <row r="73" spans="1:20" x14ac:dyDescent="0.25">
      <c r="A73" s="246"/>
      <c r="B73" s="246"/>
      <c r="C73" s="246"/>
      <c r="D73" s="246"/>
      <c r="E73" s="246"/>
      <c r="F73" s="246"/>
      <c r="G73" s="246"/>
      <c r="H73" s="246"/>
      <c r="I73" s="246"/>
      <c r="J73" s="246"/>
      <c r="R73" s="246"/>
      <c r="S73" s="246"/>
      <c r="T73" s="246"/>
    </row>
    <row r="74" spans="1:20" x14ac:dyDescent="0.25">
      <c r="A74" s="246"/>
      <c r="B74" s="246"/>
      <c r="C74" s="246"/>
      <c r="D74" s="246"/>
      <c r="E74" s="246"/>
      <c r="F74" s="246"/>
      <c r="G74" s="246"/>
      <c r="H74" s="246"/>
      <c r="I74" s="246"/>
      <c r="J74" s="246"/>
      <c r="R74" s="246"/>
      <c r="S74" s="246"/>
      <c r="T74" s="246"/>
    </row>
    <row r="75" spans="1:20" x14ac:dyDescent="0.25">
      <c r="A75" s="246"/>
      <c r="B75" s="246"/>
      <c r="C75" s="246"/>
      <c r="D75" s="246"/>
      <c r="E75" s="246"/>
      <c r="F75" s="246"/>
      <c r="G75" s="246"/>
      <c r="H75" s="246"/>
      <c r="I75" s="246"/>
      <c r="J75" s="246"/>
      <c r="R75" s="246"/>
      <c r="S75" s="246"/>
      <c r="T75" s="246"/>
    </row>
    <row r="76" spans="1:20" x14ac:dyDescent="0.25">
      <c r="A76" s="246"/>
      <c r="B76" s="246"/>
      <c r="C76" s="246"/>
      <c r="D76" s="246"/>
      <c r="E76" s="246"/>
      <c r="F76" s="246"/>
      <c r="G76" s="246"/>
      <c r="H76" s="246"/>
      <c r="I76" s="246"/>
      <c r="J76" s="246"/>
      <c r="R76" s="246"/>
      <c r="S76" s="246"/>
      <c r="T76" s="246"/>
    </row>
    <row r="77" spans="1:20" x14ac:dyDescent="0.25">
      <c r="A77" s="246"/>
      <c r="B77" s="246"/>
      <c r="C77" s="246"/>
      <c r="D77" s="246"/>
      <c r="E77" s="246"/>
      <c r="F77" s="246"/>
      <c r="G77" s="246"/>
      <c r="H77" s="246"/>
      <c r="I77" s="246"/>
      <c r="J77" s="246"/>
      <c r="R77" s="246"/>
      <c r="S77" s="246"/>
      <c r="T77" s="246"/>
    </row>
    <row r="78" spans="1:20" x14ac:dyDescent="0.25">
      <c r="A78" s="246"/>
      <c r="B78" s="246"/>
      <c r="C78" s="246"/>
      <c r="D78" s="246"/>
      <c r="E78" s="246"/>
      <c r="F78" s="246"/>
      <c r="G78" s="246"/>
      <c r="H78" s="246"/>
      <c r="I78" s="246"/>
      <c r="J78" s="246"/>
      <c r="R78" s="246"/>
      <c r="S78" s="246"/>
      <c r="T78" s="246"/>
    </row>
    <row r="79" spans="1:20" x14ac:dyDescent="0.25">
      <c r="A79" s="246"/>
      <c r="B79" s="246"/>
      <c r="C79" s="246"/>
      <c r="D79" s="246"/>
      <c r="E79" s="246"/>
      <c r="F79" s="246"/>
      <c r="G79" s="246"/>
      <c r="H79" s="246"/>
      <c r="I79" s="246"/>
      <c r="J79" s="246"/>
      <c r="R79" s="246"/>
      <c r="S79" s="246"/>
      <c r="T79" s="246"/>
    </row>
    <row r="80" spans="1:20" x14ac:dyDescent="0.25">
      <c r="A80" s="251" t="s">
        <v>258</v>
      </c>
      <c r="B80" s="252" t="s">
        <v>259</v>
      </c>
      <c r="C80" s="251"/>
      <c r="D80" s="251"/>
      <c r="E80" s="251"/>
      <c r="F80" s="251"/>
      <c r="G80" s="251"/>
      <c r="H80" s="251"/>
      <c r="I80" s="251"/>
      <c r="J80" s="251"/>
    </row>
    <row r="81" spans="1:20" x14ac:dyDescent="0.25">
      <c r="A81" s="253" t="s">
        <v>260</v>
      </c>
      <c r="B81" s="251"/>
      <c r="C81" s="251"/>
      <c r="D81" s="251"/>
      <c r="E81" s="251"/>
      <c r="F81" s="251"/>
      <c r="G81" s="251"/>
      <c r="H81" s="251"/>
      <c r="I81" s="251"/>
      <c r="J81" s="251"/>
    </row>
    <row r="82" spans="1:20" x14ac:dyDescent="0.25">
      <c r="A82" s="246" t="s">
        <v>261</v>
      </c>
      <c r="B82" s="246"/>
      <c r="C82" s="246"/>
      <c r="D82" s="246"/>
      <c r="E82" s="246"/>
      <c r="F82" s="246"/>
      <c r="G82" s="246"/>
      <c r="H82" s="246"/>
      <c r="I82" s="246"/>
      <c r="J82" s="246"/>
      <c r="K82" s="251"/>
      <c r="R82" s="246"/>
      <c r="S82" s="246"/>
      <c r="T82" s="246"/>
    </row>
    <row r="83" spans="1:20" x14ac:dyDescent="0.25">
      <c r="A83" s="246" t="s">
        <v>262</v>
      </c>
      <c r="B83" s="246"/>
      <c r="C83" s="246"/>
      <c r="D83" s="246"/>
      <c r="E83" s="246"/>
      <c r="F83" s="246"/>
      <c r="G83" s="246"/>
      <c r="H83" s="246"/>
      <c r="I83" s="246"/>
      <c r="J83" s="246"/>
      <c r="K83" s="251"/>
      <c r="R83" s="246"/>
      <c r="S83" s="246"/>
      <c r="T83" s="246"/>
    </row>
    <row r="84" spans="1:20" x14ac:dyDescent="0.25">
      <c r="A84" s="246" t="s">
        <v>263</v>
      </c>
      <c r="B84" s="246"/>
      <c r="C84" s="246"/>
      <c r="D84" s="246"/>
      <c r="E84" s="246"/>
      <c r="F84" s="246"/>
      <c r="G84" s="246"/>
      <c r="H84" s="246"/>
      <c r="I84" s="246"/>
      <c r="J84" s="246"/>
      <c r="K84" s="251"/>
      <c r="R84" s="246"/>
      <c r="S84" s="246"/>
      <c r="T84" s="246"/>
    </row>
    <row r="85" spans="1:20" x14ac:dyDescent="0.25">
      <c r="A85" s="246"/>
      <c r="B85" s="246"/>
      <c r="C85" s="246"/>
      <c r="D85" s="246"/>
      <c r="E85" s="246"/>
      <c r="F85" s="246"/>
      <c r="G85" s="246"/>
      <c r="H85" s="246"/>
      <c r="I85" s="246"/>
      <c r="J85" s="246"/>
      <c r="K85" s="251"/>
      <c r="R85" s="246"/>
      <c r="S85" s="246"/>
      <c r="T85" s="246"/>
    </row>
    <row r="86" spans="1:20" x14ac:dyDescent="0.25">
      <c r="A86" s="248" t="s">
        <v>264</v>
      </c>
      <c r="B86" s="246"/>
      <c r="C86" s="246"/>
      <c r="D86" s="246"/>
      <c r="E86" s="246"/>
      <c r="F86" s="246"/>
      <c r="G86" s="246"/>
      <c r="H86" s="246"/>
      <c r="I86" s="246"/>
      <c r="J86" s="246"/>
      <c r="K86" s="251"/>
      <c r="R86" s="246"/>
      <c r="S86" s="246"/>
      <c r="T86" s="246"/>
    </row>
    <row r="87" spans="1:20" x14ac:dyDescent="0.25">
      <c r="A87" s="254" t="s">
        <v>265</v>
      </c>
      <c r="B87" s="246"/>
      <c r="C87" s="246"/>
      <c r="D87" s="246"/>
      <c r="E87" s="246"/>
      <c r="F87" s="246"/>
      <c r="G87" s="246"/>
      <c r="H87" s="246"/>
      <c r="I87" s="246"/>
      <c r="J87" s="246"/>
      <c r="K87" s="252" t="s">
        <v>259</v>
      </c>
      <c r="R87" s="246"/>
      <c r="S87" s="246"/>
      <c r="T87" s="246"/>
    </row>
    <row r="88" spans="1:20" x14ac:dyDescent="0.25">
      <c r="A88" s="246"/>
      <c r="B88" s="246"/>
      <c r="C88" s="246"/>
      <c r="D88" s="246"/>
      <c r="E88" s="246"/>
      <c r="F88" s="246"/>
      <c r="G88" s="246"/>
      <c r="H88" s="246"/>
      <c r="I88" s="246"/>
      <c r="J88" s="246"/>
      <c r="K88" s="252" t="s">
        <v>266</v>
      </c>
      <c r="R88" s="246"/>
      <c r="S88" s="246"/>
      <c r="T88" s="246"/>
    </row>
    <row r="89" spans="1:20" ht="45" x14ac:dyDescent="0.25">
      <c r="A89" s="246"/>
      <c r="B89" s="246"/>
      <c r="C89" s="246"/>
      <c r="D89" s="246"/>
      <c r="E89" s="246"/>
      <c r="F89" s="246"/>
      <c r="G89" s="246"/>
      <c r="H89" s="246"/>
      <c r="I89" s="246"/>
      <c r="J89" s="246"/>
      <c r="K89" s="3" t="s">
        <v>267</v>
      </c>
      <c r="L89" s="3" t="s">
        <v>268</v>
      </c>
      <c r="M89" s="3" t="s">
        <v>269</v>
      </c>
      <c r="N89" s="3" t="s">
        <v>270</v>
      </c>
      <c r="O89" s="3" t="s">
        <v>271</v>
      </c>
      <c r="P89" s="3" t="s">
        <v>272</v>
      </c>
      <c r="Q89" s="3" t="s">
        <v>273</v>
      </c>
      <c r="R89" s="246"/>
      <c r="S89" s="246"/>
      <c r="T89" s="246"/>
    </row>
    <row r="90" spans="1:20" x14ac:dyDescent="0.25">
      <c r="A90" s="246"/>
      <c r="B90" s="246"/>
      <c r="C90" s="246"/>
      <c r="D90" s="246"/>
      <c r="E90" s="246"/>
      <c r="F90" s="246"/>
      <c r="G90" s="246"/>
      <c r="H90" s="246"/>
      <c r="I90" s="246"/>
      <c r="J90" s="246"/>
      <c r="K90" s="255">
        <v>0.05</v>
      </c>
      <c r="L90" s="256">
        <f t="shared" ref="L90:L110" si="0">0.0304*$K90^5  -0.2619*$K90^4 +0.9161*$K90^3 -1.6837*$K90^2  +1.7072*$K90-0.0091</f>
        <v>7.2163635125000014E-2</v>
      </c>
      <c r="M90" s="256">
        <f t="shared" ref="M90:M110" si="1">0.0239*$K90^5  -0.2058*$K90^4 +0.7198*$K90^3 -1.3229*$K90^2  +1.3414*$K90-0.0072</f>
        <v>5.6651446218750012E-2</v>
      </c>
      <c r="N90" s="256">
        <f t="shared" ref="N90:N110" si="2">0.0308*$K90^5  -0.2562*$K90^4 +0.8634*$K90^3 -1.5285*$K90^2  +1.501*$K90-0.013</f>
        <v>5.8335083375000013E-2</v>
      </c>
      <c r="O90" s="256">
        <f t="shared" ref="O90:O110" si="3">0.0152*$K90^5
-0.131*$K90^4
+0.4581*$K90^3
-0.8418*$K90^2
+0.8536*$K90
-0.0046</f>
        <v>3.6031948500000001E-2</v>
      </c>
      <c r="P90" s="256">
        <f t="shared" ref="P90:P110" si="4">0.0326*$K90^5
-0.2806*$K90^4
+0.9816*$K90^3
-1.8039*$K90^2
+1.8292*$K90
-0.0098</f>
        <v>7.727120643749999E-2</v>
      </c>
      <c r="Q90" s="256">
        <f t="shared" ref="Q90:Q110" si="5">0.0304*$K90^5  -0.2619*$K90^4 +0.9161*$K90^3 -1.6837*$K90^2  +1.7072*$K90-0.0091</f>
        <v>7.2163635125000014E-2</v>
      </c>
      <c r="R90" s="246"/>
      <c r="S90" s="246"/>
      <c r="T90" s="246"/>
    </row>
    <row r="91" spans="1:20" x14ac:dyDescent="0.25">
      <c r="A91" s="246"/>
      <c r="B91" s="246"/>
      <c r="C91" s="246"/>
      <c r="D91" s="246"/>
      <c r="E91" s="246"/>
      <c r="F91" s="246"/>
      <c r="G91" s="246"/>
      <c r="H91" s="246"/>
      <c r="I91" s="246"/>
      <c r="J91" s="246"/>
      <c r="K91" s="257">
        <v>0.1</v>
      </c>
      <c r="L91" s="256">
        <f t="shared" si="0"/>
        <v>0.145673214</v>
      </c>
      <c r="M91" s="256">
        <f t="shared" si="1"/>
        <v>0.11441045900000001</v>
      </c>
      <c r="N91" s="256">
        <f t="shared" si="2"/>
        <v>0.12265308800000001</v>
      </c>
      <c r="O91" s="256">
        <f t="shared" si="3"/>
        <v>7.2787151999999994E-2</v>
      </c>
      <c r="P91" s="256">
        <f t="shared" si="4"/>
        <v>0.15603486599999999</v>
      </c>
      <c r="Q91" s="256">
        <f t="shared" si="5"/>
        <v>0.145673214</v>
      </c>
      <c r="R91" s="246"/>
      <c r="S91" s="246"/>
      <c r="T91" s="246"/>
    </row>
    <row r="92" spans="1:20" x14ac:dyDescent="0.25">
      <c r="A92" s="246"/>
      <c r="B92" s="246"/>
      <c r="C92" s="246"/>
      <c r="D92" s="246"/>
      <c r="E92" s="246"/>
      <c r="F92" s="246"/>
      <c r="G92" s="246"/>
      <c r="H92" s="246"/>
      <c r="I92" s="246"/>
      <c r="J92" s="246"/>
      <c r="K92" s="257">
        <v>0.2</v>
      </c>
      <c r="L92" s="256">
        <f t="shared" si="0"/>
        <v>0.27191148799999998</v>
      </c>
      <c r="M92" s="256">
        <f t="shared" si="1"/>
        <v>0.213600768</v>
      </c>
      <c r="N92" s="256">
        <f t="shared" si="2"/>
        <v>0.23256713600000001</v>
      </c>
      <c r="O92" s="256">
        <f t="shared" si="3"/>
        <v>0.13590806400000002</v>
      </c>
      <c r="P92" s="256">
        <f t="shared" si="4"/>
        <v>0.29129827200000002</v>
      </c>
      <c r="Q92" s="256">
        <f t="shared" si="5"/>
        <v>0.27191148799999998</v>
      </c>
      <c r="R92" s="246"/>
      <c r="S92" s="246"/>
      <c r="T92" s="246"/>
    </row>
    <row r="93" spans="1:20" x14ac:dyDescent="0.25">
      <c r="A93" s="246"/>
      <c r="B93" s="246"/>
      <c r="C93" s="246"/>
      <c r="D93" s="246"/>
      <c r="E93" s="246"/>
      <c r="F93" s="246"/>
      <c r="G93" s="246"/>
      <c r="H93" s="246"/>
      <c r="I93" s="246"/>
      <c r="J93" s="246"/>
      <c r="K93" s="257">
        <v>0.3</v>
      </c>
      <c r="L93" s="256">
        <f t="shared" si="0"/>
        <v>0.37421418199999995</v>
      </c>
      <c r="M93" s="256">
        <f t="shared" si="1"/>
        <v>0.29398469699999996</v>
      </c>
      <c r="N93" s="256">
        <f t="shared" si="2"/>
        <v>0.32104642399999994</v>
      </c>
      <c r="O93" s="256">
        <f t="shared" si="3"/>
        <v>0.187062536</v>
      </c>
      <c r="P93" s="256">
        <f t="shared" si="4"/>
        <v>0.40091855799999992</v>
      </c>
      <c r="Q93" s="256">
        <f t="shared" si="5"/>
        <v>0.37421418199999995</v>
      </c>
      <c r="R93" s="246"/>
      <c r="S93" s="246"/>
      <c r="T93" s="246"/>
    </row>
    <row r="94" spans="1:20" x14ac:dyDescent="0.25">
      <c r="A94" s="246"/>
      <c r="B94" s="246"/>
      <c r="C94" s="246"/>
      <c r="D94" s="246"/>
      <c r="E94" s="246"/>
      <c r="F94" s="246"/>
      <c r="G94" s="246"/>
      <c r="H94" s="246"/>
      <c r="I94" s="246"/>
      <c r="J94" s="246"/>
      <c r="K94" s="257">
        <v>0.4</v>
      </c>
      <c r="L94" s="256">
        <f t="shared" si="0"/>
        <v>0.45662505599999997</v>
      </c>
      <c r="M94" s="256">
        <f t="shared" si="1"/>
        <v>0.35873945600000001</v>
      </c>
      <c r="N94" s="256">
        <f t="shared" si="2"/>
        <v>0.391854272</v>
      </c>
      <c r="O94" s="256">
        <f t="shared" si="3"/>
        <v>0.22827244800000002</v>
      </c>
      <c r="P94" s="256">
        <f t="shared" si="4"/>
        <v>0.48922886399999999</v>
      </c>
      <c r="Q94" s="256">
        <f t="shared" si="5"/>
        <v>0.45662505599999997</v>
      </c>
      <c r="R94" s="246"/>
      <c r="S94" s="246"/>
      <c r="T94" s="246"/>
    </row>
    <row r="95" spans="1:20" x14ac:dyDescent="0.25">
      <c r="A95" s="246"/>
      <c r="B95" s="246"/>
      <c r="C95" s="246"/>
      <c r="D95" s="246"/>
      <c r="E95" s="246"/>
      <c r="F95" s="246"/>
      <c r="G95" s="246"/>
      <c r="H95" s="246"/>
      <c r="I95" s="246"/>
      <c r="J95" s="246"/>
      <c r="K95" s="257">
        <v>0.5</v>
      </c>
      <c r="L95" s="256">
        <f t="shared" si="0"/>
        <v>0.52266875000000002</v>
      </c>
      <c r="M95" s="256">
        <f t="shared" si="1"/>
        <v>0.410634375</v>
      </c>
      <c r="N95" s="256">
        <f t="shared" si="2"/>
        <v>0.44824999999999993</v>
      </c>
      <c r="O95" s="256">
        <f t="shared" si="3"/>
        <v>0.26130000000000003</v>
      </c>
      <c r="P95" s="256">
        <f t="shared" si="4"/>
        <v>0.56000624999999993</v>
      </c>
      <c r="Q95" s="256">
        <f t="shared" si="5"/>
        <v>0.52266875000000002</v>
      </c>
      <c r="R95" s="246"/>
      <c r="S95" s="246"/>
      <c r="T95" s="246"/>
    </row>
    <row r="96" spans="1:20" x14ac:dyDescent="0.25">
      <c r="A96" s="246"/>
      <c r="B96" s="246"/>
      <c r="C96" s="246"/>
      <c r="D96" s="246"/>
      <c r="E96" s="246"/>
      <c r="F96" s="246"/>
      <c r="G96" s="246"/>
      <c r="H96" s="246"/>
      <c r="I96" s="246"/>
      <c r="J96" s="246"/>
      <c r="K96" s="257">
        <v>0.6</v>
      </c>
      <c r="L96" s="256">
        <f t="shared" si="0"/>
        <v>0.57538726399999984</v>
      </c>
      <c r="M96" s="256">
        <f t="shared" si="1"/>
        <v>0.45205958399999996</v>
      </c>
      <c r="N96" s="256">
        <f t="shared" si="2"/>
        <v>0.49302588799999991</v>
      </c>
      <c r="O96" s="256">
        <f t="shared" si="3"/>
        <v>0.28766595199999995</v>
      </c>
      <c r="P96" s="256">
        <f t="shared" si="4"/>
        <v>0.61651081599999979</v>
      </c>
      <c r="Q96" s="256">
        <f t="shared" si="5"/>
        <v>0.57538726399999984</v>
      </c>
      <c r="R96" s="246"/>
      <c r="S96" s="246"/>
      <c r="T96" s="246"/>
    </row>
    <row r="97" spans="1:20" x14ac:dyDescent="0.25">
      <c r="A97" s="246"/>
      <c r="B97" s="246"/>
      <c r="C97" s="246"/>
      <c r="D97" s="246"/>
      <c r="E97" s="246"/>
      <c r="F97" s="246"/>
      <c r="G97" s="246"/>
      <c r="H97" s="246"/>
      <c r="I97" s="246"/>
      <c r="J97" s="246"/>
      <c r="K97" s="257">
        <v>0.7</v>
      </c>
      <c r="L97" s="256">
        <f t="shared" si="0"/>
        <v>0.61737643799999997</v>
      </c>
      <c r="M97" s="256">
        <f t="shared" si="1"/>
        <v>0.48505469299999993</v>
      </c>
      <c r="N97" s="256">
        <f t="shared" si="2"/>
        <v>0.52854413599999994</v>
      </c>
      <c r="O97" s="256">
        <f t="shared" si="3"/>
        <v>0.30866786399999996</v>
      </c>
      <c r="P97" s="256">
        <f t="shared" si="4"/>
        <v>0.66152482199999985</v>
      </c>
      <c r="Q97" s="256">
        <f t="shared" si="5"/>
        <v>0.61737643799999997</v>
      </c>
      <c r="R97" s="246"/>
      <c r="S97" s="246"/>
      <c r="T97" s="246"/>
    </row>
    <row r="98" spans="1:20" x14ac:dyDescent="0.25">
      <c r="A98" s="246"/>
      <c r="B98" s="246"/>
      <c r="C98" s="246"/>
      <c r="D98" s="246"/>
      <c r="E98" s="246"/>
      <c r="F98" s="246"/>
      <c r="G98" s="246"/>
      <c r="H98" s="246"/>
      <c r="I98" s="246"/>
      <c r="J98" s="246"/>
      <c r="K98" s="257">
        <v>0.8</v>
      </c>
      <c r="L98" s="256">
        <f t="shared" si="0"/>
        <v>0.6508224319999999</v>
      </c>
      <c r="M98" s="256">
        <f t="shared" si="1"/>
        <v>0.51133747200000002</v>
      </c>
      <c r="N98" s="256">
        <f t="shared" si="2"/>
        <v>0.55677382399999986</v>
      </c>
      <c r="O98" s="256">
        <f t="shared" si="3"/>
        <v>0.32539833599999995</v>
      </c>
      <c r="P98" s="256">
        <f t="shared" si="4"/>
        <v>0.69739180799999989</v>
      </c>
      <c r="Q98" s="256">
        <f t="shared" si="5"/>
        <v>0.6508224319999999</v>
      </c>
      <c r="R98" s="246"/>
      <c r="S98" s="246"/>
      <c r="T98" s="246"/>
    </row>
    <row r="99" spans="1:20" x14ac:dyDescent="0.25">
      <c r="A99" s="246"/>
      <c r="B99" s="246"/>
      <c r="C99" s="246"/>
      <c r="D99" s="246"/>
      <c r="E99" s="246"/>
      <c r="F99" s="246"/>
      <c r="G99" s="246"/>
      <c r="H99" s="246"/>
      <c r="I99" s="246"/>
      <c r="J99" s="246"/>
      <c r="K99" s="257">
        <v>0.9</v>
      </c>
      <c r="L99" s="256">
        <f t="shared" si="0"/>
        <v>0.67753820599999992</v>
      </c>
      <c r="M99" s="256">
        <f t="shared" si="1"/>
        <v>0.53233253099999989</v>
      </c>
      <c r="N99" s="256">
        <f t="shared" si="2"/>
        <v>0.57932787199999991</v>
      </c>
      <c r="O99" s="256">
        <f t="shared" si="3"/>
        <v>0.33876324800000002</v>
      </c>
      <c r="P99" s="256">
        <f t="shared" si="4"/>
        <v>0.72605571399999991</v>
      </c>
      <c r="Q99" s="256">
        <f t="shared" si="5"/>
        <v>0.67753820599999992</v>
      </c>
      <c r="R99" s="246"/>
      <c r="S99" s="246"/>
      <c r="T99" s="246"/>
    </row>
    <row r="100" spans="1:20" x14ac:dyDescent="0.25">
      <c r="A100" s="246"/>
      <c r="B100" s="246"/>
      <c r="C100" s="246"/>
      <c r="D100" s="246"/>
      <c r="E100" s="246"/>
      <c r="F100" s="246"/>
      <c r="G100" s="246"/>
      <c r="H100" s="246"/>
      <c r="I100" s="246"/>
      <c r="J100" s="246"/>
      <c r="K100" s="257">
        <v>1</v>
      </c>
      <c r="L100" s="256">
        <f t="shared" si="0"/>
        <v>0.69900000000000007</v>
      </c>
      <c r="M100" s="256">
        <f t="shared" si="1"/>
        <v>0.54920000000000002</v>
      </c>
      <c r="N100" s="256">
        <f t="shared" si="2"/>
        <v>0.59749999999999981</v>
      </c>
      <c r="O100" s="256">
        <f t="shared" si="3"/>
        <v>0.34950000000000003</v>
      </c>
      <c r="P100" s="256">
        <f t="shared" si="4"/>
        <v>0.74909999999999988</v>
      </c>
      <c r="Q100" s="256">
        <f t="shared" si="5"/>
        <v>0.69900000000000007</v>
      </c>
      <c r="R100" s="246"/>
      <c r="S100" s="246"/>
      <c r="T100" s="246"/>
    </row>
    <row r="101" spans="1:20" x14ac:dyDescent="0.25">
      <c r="A101" s="246"/>
      <c r="B101" s="246"/>
      <c r="C101" s="246"/>
      <c r="D101" s="246"/>
      <c r="E101" s="246"/>
      <c r="F101" s="246"/>
      <c r="G101" s="246"/>
      <c r="H101" s="246"/>
      <c r="I101" s="246"/>
      <c r="J101" s="246"/>
      <c r="K101" s="257">
        <v>1.2</v>
      </c>
      <c r="L101" s="256">
        <f t="shared" si="0"/>
        <v>0.73060188799999992</v>
      </c>
      <c r="M101" s="256">
        <f t="shared" si="1"/>
        <v>0.57404236800000008</v>
      </c>
      <c r="N101" s="256">
        <f t="shared" si="2"/>
        <v>0.62449913599999973</v>
      </c>
      <c r="O101" s="256">
        <f t="shared" si="3"/>
        <v>0.36530566400000003</v>
      </c>
      <c r="P101" s="256">
        <f t="shared" si="4"/>
        <v>0.78309587199999986</v>
      </c>
      <c r="Q101" s="256">
        <f t="shared" si="5"/>
        <v>0.73060188799999992</v>
      </c>
      <c r="R101" s="246"/>
      <c r="S101" s="246"/>
      <c r="T101" s="246"/>
    </row>
    <row r="102" spans="1:20" x14ac:dyDescent="0.25">
      <c r="A102" s="246"/>
      <c r="B102" s="246"/>
      <c r="C102" s="246"/>
      <c r="D102" s="246"/>
      <c r="E102" s="246"/>
      <c r="F102" s="246"/>
      <c r="G102" s="246"/>
      <c r="H102" s="246"/>
      <c r="I102" s="246"/>
      <c r="J102" s="246"/>
      <c r="K102" s="257">
        <v>1.4</v>
      </c>
      <c r="L102" s="256">
        <f t="shared" si="0"/>
        <v>0.75208985599999989</v>
      </c>
      <c r="M102" s="256">
        <f t="shared" si="1"/>
        <v>0.59094585599999971</v>
      </c>
      <c r="N102" s="256">
        <f t="shared" si="2"/>
        <v>0.64314147200000005</v>
      </c>
      <c r="O102" s="256">
        <f t="shared" si="3"/>
        <v>0.3760380479999999</v>
      </c>
      <c r="P102" s="256">
        <f t="shared" si="4"/>
        <v>0.80632406399999978</v>
      </c>
      <c r="Q102" s="256">
        <f t="shared" si="5"/>
        <v>0.75208985599999989</v>
      </c>
      <c r="R102" s="246"/>
      <c r="S102" s="246"/>
      <c r="T102" s="246"/>
    </row>
    <row r="103" spans="1:20" x14ac:dyDescent="0.25">
      <c r="A103" s="246"/>
      <c r="B103" s="246"/>
      <c r="C103" s="246"/>
      <c r="D103" s="246"/>
      <c r="E103" s="246"/>
      <c r="F103" s="246"/>
      <c r="G103" s="246"/>
      <c r="H103" s="246"/>
      <c r="I103" s="246"/>
      <c r="J103" s="246"/>
      <c r="K103" s="257">
        <v>1.6</v>
      </c>
      <c r="L103" s="256">
        <f t="shared" si="0"/>
        <v>0.76687286399999899</v>
      </c>
      <c r="M103" s="256">
        <f t="shared" si="1"/>
        <v>0.60259558399999957</v>
      </c>
      <c r="N103" s="256">
        <f t="shared" si="2"/>
        <v>0.65605548799999969</v>
      </c>
      <c r="O103" s="256">
        <f t="shared" si="3"/>
        <v>0.38339155199999969</v>
      </c>
      <c r="P103" s="256">
        <f t="shared" si="4"/>
        <v>0.82246521599999922</v>
      </c>
      <c r="Q103" s="256">
        <f t="shared" si="5"/>
        <v>0.76687286399999899</v>
      </c>
      <c r="R103" s="246"/>
      <c r="S103" s="246"/>
      <c r="T103" s="246"/>
    </row>
    <row r="104" spans="1:20" x14ac:dyDescent="0.25">
      <c r="A104" s="246"/>
      <c r="B104" s="246"/>
      <c r="C104" s="246"/>
      <c r="D104" s="246"/>
      <c r="E104" s="246"/>
      <c r="F104" s="246"/>
      <c r="G104" s="246"/>
      <c r="H104" s="246"/>
      <c r="I104" s="246"/>
      <c r="J104" s="246"/>
      <c r="K104" s="257">
        <v>1.8</v>
      </c>
      <c r="L104" s="256">
        <f t="shared" si="0"/>
        <v>0.77647443199999977</v>
      </c>
      <c r="M104" s="256">
        <f t="shared" si="1"/>
        <v>0.61019827199999954</v>
      </c>
      <c r="N104" s="256">
        <f t="shared" si="2"/>
        <v>0.66431062399999952</v>
      </c>
      <c r="O104" s="256">
        <f t="shared" si="3"/>
        <v>0.38811593600000011</v>
      </c>
      <c r="P104" s="256">
        <f t="shared" si="4"/>
        <v>0.83318780799999925</v>
      </c>
      <c r="Q104" s="256">
        <f t="shared" si="5"/>
        <v>0.77647443199999977</v>
      </c>
      <c r="R104" s="246"/>
      <c r="S104" s="246"/>
      <c r="T104" s="246"/>
    </row>
    <row r="105" spans="1:20" x14ac:dyDescent="0.25">
      <c r="A105" s="246"/>
      <c r="B105" s="246"/>
      <c r="C105" s="246"/>
      <c r="D105" s="246"/>
      <c r="E105" s="246"/>
      <c r="F105" s="246"/>
      <c r="G105" s="246"/>
      <c r="H105" s="246"/>
      <c r="I105" s="246"/>
      <c r="J105" s="246"/>
      <c r="K105" s="257">
        <v>2</v>
      </c>
      <c r="L105" s="256">
        <f t="shared" si="0"/>
        <v>0.78170000000000039</v>
      </c>
      <c r="M105" s="256">
        <f t="shared" si="1"/>
        <v>0.61439999999999995</v>
      </c>
      <c r="N105" s="256">
        <f t="shared" si="2"/>
        <v>0.66859999999999953</v>
      </c>
      <c r="O105" s="256">
        <f t="shared" si="3"/>
        <v>0.39060000000000022</v>
      </c>
      <c r="P105" s="256">
        <f t="shared" si="4"/>
        <v>0.83939999999999926</v>
      </c>
      <c r="Q105" s="256">
        <f t="shared" si="5"/>
        <v>0.78170000000000039</v>
      </c>
      <c r="R105" s="246"/>
      <c r="S105" s="246"/>
      <c r="T105" s="246"/>
    </row>
    <row r="106" spans="1:20" x14ac:dyDescent="0.25">
      <c r="A106" s="246"/>
      <c r="B106" s="246"/>
      <c r="C106" s="246"/>
      <c r="D106" s="246"/>
      <c r="E106" s="246"/>
      <c r="F106" s="246"/>
      <c r="G106" s="246"/>
      <c r="H106" s="246"/>
      <c r="I106" s="246"/>
      <c r="J106" s="246"/>
      <c r="K106" s="257">
        <v>2.2000000000000002</v>
      </c>
      <c r="L106" s="256">
        <f t="shared" si="0"/>
        <v>0.78380428800000035</v>
      </c>
      <c r="M106" s="256">
        <f t="shared" si="1"/>
        <v>0.61620396800000077</v>
      </c>
      <c r="N106" s="256">
        <f t="shared" si="2"/>
        <v>0.67042313600000092</v>
      </c>
      <c r="O106" s="256">
        <f t="shared" si="3"/>
        <v>0.39145526400000036</v>
      </c>
      <c r="P106" s="256">
        <f t="shared" si="4"/>
        <v>0.8425014719999997</v>
      </c>
      <c r="Q106" s="256">
        <f t="shared" si="5"/>
        <v>0.78380428800000035</v>
      </c>
      <c r="R106" s="246"/>
      <c r="S106" s="246"/>
      <c r="T106" s="246"/>
    </row>
    <row r="107" spans="1:20" x14ac:dyDescent="0.25">
      <c r="A107" s="246"/>
      <c r="B107" s="246"/>
      <c r="C107" s="246"/>
      <c r="D107" s="246"/>
      <c r="E107" s="246"/>
      <c r="F107" s="246"/>
      <c r="G107" s="246"/>
      <c r="H107" s="246"/>
      <c r="I107" s="246"/>
      <c r="J107" s="246"/>
      <c r="K107" s="257">
        <v>2.2999999999999998</v>
      </c>
      <c r="L107" s="256">
        <f t="shared" si="0"/>
        <v>0.78448818200000014</v>
      </c>
      <c r="M107" s="256">
        <f t="shared" si="1"/>
        <v>0.61684379699999881</v>
      </c>
      <c r="N107" s="256">
        <f t="shared" si="2"/>
        <v>0.67139002399999981</v>
      </c>
      <c r="O107" s="256">
        <f t="shared" si="3"/>
        <v>0.39166773599999932</v>
      </c>
      <c r="P107" s="256">
        <f t="shared" si="4"/>
        <v>0.84376555799999964</v>
      </c>
      <c r="Q107" s="256">
        <f t="shared" si="5"/>
        <v>0.78448818200000014</v>
      </c>
      <c r="R107" s="246"/>
      <c r="S107" s="246"/>
      <c r="T107" s="246"/>
    </row>
    <row r="108" spans="1:20" x14ac:dyDescent="0.25">
      <c r="A108" s="246"/>
      <c r="B108" s="246"/>
      <c r="C108" s="246"/>
      <c r="D108" s="246"/>
      <c r="E108" s="246"/>
      <c r="F108" s="246"/>
      <c r="G108" s="246"/>
      <c r="H108" s="246"/>
      <c r="I108" s="246"/>
      <c r="J108" s="246"/>
      <c r="K108" s="257">
        <v>2.5</v>
      </c>
      <c r="L108" s="256">
        <f t="shared" si="0"/>
        <v>0.78811874999999987</v>
      </c>
      <c r="M108" s="256">
        <f t="shared" si="1"/>
        <v>0.61997187499999973</v>
      </c>
      <c r="N108" s="256">
        <f t="shared" si="2"/>
        <v>0.67699999999999949</v>
      </c>
      <c r="O108" s="256">
        <f t="shared" si="3"/>
        <v>0.39315000000000072</v>
      </c>
      <c r="P108" s="256">
        <f t="shared" si="4"/>
        <v>0.84898124999999891</v>
      </c>
      <c r="Q108" s="256">
        <f t="shared" si="5"/>
        <v>0.78811874999999987</v>
      </c>
      <c r="R108" s="246"/>
      <c r="S108" s="246"/>
      <c r="T108" s="246"/>
    </row>
    <row r="109" spans="1:20" x14ac:dyDescent="0.25">
      <c r="A109" s="246"/>
      <c r="B109" s="246"/>
      <c r="C109" s="246"/>
      <c r="D109" s="246"/>
      <c r="E109" s="246"/>
      <c r="F109" s="246"/>
      <c r="G109" s="246"/>
      <c r="H109" s="246"/>
      <c r="I109" s="246"/>
      <c r="J109" s="246"/>
      <c r="K109" s="257">
        <v>2.8</v>
      </c>
      <c r="L109" s="256">
        <f t="shared" si="0"/>
        <v>0.81519043199999885</v>
      </c>
      <c r="M109" s="256">
        <f t="shared" si="1"/>
        <v>0.64189107199999917</v>
      </c>
      <c r="N109" s="256">
        <f t="shared" si="2"/>
        <v>0.71302342400000096</v>
      </c>
      <c r="O109" s="256">
        <f t="shared" si="3"/>
        <v>0.4059615359999999</v>
      </c>
      <c r="P109" s="256">
        <f t="shared" si="4"/>
        <v>0.88079980800000013</v>
      </c>
      <c r="Q109" s="256">
        <f t="shared" si="5"/>
        <v>0.81519043199999885</v>
      </c>
      <c r="R109" s="246"/>
      <c r="S109" s="246"/>
      <c r="T109" s="246"/>
    </row>
    <row r="110" spans="1:20" x14ac:dyDescent="0.25">
      <c r="A110" s="246"/>
      <c r="B110" s="246"/>
      <c r="C110" s="246"/>
      <c r="D110" s="246"/>
      <c r="E110" s="246"/>
      <c r="F110" s="246"/>
      <c r="G110" s="246"/>
      <c r="H110" s="246"/>
      <c r="I110" s="246"/>
      <c r="J110" s="246"/>
      <c r="K110" s="257">
        <v>3</v>
      </c>
      <c r="L110" s="256">
        <f t="shared" si="0"/>
        <v>0.86719999999999786</v>
      </c>
      <c r="M110" s="256">
        <f t="shared" si="1"/>
        <v>0.68339999999999723</v>
      </c>
      <c r="N110" s="256">
        <f t="shared" si="2"/>
        <v>0.77750000000000152</v>
      </c>
      <c r="O110" s="256">
        <f t="shared" si="3"/>
        <v>0.43129999999999974</v>
      </c>
      <c r="P110" s="256">
        <f t="shared" si="4"/>
        <v>0.93909999999999916</v>
      </c>
      <c r="Q110" s="256">
        <f t="shared" si="5"/>
        <v>0.86719999999999786</v>
      </c>
      <c r="R110" s="246"/>
      <c r="S110" s="246"/>
      <c r="T110" s="246"/>
    </row>
    <row r="111" spans="1:20" x14ac:dyDescent="0.25">
      <c r="A111" s="246"/>
      <c r="B111" s="246"/>
      <c r="C111" s="246"/>
      <c r="D111" s="246"/>
      <c r="E111" s="246"/>
      <c r="F111" s="246"/>
      <c r="G111" s="246"/>
      <c r="H111" s="246"/>
      <c r="I111" s="246"/>
      <c r="J111" s="246"/>
      <c r="R111" s="246"/>
      <c r="S111" s="246"/>
      <c r="T111" s="246"/>
    </row>
    <row r="112" spans="1:20" x14ac:dyDescent="0.25">
      <c r="A112" s="246"/>
      <c r="B112" s="246"/>
      <c r="C112" s="246"/>
      <c r="D112" s="246"/>
      <c r="E112" s="246"/>
      <c r="F112" s="246"/>
      <c r="G112" s="246"/>
      <c r="H112" s="246"/>
      <c r="I112" s="246"/>
      <c r="J112" s="246"/>
      <c r="R112" s="246"/>
      <c r="S112" s="246"/>
      <c r="T112" s="246"/>
    </row>
    <row r="113" spans="1:20" x14ac:dyDescent="0.25">
      <c r="A113" s="246"/>
      <c r="B113" s="246"/>
      <c r="C113" s="246"/>
      <c r="D113" s="246"/>
      <c r="E113" s="246"/>
      <c r="F113" s="246"/>
      <c r="G113" s="246"/>
      <c r="H113" s="246"/>
      <c r="I113" s="246"/>
      <c r="J113" s="246"/>
      <c r="R113" s="246"/>
      <c r="S113" s="246"/>
      <c r="T113" s="246"/>
    </row>
    <row r="114" spans="1:20" x14ac:dyDescent="0.25">
      <c r="A114" s="246"/>
      <c r="B114" s="246"/>
      <c r="C114" s="246"/>
      <c r="D114" s="246"/>
      <c r="E114" s="246"/>
      <c r="F114" s="246"/>
      <c r="G114" s="246"/>
      <c r="H114" s="246"/>
      <c r="I114" s="246"/>
      <c r="J114" s="246"/>
      <c r="R114" s="246"/>
      <c r="S114" s="246"/>
      <c r="T114" s="246"/>
    </row>
    <row r="115" spans="1:20" x14ac:dyDescent="0.25">
      <c r="A115" s="246"/>
      <c r="B115" s="246"/>
      <c r="C115" s="246"/>
      <c r="D115" s="246"/>
      <c r="E115" s="246"/>
      <c r="F115" s="246"/>
      <c r="G115" s="246"/>
      <c r="H115" s="246"/>
      <c r="I115" s="246"/>
      <c r="J115" s="246"/>
      <c r="R115" s="246"/>
      <c r="S115" s="246"/>
      <c r="T115" s="246"/>
    </row>
    <row r="116" spans="1:20" x14ac:dyDescent="0.25">
      <c r="A116" s="246"/>
      <c r="B116" s="246"/>
      <c r="C116" s="246"/>
      <c r="D116" s="246"/>
      <c r="E116" s="246"/>
      <c r="F116" s="246"/>
      <c r="G116" s="246"/>
      <c r="H116" s="246"/>
      <c r="I116" s="246"/>
      <c r="J116" s="246"/>
      <c r="R116" s="246"/>
      <c r="S116" s="246"/>
      <c r="T116" s="246"/>
    </row>
    <row r="117" spans="1:20" x14ac:dyDescent="0.25">
      <c r="A117" s="246"/>
      <c r="B117" s="246"/>
      <c r="C117" s="246"/>
      <c r="D117" s="246"/>
      <c r="E117" s="246"/>
      <c r="F117" s="246"/>
      <c r="G117" s="246"/>
      <c r="H117" s="246"/>
      <c r="I117" s="246"/>
      <c r="J117" s="246"/>
      <c r="R117" s="246"/>
      <c r="S117" s="246"/>
      <c r="T117" s="246"/>
    </row>
    <row r="118" spans="1:20" x14ac:dyDescent="0.25">
      <c r="A118" s="246"/>
      <c r="B118" s="246"/>
      <c r="C118" s="246"/>
      <c r="D118" s="246"/>
      <c r="E118" s="246"/>
      <c r="F118" s="246"/>
      <c r="G118" s="246"/>
      <c r="H118" s="246"/>
      <c r="I118" s="246"/>
      <c r="J118" s="246"/>
      <c r="R118" s="246"/>
      <c r="S118" s="246"/>
      <c r="T118" s="246"/>
    </row>
    <row r="119" spans="1:20" x14ac:dyDescent="0.25">
      <c r="A119" s="246"/>
      <c r="B119" s="246"/>
      <c r="C119" s="246"/>
      <c r="D119" s="246"/>
      <c r="E119" s="246"/>
      <c r="F119" s="246"/>
      <c r="G119" s="246"/>
      <c r="H119" s="246"/>
      <c r="I119" s="246"/>
      <c r="J119" s="246"/>
      <c r="R119" s="246"/>
      <c r="S119" s="246"/>
      <c r="T119" s="246"/>
    </row>
    <row r="120" spans="1:20" x14ac:dyDescent="0.25">
      <c r="A120" s="246"/>
      <c r="B120" s="246"/>
      <c r="C120" s="246"/>
      <c r="D120" s="246"/>
      <c r="E120" s="246"/>
      <c r="F120" s="246"/>
      <c r="G120" s="246"/>
      <c r="H120" s="246"/>
      <c r="I120" s="246"/>
      <c r="J120" s="246"/>
      <c r="R120" s="246"/>
      <c r="S120" s="246"/>
      <c r="T120" s="246"/>
    </row>
    <row r="121" spans="1:20" x14ac:dyDescent="0.25">
      <c r="A121" s="246"/>
      <c r="B121" s="246"/>
      <c r="C121" s="246"/>
      <c r="D121" s="246"/>
      <c r="E121" s="246"/>
      <c r="F121" s="246"/>
      <c r="G121" s="246"/>
      <c r="H121" s="246"/>
      <c r="I121" s="246"/>
      <c r="J121" s="246"/>
      <c r="R121" s="246"/>
      <c r="S121" s="246"/>
      <c r="T121" s="246"/>
    </row>
    <row r="122" spans="1:20" x14ac:dyDescent="0.25">
      <c r="A122" s="246"/>
      <c r="B122" s="246"/>
      <c r="C122" s="246"/>
      <c r="D122" s="246"/>
      <c r="E122" s="246"/>
      <c r="F122" s="246"/>
      <c r="G122" s="246"/>
      <c r="H122" s="246"/>
      <c r="I122" s="246"/>
      <c r="J122" s="246"/>
      <c r="R122" s="246"/>
      <c r="S122" s="246"/>
      <c r="T122" s="246"/>
    </row>
    <row r="123" spans="1:20" x14ac:dyDescent="0.25">
      <c r="A123" s="246"/>
      <c r="B123" s="246"/>
      <c r="C123" s="246"/>
      <c r="D123" s="246"/>
      <c r="E123" s="246"/>
      <c r="F123" s="246"/>
      <c r="G123" s="246"/>
      <c r="H123" s="246"/>
      <c r="I123" s="246"/>
      <c r="J123" s="246"/>
      <c r="R123" s="246"/>
      <c r="S123" s="246"/>
      <c r="T123" s="246"/>
    </row>
    <row r="124" spans="1:20" x14ac:dyDescent="0.25">
      <c r="A124" s="246"/>
      <c r="B124" s="246"/>
      <c r="C124" s="246"/>
      <c r="D124" s="246"/>
      <c r="E124" s="246"/>
      <c r="F124" s="246"/>
      <c r="G124" s="246"/>
      <c r="H124" s="246"/>
      <c r="I124" s="246"/>
      <c r="J124" s="246"/>
      <c r="R124" s="246"/>
      <c r="S124" s="246"/>
      <c r="T124" s="246"/>
    </row>
    <row r="125" spans="1:20" x14ac:dyDescent="0.25">
      <c r="A125" s="246"/>
      <c r="B125" s="246"/>
      <c r="C125" s="246"/>
      <c r="D125" s="246"/>
      <c r="E125" s="246"/>
      <c r="F125" s="246"/>
      <c r="G125" s="246"/>
      <c r="H125" s="246"/>
      <c r="I125" s="246"/>
      <c r="J125" s="246"/>
      <c r="R125" s="246"/>
      <c r="S125" s="246"/>
      <c r="T125" s="246"/>
    </row>
    <row r="126" spans="1:20" x14ac:dyDescent="0.25">
      <c r="A126" s="246"/>
      <c r="B126" s="246"/>
      <c r="C126" s="246"/>
      <c r="D126" s="246"/>
      <c r="E126" s="246"/>
      <c r="F126" s="246"/>
      <c r="G126" s="246"/>
      <c r="H126" s="246"/>
      <c r="I126" s="246"/>
      <c r="J126" s="246"/>
      <c r="R126" s="246"/>
      <c r="S126" s="246"/>
      <c r="T126" s="246"/>
    </row>
    <row r="127" spans="1:20" x14ac:dyDescent="0.25">
      <c r="A127" s="246"/>
      <c r="B127" s="246"/>
      <c r="C127" s="246"/>
      <c r="D127" s="246"/>
      <c r="E127" s="246"/>
      <c r="F127" s="246"/>
      <c r="G127" s="246"/>
      <c r="H127" s="246"/>
      <c r="I127" s="246"/>
      <c r="J127" s="246"/>
      <c r="R127" s="246"/>
      <c r="S127" s="246"/>
      <c r="T127" s="246"/>
    </row>
    <row r="128" spans="1:20" x14ac:dyDescent="0.25">
      <c r="A128" s="246"/>
      <c r="B128" s="246"/>
      <c r="C128" s="246"/>
      <c r="D128" s="246"/>
      <c r="E128" s="246"/>
      <c r="F128" s="246"/>
      <c r="G128" s="246"/>
      <c r="H128" s="246"/>
      <c r="I128" s="246"/>
      <c r="J128" s="246"/>
      <c r="R128" s="246"/>
      <c r="S128" s="246"/>
      <c r="T128" s="246"/>
    </row>
    <row r="129" spans="1:20" x14ac:dyDescent="0.25">
      <c r="A129" s="246"/>
      <c r="B129" s="246"/>
      <c r="C129" s="246"/>
      <c r="D129" s="246"/>
      <c r="E129" s="246"/>
      <c r="F129" s="246"/>
      <c r="G129" s="246"/>
      <c r="H129" s="246"/>
      <c r="I129" s="246"/>
      <c r="J129" s="246"/>
      <c r="R129" s="246"/>
      <c r="S129" s="246"/>
      <c r="T129" s="246"/>
    </row>
    <row r="130" spans="1:20" x14ac:dyDescent="0.25">
      <c r="A130" s="246"/>
      <c r="B130" s="246"/>
      <c r="C130" s="246"/>
      <c r="D130" s="246"/>
      <c r="E130" s="246"/>
      <c r="F130" s="246"/>
      <c r="G130" s="246"/>
      <c r="H130" s="246"/>
      <c r="I130" s="246"/>
      <c r="J130" s="246"/>
      <c r="R130" s="246"/>
      <c r="S130" s="246"/>
      <c r="T130" s="246"/>
    </row>
    <row r="131" spans="1:20" x14ac:dyDescent="0.25">
      <c r="A131" s="246"/>
      <c r="B131" s="246"/>
      <c r="C131" s="246"/>
      <c r="D131" s="246"/>
      <c r="E131" s="246"/>
      <c r="F131" s="246"/>
      <c r="G131" s="246"/>
      <c r="H131" s="246"/>
      <c r="I131" s="246"/>
      <c r="J131" s="246"/>
      <c r="R131" s="246"/>
      <c r="S131" s="246"/>
      <c r="T131" s="246"/>
    </row>
    <row r="132" spans="1:20" x14ac:dyDescent="0.25">
      <c r="A132" s="246"/>
      <c r="B132" s="246"/>
      <c r="C132" s="246"/>
      <c r="D132" s="246"/>
      <c r="E132" s="246"/>
      <c r="F132" s="246"/>
      <c r="G132" s="246"/>
      <c r="H132" s="246"/>
      <c r="I132" s="246"/>
      <c r="J132" s="246"/>
      <c r="R132" s="246"/>
      <c r="S132" s="246"/>
      <c r="T132" s="246"/>
    </row>
    <row r="133" spans="1:20" x14ac:dyDescent="0.25">
      <c r="A133" s="246"/>
      <c r="B133" s="246"/>
      <c r="C133" s="246"/>
      <c r="D133" s="246"/>
      <c r="E133" s="246"/>
      <c r="F133" s="246"/>
      <c r="G133" s="246"/>
      <c r="H133" s="246"/>
      <c r="I133" s="246"/>
      <c r="J133" s="246"/>
      <c r="R133" s="246"/>
      <c r="S133" s="246"/>
      <c r="T133" s="246"/>
    </row>
    <row r="134" spans="1:20" x14ac:dyDescent="0.25">
      <c r="A134" s="246"/>
      <c r="B134" s="246"/>
      <c r="C134" s="246"/>
      <c r="D134" s="246"/>
      <c r="E134" s="246"/>
      <c r="F134" s="246"/>
      <c r="G134" s="246"/>
      <c r="H134" s="246"/>
      <c r="I134" s="246"/>
      <c r="J134" s="246"/>
      <c r="R134" s="246"/>
      <c r="S134" s="246"/>
      <c r="T134" s="246"/>
    </row>
    <row r="135" spans="1:20" x14ac:dyDescent="0.25">
      <c r="A135" s="246"/>
      <c r="B135" s="246"/>
      <c r="C135" s="246"/>
      <c r="D135" s="246"/>
      <c r="E135" s="246"/>
      <c r="F135" s="246"/>
      <c r="G135" s="246"/>
      <c r="H135" s="246"/>
      <c r="I135" s="246"/>
      <c r="J135" s="246"/>
      <c r="R135" s="246"/>
      <c r="S135" s="246"/>
      <c r="T135" s="246"/>
    </row>
    <row r="136" spans="1:20" x14ac:dyDescent="0.25">
      <c r="A136" s="246"/>
      <c r="B136" s="246"/>
      <c r="C136" s="246"/>
      <c r="D136" s="246"/>
      <c r="E136" s="246"/>
      <c r="F136" s="246"/>
      <c r="G136" s="246"/>
      <c r="H136" s="246"/>
      <c r="I136" s="246"/>
      <c r="J136" s="246"/>
      <c r="R136" s="246"/>
      <c r="S136" s="246"/>
      <c r="T136" s="246"/>
    </row>
    <row r="137" spans="1:20" x14ac:dyDescent="0.25">
      <c r="A137" s="246"/>
      <c r="B137" s="246"/>
      <c r="C137" s="246"/>
      <c r="D137" s="246"/>
      <c r="E137" s="246"/>
      <c r="F137" s="246"/>
      <c r="G137" s="246"/>
      <c r="H137" s="246"/>
      <c r="I137" s="246"/>
      <c r="J137" s="246"/>
      <c r="R137" s="246"/>
      <c r="S137" s="246"/>
      <c r="T137" s="246"/>
    </row>
    <row r="138" spans="1:20" x14ac:dyDescent="0.25">
      <c r="A138" s="246"/>
      <c r="B138" s="246"/>
      <c r="C138" s="246"/>
      <c r="D138" s="246"/>
      <c r="E138" s="246"/>
      <c r="F138" s="246"/>
      <c r="G138" s="246"/>
      <c r="H138" s="246"/>
      <c r="I138" s="246"/>
      <c r="J138" s="246"/>
      <c r="R138" s="246"/>
      <c r="S138" s="246"/>
      <c r="T138" s="246"/>
    </row>
    <row r="139" spans="1:20" x14ac:dyDescent="0.25">
      <c r="A139" s="246"/>
      <c r="B139" s="246"/>
      <c r="C139" s="246"/>
      <c r="D139" s="246"/>
      <c r="E139" s="246"/>
      <c r="F139" s="246"/>
      <c r="G139" s="246"/>
      <c r="H139" s="246"/>
      <c r="I139" s="246"/>
      <c r="J139" s="246"/>
      <c r="R139" s="246"/>
      <c r="S139" s="246"/>
      <c r="T139" s="246"/>
    </row>
    <row r="140" spans="1:20" x14ac:dyDescent="0.25">
      <c r="A140" s="246"/>
      <c r="B140" s="246"/>
      <c r="C140" s="246"/>
      <c r="D140" s="246"/>
      <c r="E140" s="246"/>
      <c r="F140" s="246"/>
      <c r="G140" s="246"/>
      <c r="H140" s="246"/>
      <c r="I140" s="246"/>
      <c r="J140" s="246"/>
      <c r="R140" s="246"/>
      <c r="S140" s="246"/>
      <c r="T140" s="246"/>
    </row>
    <row r="141" spans="1:20" x14ac:dyDescent="0.25">
      <c r="A141" s="246"/>
      <c r="B141" s="246"/>
      <c r="C141" s="246"/>
      <c r="D141" s="246"/>
      <c r="E141" s="246"/>
      <c r="F141" s="246"/>
      <c r="G141" s="246"/>
      <c r="H141" s="246"/>
      <c r="I141" s="246"/>
      <c r="J141" s="246"/>
      <c r="R141" s="246"/>
      <c r="S141" s="246"/>
      <c r="T141" s="246"/>
    </row>
    <row r="142" spans="1:20" x14ac:dyDescent="0.25">
      <c r="A142" s="246"/>
      <c r="B142" s="246"/>
      <c r="C142" s="246"/>
      <c r="D142" s="246"/>
      <c r="E142" s="246"/>
      <c r="F142" s="246"/>
      <c r="G142" s="246"/>
      <c r="H142" s="246"/>
      <c r="I142" s="246"/>
      <c r="J142" s="246"/>
      <c r="R142" s="246"/>
      <c r="S142" s="246"/>
      <c r="T142" s="246"/>
    </row>
    <row r="143" spans="1:20" x14ac:dyDescent="0.25">
      <c r="A143" s="246"/>
      <c r="B143" s="246"/>
      <c r="C143" s="246"/>
      <c r="D143" s="246"/>
      <c r="E143" s="246"/>
      <c r="F143" s="246"/>
      <c r="G143" s="246"/>
      <c r="H143" s="246"/>
      <c r="I143" s="246"/>
      <c r="J143" s="246"/>
      <c r="R143" s="246"/>
      <c r="S143" s="246"/>
      <c r="T143" s="246"/>
    </row>
    <row r="144" spans="1:20" x14ac:dyDescent="0.25">
      <c r="A144" s="246"/>
      <c r="B144" s="246"/>
      <c r="C144" s="246"/>
      <c r="D144" s="246"/>
      <c r="E144" s="246"/>
      <c r="F144" s="246"/>
      <c r="G144" s="246"/>
      <c r="H144" s="246"/>
      <c r="I144" s="246"/>
      <c r="J144" s="246"/>
      <c r="R144" s="246"/>
      <c r="S144" s="246"/>
      <c r="T144" s="246"/>
    </row>
    <row r="145" spans="1:20" x14ac:dyDescent="0.25">
      <c r="A145" s="246"/>
      <c r="B145" s="246"/>
      <c r="C145" s="246"/>
      <c r="D145" s="246"/>
      <c r="E145" s="246"/>
      <c r="F145" s="246"/>
      <c r="G145" s="246"/>
      <c r="H145" s="246"/>
      <c r="I145" s="246"/>
      <c r="J145" s="246"/>
      <c r="R145" s="246"/>
      <c r="S145" s="246"/>
      <c r="T145" s="246"/>
    </row>
    <row r="146" spans="1:20" x14ac:dyDescent="0.25">
      <c r="A146" s="246"/>
      <c r="B146" s="246"/>
      <c r="C146" s="246"/>
      <c r="D146" s="246"/>
      <c r="E146" s="246"/>
      <c r="F146" s="246"/>
      <c r="G146" s="246"/>
      <c r="H146" s="246"/>
      <c r="I146" s="246"/>
      <c r="J146" s="246"/>
      <c r="R146" s="246"/>
      <c r="S146" s="246"/>
      <c r="T146" s="246"/>
    </row>
    <row r="147" spans="1:20" x14ac:dyDescent="0.25">
      <c r="A147" s="246"/>
      <c r="B147" s="246"/>
      <c r="C147" s="246"/>
      <c r="D147" s="246"/>
      <c r="E147" s="246"/>
      <c r="F147" s="246"/>
      <c r="G147" s="246"/>
      <c r="H147" s="246"/>
      <c r="I147" s="246"/>
      <c r="J147" s="246"/>
      <c r="R147" s="246"/>
      <c r="S147" s="246"/>
      <c r="T147" s="246"/>
    </row>
    <row r="148" spans="1:20" x14ac:dyDescent="0.25">
      <c r="A148" s="246"/>
      <c r="B148" s="246"/>
      <c r="C148" s="246"/>
      <c r="D148" s="246"/>
      <c r="E148" s="246"/>
      <c r="F148" s="246"/>
      <c r="G148" s="246"/>
      <c r="H148" s="246"/>
      <c r="I148" s="246"/>
      <c r="J148" s="246"/>
      <c r="R148" s="246"/>
      <c r="S148" s="246"/>
      <c r="T148" s="246"/>
    </row>
    <row r="149" spans="1:20" x14ac:dyDescent="0.25">
      <c r="A149" s="246"/>
      <c r="B149" s="246"/>
      <c r="C149" s="246"/>
      <c r="D149" s="246"/>
      <c r="E149" s="246"/>
      <c r="F149" s="246"/>
      <c r="G149" s="246"/>
      <c r="H149" s="246"/>
      <c r="I149" s="246"/>
      <c r="J149" s="246"/>
      <c r="R149" s="246"/>
      <c r="S149" s="246"/>
      <c r="T149" s="246"/>
    </row>
    <row r="150" spans="1:20" x14ac:dyDescent="0.25">
      <c r="A150" s="246" t="s">
        <v>258</v>
      </c>
      <c r="B150" s="246"/>
      <c r="C150" s="246"/>
      <c r="D150" s="246"/>
      <c r="E150" s="246"/>
      <c r="F150" s="246"/>
      <c r="G150" s="246"/>
      <c r="H150" s="246"/>
      <c r="I150" s="246"/>
      <c r="J150" s="246"/>
      <c r="R150" s="246"/>
      <c r="S150" s="246"/>
      <c r="T150" s="246"/>
    </row>
    <row r="151" spans="1:20" x14ac:dyDescent="0.25">
      <c r="A151" s="258" t="s">
        <v>260</v>
      </c>
      <c r="B151" s="246"/>
      <c r="C151" s="246"/>
      <c r="D151" s="246"/>
      <c r="E151" s="246"/>
      <c r="F151" s="246"/>
      <c r="G151" s="246"/>
      <c r="H151" s="246"/>
      <c r="I151" s="246"/>
      <c r="J151" s="246"/>
      <c r="R151" s="246"/>
      <c r="S151" s="246"/>
      <c r="T151" s="246"/>
    </row>
    <row r="152" spans="1:20" x14ac:dyDescent="0.25">
      <c r="A152" s="246" t="s">
        <v>261</v>
      </c>
      <c r="B152" s="246"/>
      <c r="C152" s="246"/>
      <c r="D152" s="246"/>
      <c r="E152" s="246"/>
      <c r="F152" s="246"/>
      <c r="G152" s="246"/>
      <c r="H152" s="246"/>
      <c r="I152" s="246"/>
      <c r="J152" s="246"/>
      <c r="R152" s="246"/>
      <c r="S152" s="246"/>
      <c r="T152" s="246"/>
    </row>
    <row r="153" spans="1:20" x14ac:dyDescent="0.25">
      <c r="A153" s="246" t="s">
        <v>262</v>
      </c>
      <c r="B153" s="246"/>
      <c r="C153" s="246"/>
      <c r="D153" s="246"/>
      <c r="E153" s="246"/>
      <c r="F153" s="246"/>
      <c r="G153" s="246"/>
      <c r="H153" s="246"/>
      <c r="I153" s="246"/>
      <c r="J153" s="246"/>
      <c r="R153" s="246"/>
      <c r="S153" s="246"/>
      <c r="T153" s="246"/>
    </row>
    <row r="154" spans="1:20" x14ac:dyDescent="0.25">
      <c r="A154" s="246" t="s">
        <v>263</v>
      </c>
      <c r="B154" s="246"/>
      <c r="C154" s="246"/>
      <c r="D154" s="246"/>
      <c r="E154" s="246"/>
      <c r="F154" s="246"/>
      <c r="G154" s="246"/>
      <c r="H154" s="246"/>
      <c r="I154" s="246"/>
      <c r="J154" s="246"/>
      <c r="R154" s="246"/>
      <c r="S154" s="246"/>
      <c r="T154" s="246"/>
    </row>
    <row r="155" spans="1:20" x14ac:dyDescent="0.25">
      <c r="A155" s="246"/>
      <c r="B155" s="246"/>
      <c r="C155" s="246"/>
      <c r="D155" s="246"/>
      <c r="E155" s="246"/>
      <c r="F155" s="246"/>
      <c r="G155" s="246"/>
      <c r="H155" s="246"/>
      <c r="I155" s="246"/>
      <c r="J155" s="246"/>
      <c r="R155" s="246"/>
      <c r="S155" s="246"/>
      <c r="T155" s="246"/>
    </row>
    <row r="156" spans="1:20" x14ac:dyDescent="0.25">
      <c r="A156" s="246"/>
      <c r="B156" s="246"/>
      <c r="C156" s="246"/>
      <c r="D156" s="246"/>
      <c r="E156" s="246"/>
      <c r="F156" s="246"/>
      <c r="G156" s="246"/>
      <c r="H156" s="246"/>
      <c r="I156" s="246"/>
      <c r="J156" s="246"/>
      <c r="R156" s="246"/>
      <c r="S156" s="246"/>
      <c r="T156" s="246"/>
    </row>
    <row r="157" spans="1:20" ht="31.5" x14ac:dyDescent="0.5">
      <c r="A157" s="540" t="s">
        <v>586</v>
      </c>
      <c r="B157" s="532"/>
      <c r="C157" s="532"/>
      <c r="D157" s="532"/>
      <c r="E157" s="532"/>
      <c r="F157" s="532"/>
      <c r="G157" s="532"/>
      <c r="H157" s="532"/>
      <c r="I157" s="532"/>
      <c r="J157" s="532"/>
      <c r="K157" s="532"/>
      <c r="L157" s="532"/>
      <c r="M157" s="532"/>
      <c r="N157" s="532"/>
      <c r="O157" s="532"/>
      <c r="P157" s="532"/>
      <c r="Q157" s="532"/>
      <c r="R157" s="532"/>
      <c r="S157" s="532"/>
      <c r="T157" s="532"/>
    </row>
    <row r="158" spans="1:20" ht="15.75" x14ac:dyDescent="0.25">
      <c r="A158" s="536" t="s">
        <v>587</v>
      </c>
      <c r="B158" s="532"/>
      <c r="C158" s="532"/>
      <c r="D158" s="532"/>
      <c r="E158" s="532"/>
      <c r="F158" s="532"/>
      <c r="G158" s="532"/>
      <c r="H158" s="532"/>
      <c r="I158" s="532"/>
      <c r="J158" s="532"/>
      <c r="K158" s="532"/>
      <c r="L158" s="532"/>
      <c r="M158" s="532"/>
      <c r="N158" s="532"/>
      <c r="O158" s="532"/>
      <c r="P158" s="532"/>
      <c r="Q158" s="532"/>
      <c r="R158" s="532"/>
      <c r="S158" s="532"/>
      <c r="T158" s="532"/>
    </row>
    <row r="159" spans="1:20" ht="15.75" x14ac:dyDescent="0.25">
      <c r="A159" s="536" t="s">
        <v>588</v>
      </c>
      <c r="B159" s="532"/>
      <c r="C159" s="532"/>
      <c r="D159" s="532"/>
      <c r="E159" s="532"/>
      <c r="F159" s="532"/>
      <c r="G159" s="532"/>
      <c r="H159" s="532"/>
      <c r="I159" s="532"/>
      <c r="J159" s="532"/>
      <c r="K159" s="532"/>
      <c r="L159" s="532"/>
      <c r="M159" s="532"/>
      <c r="N159" s="532"/>
      <c r="O159" s="532"/>
      <c r="P159" s="532"/>
      <c r="Q159" s="532"/>
      <c r="R159" s="532"/>
      <c r="S159" s="532"/>
      <c r="T159" s="532"/>
    </row>
    <row r="160" spans="1:20" ht="15.75" x14ac:dyDescent="0.25">
      <c r="A160" s="536" t="s">
        <v>589</v>
      </c>
      <c r="B160" s="532"/>
      <c r="C160" s="532"/>
      <c r="D160" s="532"/>
      <c r="E160" s="532"/>
      <c r="F160" s="532"/>
      <c r="G160" s="532"/>
      <c r="H160" s="532"/>
      <c r="I160" s="532"/>
      <c r="J160" s="532"/>
      <c r="K160" s="532"/>
      <c r="L160" s="532"/>
      <c r="M160" s="532"/>
      <c r="N160" s="532"/>
      <c r="O160" s="532"/>
      <c r="P160" s="532"/>
      <c r="Q160" s="532"/>
      <c r="R160" s="532"/>
      <c r="S160" s="532"/>
      <c r="T160" s="532"/>
    </row>
    <row r="161" spans="1:11" ht="15.75" x14ac:dyDescent="0.25">
      <c r="A161" s="536" t="s">
        <v>590</v>
      </c>
      <c r="B161" s="539" t="s">
        <v>591</v>
      </c>
      <c r="C161" s="532"/>
      <c r="D161" s="532"/>
      <c r="E161" s="532"/>
      <c r="F161" s="532"/>
      <c r="G161" s="532"/>
      <c r="H161" s="532"/>
      <c r="I161" s="532"/>
      <c r="J161" s="532"/>
      <c r="K161" s="532"/>
    </row>
    <row r="162" spans="1:11" ht="51.75" x14ac:dyDescent="0.25">
      <c r="A162" s="544" t="s">
        <v>592</v>
      </c>
      <c r="B162" s="545" t="s">
        <v>593</v>
      </c>
      <c r="C162" s="544" t="s">
        <v>594</v>
      </c>
      <c r="D162" s="544" t="s">
        <v>595</v>
      </c>
      <c r="E162" s="544" t="s">
        <v>596</v>
      </c>
      <c r="F162" s="544" t="s">
        <v>597</v>
      </c>
      <c r="G162" s="544" t="s">
        <v>598</v>
      </c>
      <c r="H162" s="548" t="s">
        <v>599</v>
      </c>
      <c r="I162" s="533"/>
      <c r="J162" s="533"/>
      <c r="K162" s="533"/>
    </row>
    <row r="163" spans="1:11" ht="15.75" x14ac:dyDescent="0.25">
      <c r="A163" s="541">
        <v>11</v>
      </c>
      <c r="B163" s="534" t="s">
        <v>98</v>
      </c>
      <c r="C163" s="541">
        <v>1</v>
      </c>
      <c r="D163" s="534" t="e">
        <v>#N/A</v>
      </c>
      <c r="E163" s="534"/>
      <c r="F163" s="534"/>
      <c r="G163" s="534"/>
      <c r="H163" s="534"/>
      <c r="I163" s="532"/>
      <c r="J163" s="532"/>
      <c r="K163" s="532"/>
    </row>
    <row r="164" spans="1:11" ht="15.75" x14ac:dyDescent="0.25">
      <c r="A164" s="541">
        <v>12</v>
      </c>
      <c r="B164" s="534" t="s">
        <v>100</v>
      </c>
      <c r="C164" s="541">
        <v>22</v>
      </c>
      <c r="D164" s="534" t="s">
        <v>43</v>
      </c>
      <c r="E164" s="534">
        <v>8</v>
      </c>
      <c r="F164" s="534" t="s">
        <v>43</v>
      </c>
      <c r="G164" s="534">
        <v>6</v>
      </c>
      <c r="H164" s="534" t="s">
        <v>108</v>
      </c>
      <c r="I164" s="532"/>
      <c r="J164" s="532"/>
      <c r="K164" s="532"/>
    </row>
    <row r="165" spans="1:11" ht="15.75" x14ac:dyDescent="0.25">
      <c r="A165" s="541">
        <v>21</v>
      </c>
      <c r="B165" s="534" t="s">
        <v>101</v>
      </c>
      <c r="C165" s="543" t="s">
        <v>600</v>
      </c>
      <c r="D165" s="534" t="s">
        <v>601</v>
      </c>
      <c r="E165" s="542">
        <v>11</v>
      </c>
      <c r="F165" s="542" t="s">
        <v>46</v>
      </c>
      <c r="G165" s="542">
        <v>7</v>
      </c>
      <c r="H165" s="542" t="s">
        <v>110</v>
      </c>
      <c r="I165" s="532"/>
      <c r="J165" s="532"/>
      <c r="K165" s="538" t="s">
        <v>602</v>
      </c>
    </row>
    <row r="166" spans="1:11" ht="15.75" x14ac:dyDescent="0.25">
      <c r="A166" s="541">
        <v>22</v>
      </c>
      <c r="B166" s="534" t="s">
        <v>103</v>
      </c>
      <c r="C166" s="541">
        <v>2</v>
      </c>
      <c r="D166" s="534" t="s">
        <v>46</v>
      </c>
      <c r="E166" s="534">
        <v>11</v>
      </c>
      <c r="F166" s="534" t="s">
        <v>46</v>
      </c>
      <c r="G166" s="534">
        <v>7</v>
      </c>
      <c r="H166" s="534" t="s">
        <v>110</v>
      </c>
      <c r="I166" s="532"/>
      <c r="J166" s="532"/>
      <c r="K166" s="532"/>
    </row>
    <row r="167" spans="1:11" ht="15.75" x14ac:dyDescent="0.25">
      <c r="A167" s="541">
        <v>23</v>
      </c>
      <c r="B167" s="534" t="s">
        <v>105</v>
      </c>
      <c r="C167" s="541">
        <v>20</v>
      </c>
      <c r="D167" s="534" t="s">
        <v>47</v>
      </c>
      <c r="E167" s="534">
        <v>12</v>
      </c>
      <c r="F167" s="534" t="s">
        <v>47</v>
      </c>
      <c r="G167" s="534">
        <v>8</v>
      </c>
      <c r="H167" s="534" t="s">
        <v>112</v>
      </c>
      <c r="I167" s="532"/>
      <c r="J167" s="532"/>
      <c r="K167" s="532"/>
    </row>
    <row r="168" spans="1:11" ht="15.75" x14ac:dyDescent="0.25">
      <c r="A168" s="541">
        <v>24</v>
      </c>
      <c r="B168" s="534" t="s">
        <v>107</v>
      </c>
      <c r="C168" s="541">
        <v>3</v>
      </c>
      <c r="D168" s="534" t="s">
        <v>48</v>
      </c>
      <c r="E168" s="534">
        <v>13</v>
      </c>
      <c r="F168" s="534" t="s">
        <v>48</v>
      </c>
      <c r="G168" s="534">
        <v>9</v>
      </c>
      <c r="H168" s="534" t="s">
        <v>114</v>
      </c>
      <c r="I168" s="532"/>
      <c r="J168" s="532"/>
      <c r="K168" s="532"/>
    </row>
    <row r="169" spans="1:11" ht="15.75" x14ac:dyDescent="0.25">
      <c r="A169" s="541">
        <v>31</v>
      </c>
      <c r="B169" s="534" t="s">
        <v>109</v>
      </c>
      <c r="C169" s="541">
        <v>22</v>
      </c>
      <c r="D169" s="534" t="s">
        <v>43</v>
      </c>
      <c r="E169" s="534">
        <v>8</v>
      </c>
      <c r="F169" s="534" t="s">
        <v>43</v>
      </c>
      <c r="G169" s="534">
        <v>6</v>
      </c>
      <c r="H169" s="534" t="s">
        <v>108</v>
      </c>
      <c r="I169" s="532"/>
      <c r="J169" s="532"/>
      <c r="K169" s="532"/>
    </row>
    <row r="170" spans="1:11" ht="15.75" x14ac:dyDescent="0.25">
      <c r="A170" s="541">
        <v>41</v>
      </c>
      <c r="B170" s="534" t="s">
        <v>111</v>
      </c>
      <c r="C170" s="541">
        <v>7</v>
      </c>
      <c r="D170" s="534" t="s">
        <v>37</v>
      </c>
      <c r="E170" s="534">
        <v>3</v>
      </c>
      <c r="F170" s="534" t="s">
        <v>37</v>
      </c>
      <c r="G170" s="534">
        <v>3</v>
      </c>
      <c r="H170" s="534" t="s">
        <v>102</v>
      </c>
      <c r="I170" s="532"/>
      <c r="J170" s="532"/>
      <c r="K170" s="532"/>
    </row>
    <row r="171" spans="1:11" ht="15.75" x14ac:dyDescent="0.25">
      <c r="A171" s="541">
        <v>42</v>
      </c>
      <c r="B171" s="534" t="s">
        <v>113</v>
      </c>
      <c r="C171" s="541">
        <v>8</v>
      </c>
      <c r="D171" s="534" t="s">
        <v>37</v>
      </c>
      <c r="E171" s="534">
        <v>3</v>
      </c>
      <c r="F171" s="534" t="s">
        <v>37</v>
      </c>
      <c r="G171" s="534">
        <v>3</v>
      </c>
      <c r="H171" s="534" t="s">
        <v>102</v>
      </c>
      <c r="I171" s="532"/>
      <c r="J171" s="532"/>
      <c r="K171" s="532"/>
    </row>
    <row r="172" spans="1:11" ht="15.75" x14ac:dyDescent="0.25">
      <c r="A172" s="541">
        <v>43</v>
      </c>
      <c r="B172" s="534" t="s">
        <v>115</v>
      </c>
      <c r="C172" s="541">
        <v>9</v>
      </c>
      <c r="D172" s="534" t="s">
        <v>37</v>
      </c>
      <c r="E172" s="534">
        <v>3</v>
      </c>
      <c r="F172" s="534" t="s">
        <v>37</v>
      </c>
      <c r="G172" s="534">
        <v>3</v>
      </c>
      <c r="H172" s="534" t="s">
        <v>102</v>
      </c>
      <c r="I172" s="532"/>
      <c r="J172" s="532"/>
      <c r="K172" s="532"/>
    </row>
    <row r="173" spans="1:11" ht="15.75" x14ac:dyDescent="0.25">
      <c r="A173" s="541">
        <v>51</v>
      </c>
      <c r="B173" s="534" t="s">
        <v>603</v>
      </c>
      <c r="C173" s="541" t="s">
        <v>604</v>
      </c>
      <c r="D173" s="534" t="e">
        <v>#N/A</v>
      </c>
      <c r="E173" s="534"/>
      <c r="F173" s="534"/>
      <c r="G173" s="534"/>
      <c r="H173" s="534"/>
      <c r="I173" s="532"/>
      <c r="J173" s="532"/>
      <c r="K173" s="532"/>
    </row>
    <row r="174" spans="1:11" ht="15.75" x14ac:dyDescent="0.25">
      <c r="A174" s="541">
        <v>52</v>
      </c>
      <c r="B174" s="534" t="s">
        <v>117</v>
      </c>
      <c r="C174" s="541">
        <v>9</v>
      </c>
      <c r="D174" s="534" t="s">
        <v>37</v>
      </c>
      <c r="E174" s="534">
        <v>3</v>
      </c>
      <c r="F174" s="534" t="s">
        <v>37</v>
      </c>
      <c r="G174" s="534">
        <v>3</v>
      </c>
      <c r="H174" s="534" t="s">
        <v>102</v>
      </c>
      <c r="I174" s="532"/>
      <c r="J174" s="532"/>
      <c r="K174" s="532"/>
    </row>
    <row r="175" spans="1:11" ht="15.75" x14ac:dyDescent="0.25">
      <c r="A175" s="541">
        <v>71</v>
      </c>
      <c r="B175" s="534" t="s">
        <v>118</v>
      </c>
      <c r="C175" s="541">
        <v>21</v>
      </c>
      <c r="D175" s="534" t="s">
        <v>42</v>
      </c>
      <c r="E175" s="534">
        <v>7</v>
      </c>
      <c r="F175" s="534" t="s">
        <v>42</v>
      </c>
      <c r="G175" s="534">
        <v>5</v>
      </c>
      <c r="H175" s="534" t="s">
        <v>106</v>
      </c>
      <c r="I175" s="532"/>
      <c r="J175" s="532"/>
      <c r="K175" s="532"/>
    </row>
    <row r="176" spans="1:11" ht="15.75" x14ac:dyDescent="0.25">
      <c r="A176" s="541">
        <v>72</v>
      </c>
      <c r="B176" s="534" t="s">
        <v>605</v>
      </c>
      <c r="C176" s="541" t="s">
        <v>604</v>
      </c>
      <c r="D176" s="534" t="e">
        <v>#N/A</v>
      </c>
      <c r="E176" s="534"/>
      <c r="F176" s="534"/>
      <c r="G176" s="534"/>
      <c r="H176" s="534"/>
      <c r="I176" s="532"/>
      <c r="J176" s="532"/>
      <c r="K176" s="532"/>
    </row>
    <row r="177" spans="1:11" ht="15.75" x14ac:dyDescent="0.25">
      <c r="A177" s="541">
        <v>73</v>
      </c>
      <c r="B177" s="534" t="s">
        <v>606</v>
      </c>
      <c r="C177" s="541" t="s">
        <v>604</v>
      </c>
      <c r="D177" s="534" t="e">
        <v>#N/A</v>
      </c>
      <c r="E177" s="534"/>
      <c r="F177" s="534"/>
      <c r="G177" s="534"/>
      <c r="H177" s="534"/>
      <c r="I177" s="532"/>
      <c r="J177" s="532"/>
      <c r="K177" s="532"/>
    </row>
    <row r="178" spans="1:11" ht="15.75" x14ac:dyDescent="0.25">
      <c r="A178" s="541">
        <v>74</v>
      </c>
      <c r="B178" s="534" t="s">
        <v>607</v>
      </c>
      <c r="C178" s="541" t="s">
        <v>604</v>
      </c>
      <c r="D178" s="534" t="e">
        <v>#N/A</v>
      </c>
      <c r="E178" s="534"/>
      <c r="F178" s="534"/>
      <c r="G178" s="534"/>
      <c r="H178" s="534"/>
      <c r="I178" s="532"/>
      <c r="J178" s="532"/>
      <c r="K178" s="532"/>
    </row>
    <row r="179" spans="1:11" ht="15.75" x14ac:dyDescent="0.25">
      <c r="A179" s="541">
        <v>81</v>
      </c>
      <c r="B179" s="534" t="s">
        <v>120</v>
      </c>
      <c r="C179" s="541">
        <v>4</v>
      </c>
      <c r="D179" s="534" t="s">
        <v>35</v>
      </c>
      <c r="E179" s="534">
        <v>1</v>
      </c>
      <c r="F179" s="534" t="s">
        <v>35</v>
      </c>
      <c r="G179" s="534">
        <v>1</v>
      </c>
      <c r="H179" s="534" t="s">
        <v>99</v>
      </c>
      <c r="I179" s="532"/>
      <c r="J179" s="532"/>
      <c r="K179" s="532"/>
    </row>
    <row r="180" spans="1:11" ht="15.75" x14ac:dyDescent="0.25">
      <c r="A180" s="541">
        <v>82</v>
      </c>
      <c r="B180" s="534" t="s">
        <v>122</v>
      </c>
      <c r="C180" s="541">
        <v>5</v>
      </c>
      <c r="D180" s="534" t="s">
        <v>36</v>
      </c>
      <c r="E180" s="534">
        <v>2</v>
      </c>
      <c r="F180" s="534" t="s">
        <v>36</v>
      </c>
      <c r="G180" s="534">
        <v>2</v>
      </c>
      <c r="H180" s="534" t="s">
        <v>36</v>
      </c>
      <c r="I180" s="532"/>
      <c r="J180" s="532"/>
      <c r="K180" s="532"/>
    </row>
    <row r="181" spans="1:11" ht="15.75" x14ac:dyDescent="0.25">
      <c r="A181" s="541">
        <v>90</v>
      </c>
      <c r="B181" s="534" t="s">
        <v>124</v>
      </c>
      <c r="C181" s="541">
        <v>10</v>
      </c>
      <c r="D181" s="534" t="s">
        <v>39</v>
      </c>
      <c r="E181" s="534">
        <v>4</v>
      </c>
      <c r="F181" s="534" t="s">
        <v>39</v>
      </c>
      <c r="G181" s="534">
        <v>4</v>
      </c>
      <c r="H181" s="534" t="s">
        <v>104</v>
      </c>
      <c r="I181" s="532"/>
      <c r="J181" s="532"/>
      <c r="K181" s="532"/>
    </row>
    <row r="182" spans="1:11" ht="15.75" x14ac:dyDescent="0.25">
      <c r="A182" s="541">
        <v>95</v>
      </c>
      <c r="B182" s="534" t="s">
        <v>125</v>
      </c>
      <c r="C182" s="541">
        <v>11</v>
      </c>
      <c r="D182" s="534" t="s">
        <v>39</v>
      </c>
      <c r="E182" s="534">
        <v>4</v>
      </c>
      <c r="F182" s="534" t="s">
        <v>39</v>
      </c>
      <c r="G182" s="534">
        <v>4</v>
      </c>
      <c r="H182" s="534" t="s">
        <v>104</v>
      </c>
      <c r="I182" s="532"/>
      <c r="J182" s="532"/>
      <c r="K182" s="532"/>
    </row>
    <row r="183" spans="1:11" ht="15.75" x14ac:dyDescent="0.25">
      <c r="A183" s="534"/>
      <c r="B183" s="534"/>
      <c r="C183" s="534"/>
      <c r="D183" s="534"/>
      <c r="E183" s="534"/>
      <c r="F183" s="534"/>
      <c r="G183" s="534"/>
      <c r="H183" s="534"/>
      <c r="I183" s="532"/>
      <c r="J183" s="532"/>
      <c r="K183" s="532"/>
    </row>
    <row r="184" spans="1:11" ht="15.75" x14ac:dyDescent="0.25">
      <c r="A184" s="534"/>
      <c r="B184" s="534"/>
      <c r="C184" s="534"/>
      <c r="D184" s="534"/>
      <c r="E184" s="534">
        <v>9</v>
      </c>
      <c r="F184" s="534" t="s">
        <v>44</v>
      </c>
      <c r="G184" s="534">
        <v>6</v>
      </c>
      <c r="H184" s="534" t="s">
        <v>108</v>
      </c>
      <c r="I184" s="532"/>
      <c r="J184" s="532"/>
      <c r="K184" s="532"/>
    </row>
    <row r="185" spans="1:11" ht="15.75" x14ac:dyDescent="0.25">
      <c r="A185" s="534"/>
      <c r="B185" s="534"/>
      <c r="C185" s="534"/>
      <c r="D185" s="534"/>
      <c r="E185" s="542">
        <v>5</v>
      </c>
      <c r="F185" s="542" t="s">
        <v>40</v>
      </c>
      <c r="G185" s="542"/>
      <c r="H185" s="542" t="s">
        <v>116</v>
      </c>
      <c r="I185" s="532"/>
      <c r="J185" s="532"/>
      <c r="K185" s="538" t="s">
        <v>602</v>
      </c>
    </row>
    <row r="186" spans="1:11" ht="15.75" x14ac:dyDescent="0.25">
      <c r="A186" s="534"/>
      <c r="B186" s="534"/>
      <c r="C186" s="534"/>
      <c r="D186" s="534"/>
      <c r="E186" s="542">
        <v>6</v>
      </c>
      <c r="F186" s="542" t="s">
        <v>41</v>
      </c>
      <c r="G186" s="542"/>
      <c r="H186" s="542" t="s">
        <v>116</v>
      </c>
      <c r="I186" s="532"/>
      <c r="J186" s="532"/>
      <c r="K186" s="538" t="s">
        <v>602</v>
      </c>
    </row>
    <row r="187" spans="1:11" ht="15.75" x14ac:dyDescent="0.25">
      <c r="A187" s="534"/>
      <c r="B187" s="534"/>
      <c r="C187" s="534"/>
      <c r="D187" s="534"/>
      <c r="E187" s="542">
        <v>10</v>
      </c>
      <c r="F187" s="542" t="s">
        <v>45</v>
      </c>
      <c r="G187" s="542"/>
      <c r="H187" s="542" t="s">
        <v>116</v>
      </c>
      <c r="I187" s="532"/>
      <c r="J187" s="532"/>
      <c r="K187" s="538" t="s">
        <v>602</v>
      </c>
    </row>
    <row r="188" spans="1:11" ht="15.75" x14ac:dyDescent="0.25">
      <c r="A188" s="534"/>
      <c r="B188" s="534"/>
      <c r="C188" s="534"/>
      <c r="D188" s="534"/>
      <c r="E188" s="534">
        <v>15</v>
      </c>
      <c r="F188" s="534" t="s">
        <v>50</v>
      </c>
      <c r="G188" s="534"/>
      <c r="H188" s="534"/>
      <c r="I188" s="532"/>
      <c r="J188" s="532"/>
      <c r="K188" s="532"/>
    </row>
    <row r="189" spans="1:11" ht="15.75" x14ac:dyDescent="0.25">
      <c r="A189" s="534"/>
      <c r="B189" s="534"/>
      <c r="C189" s="534"/>
      <c r="D189" s="534"/>
      <c r="E189" s="534">
        <v>16</v>
      </c>
      <c r="F189" s="534" t="s">
        <v>51</v>
      </c>
      <c r="G189" s="534"/>
      <c r="H189" s="534"/>
      <c r="I189" s="532"/>
      <c r="J189" s="532"/>
      <c r="K189" s="532"/>
    </row>
    <row r="190" spans="1:11" ht="15.75" x14ac:dyDescent="0.25">
      <c r="A190" s="534"/>
      <c r="B190" s="534"/>
      <c r="C190" s="534"/>
      <c r="D190" s="534"/>
      <c r="E190" s="534">
        <v>17</v>
      </c>
      <c r="F190" s="534" t="s">
        <v>53</v>
      </c>
      <c r="G190" s="534">
        <v>11</v>
      </c>
      <c r="H190" s="534" t="s">
        <v>53</v>
      </c>
      <c r="I190" s="532"/>
      <c r="J190" s="532"/>
      <c r="K190" s="532"/>
    </row>
    <row r="191" spans="1:11" ht="15.75" x14ac:dyDescent="0.25">
      <c r="A191" s="534"/>
      <c r="B191" s="534"/>
      <c r="C191" s="534"/>
      <c r="D191" s="534"/>
      <c r="E191" s="534">
        <v>18</v>
      </c>
      <c r="F191" s="534" t="s">
        <v>54</v>
      </c>
      <c r="G191" s="534"/>
      <c r="H191" s="534"/>
      <c r="I191" s="532"/>
      <c r="J191" s="532"/>
      <c r="K191" s="532"/>
    </row>
    <row r="192" spans="1:11" ht="15.75" x14ac:dyDescent="0.25">
      <c r="A192" s="534"/>
      <c r="B192" s="534"/>
      <c r="C192" s="534"/>
      <c r="D192" s="534"/>
      <c r="E192" s="534">
        <v>19</v>
      </c>
      <c r="F192" s="534" t="s">
        <v>84</v>
      </c>
      <c r="G192" s="534">
        <v>12</v>
      </c>
      <c r="H192" s="534" t="s">
        <v>119</v>
      </c>
      <c r="I192" s="532"/>
      <c r="J192" s="532"/>
      <c r="K192" s="532"/>
    </row>
    <row r="193" spans="1:11" ht="15.75" x14ac:dyDescent="0.25">
      <c r="A193" s="534"/>
      <c r="B193" s="534"/>
      <c r="C193" s="534"/>
      <c r="D193" s="534"/>
      <c r="E193" s="534">
        <v>20</v>
      </c>
      <c r="F193" s="534" t="s">
        <v>55</v>
      </c>
      <c r="G193" s="534">
        <v>13</v>
      </c>
      <c r="H193" s="534" t="s">
        <v>121</v>
      </c>
      <c r="I193" s="532"/>
      <c r="J193" s="532"/>
      <c r="K193" s="532"/>
    </row>
    <row r="194" spans="1:11" ht="15.75" x14ac:dyDescent="0.25">
      <c r="A194" s="534"/>
      <c r="B194" s="534"/>
      <c r="C194" s="534"/>
      <c r="D194" s="534"/>
      <c r="E194" s="534">
        <v>21</v>
      </c>
      <c r="F194" s="534" t="s">
        <v>56</v>
      </c>
      <c r="G194" s="534">
        <v>14</v>
      </c>
      <c r="H194" s="534" t="s">
        <v>123</v>
      </c>
      <c r="I194" s="532"/>
      <c r="J194" s="532"/>
      <c r="K194" s="532"/>
    </row>
    <row r="195" spans="1:11" ht="15.75" x14ac:dyDescent="0.25">
      <c r="A195" s="534"/>
      <c r="B195" s="534"/>
      <c r="C195" s="534"/>
      <c r="D195" s="534"/>
      <c r="E195" s="534">
        <v>22</v>
      </c>
      <c r="F195" s="534" t="s">
        <v>57</v>
      </c>
      <c r="G195" s="534">
        <v>15</v>
      </c>
      <c r="H195" s="534" t="s">
        <v>57</v>
      </c>
      <c r="I195" s="532"/>
      <c r="J195" s="532"/>
      <c r="K195" s="532"/>
    </row>
    <row r="197" spans="1:11" ht="15.75" x14ac:dyDescent="0.25">
      <c r="A197" s="532"/>
      <c r="B197" s="532"/>
      <c r="C197" s="532"/>
      <c r="D197" s="532"/>
      <c r="E197" s="546">
        <v>14</v>
      </c>
      <c r="F197" s="546" t="s">
        <v>49</v>
      </c>
      <c r="G197" s="546">
        <v>10</v>
      </c>
      <c r="H197" s="546" t="s">
        <v>608</v>
      </c>
      <c r="I197" s="537"/>
      <c r="J197" s="532"/>
      <c r="K197" s="547" t="s">
        <v>609</v>
      </c>
    </row>
  </sheetData>
  <hyperlinks>
    <hyperlink ref="K88" r:id="rId1"/>
    <hyperlink ref="K87" r:id="rId2"/>
    <hyperlink ref="B80" r:id="rId3"/>
    <hyperlink ref="B162" r:id="rId4" display="https://www.mrlc.gov/nlcd11_leg.php"/>
    <hyperlink ref="B161" r:id="rId5"/>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114"/>
  <sheetViews>
    <sheetView zoomScale="80" zoomScaleNormal="80" zoomScaleSheetLayoutView="100" workbookViewId="0">
      <selection activeCell="B2" sqref="B2:C2"/>
    </sheetView>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625" style="91" customWidth="1"/>
    <col min="14" max="14" width="16.5" style="91" customWidth="1"/>
    <col min="15" max="15" width="14.875" style="91" customWidth="1"/>
    <col min="16" max="16" width="14" style="91" customWidth="1"/>
    <col min="17" max="17" width="11.75" style="91" customWidth="1"/>
    <col min="18" max="19" width="12.375" style="91" customWidth="1"/>
    <col min="20" max="16384" width="8.875" style="91"/>
  </cols>
  <sheetData>
    <row r="1" spans="1:13" s="92" customFormat="1" ht="15.75" x14ac:dyDescent="0.25">
      <c r="A1" s="92" t="s">
        <v>69</v>
      </c>
    </row>
    <row r="2" spans="1:13" x14ac:dyDescent="0.2">
      <c r="A2" s="91" t="s">
        <v>76</v>
      </c>
      <c r="B2" s="555" t="str">
        <f>+C13</f>
        <v>SampleShed</v>
      </c>
      <c r="C2" s="555"/>
    </row>
    <row r="3" spans="1:13" x14ac:dyDescent="0.2">
      <c r="A3" s="91" t="s">
        <v>517</v>
      </c>
      <c r="B3" s="555">
        <f>+C14</f>
        <v>2018</v>
      </c>
      <c r="C3" s="555"/>
    </row>
    <row r="5" spans="1:13" s="498" customFormat="1" ht="15" x14ac:dyDescent="0.2">
      <c r="A5" s="497" t="s">
        <v>70</v>
      </c>
      <c r="B5" s="497" t="s">
        <v>71</v>
      </c>
    </row>
    <row r="7" spans="1:13" ht="122.1" customHeight="1" x14ac:dyDescent="0.2">
      <c r="A7" s="556" t="s">
        <v>518</v>
      </c>
      <c r="B7" s="556"/>
      <c r="C7" s="556"/>
      <c r="D7" s="556"/>
      <c r="E7" s="556"/>
      <c r="F7" s="556"/>
    </row>
    <row r="8" spans="1:13" ht="15" x14ac:dyDescent="0.25">
      <c r="A8" s="93"/>
    </row>
    <row r="10" spans="1:13" x14ac:dyDescent="0.2">
      <c r="A10" s="94"/>
      <c r="B10" s="95" t="s">
        <v>72</v>
      </c>
      <c r="C10" s="461" t="s">
        <v>73</v>
      </c>
    </row>
    <row r="11" spans="1:13" x14ac:dyDescent="0.2">
      <c r="B11" s="95" t="s">
        <v>74</v>
      </c>
      <c r="C11" s="462" t="s">
        <v>73</v>
      </c>
      <c r="F11" s="96"/>
    </row>
    <row r="12" spans="1:13" x14ac:dyDescent="0.2">
      <c r="A12" s="97"/>
      <c r="B12" s="97" t="s">
        <v>75</v>
      </c>
      <c r="C12" s="461" t="s">
        <v>73</v>
      </c>
      <c r="D12" s="98"/>
    </row>
    <row r="13" spans="1:13" x14ac:dyDescent="0.2">
      <c r="B13" s="97" t="s">
        <v>76</v>
      </c>
      <c r="C13" s="461" t="s">
        <v>616</v>
      </c>
    </row>
    <row r="14" spans="1:13" x14ac:dyDescent="0.2">
      <c r="A14" s="95"/>
      <c r="B14" s="95" t="s">
        <v>77</v>
      </c>
      <c r="C14" s="463">
        <v>2018</v>
      </c>
    </row>
    <row r="15" spans="1:13" x14ac:dyDescent="0.2">
      <c r="A15" s="95"/>
      <c r="B15" s="95"/>
      <c r="C15" s="98"/>
    </row>
    <row r="16" spans="1:13" ht="13.5" thickBot="1" x14ac:dyDescent="0.25">
      <c r="C16" s="557" t="s">
        <v>78</v>
      </c>
      <c r="D16" s="557"/>
      <c r="E16" s="557"/>
      <c r="F16" s="557"/>
      <c r="K16" s="94" t="s">
        <v>545</v>
      </c>
      <c r="L16" s="456" t="s">
        <v>488</v>
      </c>
      <c r="M16" s="456" t="s">
        <v>487</v>
      </c>
    </row>
    <row r="17" spans="1:19" ht="13.5" thickBot="1" x14ac:dyDescent="0.25">
      <c r="N17" s="513" t="s">
        <v>576</v>
      </c>
      <c r="O17" s="513" t="s">
        <v>577</v>
      </c>
      <c r="P17" s="513" t="s">
        <v>578</v>
      </c>
    </row>
    <row r="18" spans="1:19" x14ac:dyDescent="0.2">
      <c r="A18" s="99" t="s">
        <v>13</v>
      </c>
      <c r="B18" s="100"/>
      <c r="C18" s="101" t="s">
        <v>14</v>
      </c>
      <c r="D18" s="101" t="s">
        <v>17</v>
      </c>
      <c r="E18" s="101" t="s">
        <v>79</v>
      </c>
      <c r="F18" s="102" t="s">
        <v>80</v>
      </c>
      <c r="K18" s="91" t="s">
        <v>489</v>
      </c>
      <c r="L18" s="458">
        <v>105.59</v>
      </c>
      <c r="M18" s="457">
        <f>L18*3280.84</f>
        <v>346423.89560000005</v>
      </c>
      <c r="N18" s="529">
        <f>(D38*2000)/M18</f>
        <v>154.14681733346339</v>
      </c>
      <c r="O18" s="528">
        <f>E38/M18</f>
        <v>9.5971988140185302E-2</v>
      </c>
      <c r="P18" s="528">
        <f>F38/M18</f>
        <v>3.8368427146109371E-2</v>
      </c>
    </row>
    <row r="19" spans="1:19" ht="13.5" thickBot="1" x14ac:dyDescent="0.25">
      <c r="A19" s="103" t="s">
        <v>25</v>
      </c>
      <c r="B19" s="104"/>
      <c r="C19" s="105" t="s">
        <v>81</v>
      </c>
      <c r="D19" s="105" t="s">
        <v>82</v>
      </c>
      <c r="E19" s="105" t="s">
        <v>83</v>
      </c>
      <c r="F19" s="106" t="s">
        <v>83</v>
      </c>
      <c r="K19" s="91" t="s">
        <v>490</v>
      </c>
      <c r="L19" s="458">
        <v>1.67</v>
      </c>
      <c r="M19" s="457">
        <f>L19*3280.84</f>
        <v>5479.0028000000002</v>
      </c>
    </row>
    <row r="20" spans="1:19" x14ac:dyDescent="0.2">
      <c r="A20" s="107" t="s">
        <v>35</v>
      </c>
      <c r="B20" s="108"/>
      <c r="C20" s="109">
        <f>F60</f>
        <v>1666.6666666666665</v>
      </c>
      <c r="D20" s="109">
        <f t="shared" ref="D20:F23" si="0">N48</f>
        <v>136.61540549999998</v>
      </c>
      <c r="E20" s="109">
        <f t="shared" si="0"/>
        <v>1861.4610000000002</v>
      </c>
      <c r="F20" s="110">
        <f t="shared" si="0"/>
        <v>687.51900000000001</v>
      </c>
      <c r="K20" s="91" t="s">
        <v>491</v>
      </c>
      <c r="L20" s="458">
        <v>103.91</v>
      </c>
      <c r="M20" s="457">
        <f>L20*3280.84</f>
        <v>340912.08439999999</v>
      </c>
    </row>
    <row r="21" spans="1:19" x14ac:dyDescent="0.2">
      <c r="A21" s="107" t="s">
        <v>36</v>
      </c>
      <c r="B21" s="108"/>
      <c r="C21" s="109">
        <f>F61</f>
        <v>491.35802469135797</v>
      </c>
      <c r="D21" s="109">
        <f t="shared" si="0"/>
        <v>316.40658524999998</v>
      </c>
      <c r="E21" s="109">
        <f t="shared" si="0"/>
        <v>3203.424</v>
      </c>
      <c r="F21" s="110">
        <f t="shared" si="0"/>
        <v>838.12050000000011</v>
      </c>
    </row>
    <row r="22" spans="1:19" x14ac:dyDescent="0.2">
      <c r="A22" s="107" t="s">
        <v>37</v>
      </c>
      <c r="B22" s="108"/>
      <c r="C22" s="109">
        <f>SUM(F55:F57)+F58</f>
        <v>9730.8641975308637</v>
      </c>
      <c r="D22" s="109">
        <f t="shared" si="0"/>
        <v>7.9434022500000001</v>
      </c>
      <c r="E22" s="109">
        <f t="shared" si="0"/>
        <v>1136.8980000000001</v>
      </c>
      <c r="F22" s="110">
        <f t="shared" si="0"/>
        <v>73.647000000000006</v>
      </c>
      <c r="K22" s="112" t="s">
        <v>492</v>
      </c>
    </row>
    <row r="23" spans="1:19" x14ac:dyDescent="0.2">
      <c r="A23" s="107" t="s">
        <v>39</v>
      </c>
      <c r="B23" s="108"/>
      <c r="C23" s="109">
        <f>F62+F63</f>
        <v>656.79012345679007</v>
      </c>
      <c r="D23" s="109">
        <f t="shared" si="0"/>
        <v>0.72522449999999994</v>
      </c>
      <c r="E23" s="109">
        <f t="shared" si="0"/>
        <v>254.45700000000002</v>
      </c>
      <c r="F23" s="110">
        <f t="shared" si="0"/>
        <v>14.552999999999999</v>
      </c>
    </row>
    <row r="24" spans="1:19" x14ac:dyDescent="0.2">
      <c r="A24" s="107" t="s">
        <v>40</v>
      </c>
      <c r="B24" s="108"/>
      <c r="C24" s="109">
        <v>0</v>
      </c>
      <c r="D24" s="109">
        <v>0</v>
      </c>
      <c r="E24" s="109">
        <v>0</v>
      </c>
      <c r="F24" s="110">
        <v>0</v>
      </c>
      <c r="H24" s="111"/>
      <c r="K24" s="94" t="s">
        <v>529</v>
      </c>
    </row>
    <row r="25" spans="1:19" x14ac:dyDescent="0.2">
      <c r="A25" s="107" t="s">
        <v>41</v>
      </c>
      <c r="B25" s="108"/>
      <c r="C25" s="109">
        <v>0</v>
      </c>
      <c r="D25" s="109">
        <v>0</v>
      </c>
      <c r="E25" s="109">
        <v>0</v>
      </c>
      <c r="F25" s="110">
        <v>0</v>
      </c>
    </row>
    <row r="26" spans="1:19" x14ac:dyDescent="0.2">
      <c r="A26" s="107" t="s">
        <v>42</v>
      </c>
      <c r="B26" s="108"/>
      <c r="C26" s="109">
        <f>F59</f>
        <v>66.666666666666657</v>
      </c>
      <c r="D26" s="109">
        <f t="shared" ref="D26:F27" si="1">N52</f>
        <v>1.7845065</v>
      </c>
      <c r="E26" s="109">
        <f t="shared" si="1"/>
        <v>67.6935</v>
      </c>
      <c r="F26" s="110">
        <f t="shared" si="1"/>
        <v>4.6305000000000005</v>
      </c>
      <c r="K26" s="513" t="s">
        <v>550</v>
      </c>
      <c r="L26" s="513" t="s">
        <v>551</v>
      </c>
      <c r="M26" s="513" t="s">
        <v>538</v>
      </c>
      <c r="N26" s="513" t="s">
        <v>539</v>
      </c>
      <c r="O26" s="513" t="s">
        <v>540</v>
      </c>
      <c r="P26" s="513" t="s">
        <v>541</v>
      </c>
      <c r="Q26" s="513" t="s">
        <v>542</v>
      </c>
      <c r="R26" s="513" t="s">
        <v>543</v>
      </c>
      <c r="S26" s="513" t="s">
        <v>544</v>
      </c>
    </row>
    <row r="27" spans="1:19" x14ac:dyDescent="0.2">
      <c r="A27" s="107" t="s">
        <v>43</v>
      </c>
      <c r="B27" s="108"/>
      <c r="C27" s="109">
        <f>F54</f>
        <v>222.2222222222222</v>
      </c>
      <c r="D27" s="109">
        <f t="shared" si="1"/>
        <v>5.4794250000000003E-2</v>
      </c>
      <c r="E27" s="109">
        <f t="shared" si="1"/>
        <v>117.08550000000001</v>
      </c>
      <c r="F27" s="110">
        <f t="shared" si="1"/>
        <v>3.9690000000000003</v>
      </c>
      <c r="K27" s="98" t="s">
        <v>530</v>
      </c>
      <c r="L27" s="458">
        <v>95</v>
      </c>
      <c r="M27" s="91">
        <v>0.9</v>
      </c>
      <c r="N27" s="91">
        <f>L27*M27</f>
        <v>85.5</v>
      </c>
      <c r="O27" s="91">
        <f>N27/1000</f>
        <v>8.5500000000000007E-2</v>
      </c>
      <c r="P27" s="91">
        <v>1.07</v>
      </c>
      <c r="Q27" s="91">
        <v>0.3</v>
      </c>
      <c r="R27" s="91">
        <f>O27*P27</f>
        <v>9.1485000000000011E-2</v>
      </c>
      <c r="S27" s="91">
        <f>O27*Q27</f>
        <v>2.5650000000000003E-2</v>
      </c>
    </row>
    <row r="28" spans="1:19" x14ac:dyDescent="0.2">
      <c r="A28" s="107" t="s">
        <v>44</v>
      </c>
      <c r="B28" s="108"/>
      <c r="C28" s="109">
        <v>0</v>
      </c>
      <c r="D28" s="109">
        <v>0</v>
      </c>
      <c r="E28" s="109">
        <v>0</v>
      </c>
      <c r="F28" s="110">
        <v>0</v>
      </c>
      <c r="K28" s="98" t="s">
        <v>531</v>
      </c>
      <c r="L28" s="458">
        <v>0</v>
      </c>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2">
      <c r="A29" s="107" t="s">
        <v>45</v>
      </c>
      <c r="B29" s="108"/>
      <c r="C29" s="109">
        <v>0</v>
      </c>
      <c r="D29" s="109">
        <v>0</v>
      </c>
      <c r="E29" s="109">
        <v>0</v>
      </c>
      <c r="F29" s="110">
        <v>0</v>
      </c>
      <c r="K29" s="550" t="s">
        <v>532</v>
      </c>
      <c r="L29" s="458">
        <v>91</v>
      </c>
      <c r="M29" s="91">
        <v>360</v>
      </c>
      <c r="N29" s="91">
        <f t="shared" si="2"/>
        <v>32760</v>
      </c>
      <c r="O29" s="91">
        <f t="shared" si="3"/>
        <v>32.76</v>
      </c>
      <c r="P29" s="91">
        <v>0.31</v>
      </c>
      <c r="Q29" s="91">
        <v>0.09</v>
      </c>
      <c r="R29" s="91">
        <f t="shared" si="4"/>
        <v>10.1556</v>
      </c>
      <c r="S29" s="91">
        <f t="shared" si="5"/>
        <v>2.9483999999999999</v>
      </c>
    </row>
    <row r="30" spans="1:19" x14ac:dyDescent="0.2">
      <c r="A30" s="107" t="s">
        <v>46</v>
      </c>
      <c r="B30" s="108"/>
      <c r="C30" s="109">
        <f>F50+F51</f>
        <v>23372.839506172837</v>
      </c>
      <c r="D30" s="109">
        <f t="shared" ref="D30:F32" si="6">N54</f>
        <v>49.872138749999998</v>
      </c>
      <c r="E30" s="109">
        <f t="shared" si="6"/>
        <v>2449.5345000000002</v>
      </c>
      <c r="F30" s="110">
        <f t="shared" si="6"/>
        <v>263.4975</v>
      </c>
      <c r="K30" s="550" t="s">
        <v>533</v>
      </c>
      <c r="L30" s="458">
        <v>69</v>
      </c>
      <c r="M30" s="91">
        <v>640</v>
      </c>
      <c r="N30" s="91">
        <f t="shared" si="2"/>
        <v>44160</v>
      </c>
      <c r="O30" s="91">
        <f t="shared" si="3"/>
        <v>44.16</v>
      </c>
      <c r="P30" s="91">
        <v>0.44</v>
      </c>
      <c r="Q30" s="91">
        <v>7.0000000000000007E-2</v>
      </c>
      <c r="R30" s="91">
        <f t="shared" si="4"/>
        <v>19.430399999999999</v>
      </c>
      <c r="S30" s="91">
        <f t="shared" si="5"/>
        <v>3.0912000000000002</v>
      </c>
    </row>
    <row r="31" spans="1:19" x14ac:dyDescent="0.2">
      <c r="A31" s="107" t="s">
        <v>47</v>
      </c>
      <c r="B31" s="108"/>
      <c r="C31" s="109">
        <f>F52</f>
        <v>3395.0617283950614</v>
      </c>
      <c r="D31" s="109">
        <f t="shared" si="6"/>
        <v>111.58049700000001</v>
      </c>
      <c r="E31" s="109">
        <f t="shared" si="6"/>
        <v>4522.6755000000003</v>
      </c>
      <c r="F31" s="110">
        <f t="shared" si="6"/>
        <v>462.82950000000005</v>
      </c>
      <c r="K31" s="550" t="s">
        <v>534</v>
      </c>
      <c r="L31" s="458">
        <v>242</v>
      </c>
      <c r="M31" s="91">
        <v>500</v>
      </c>
      <c r="N31" s="91">
        <f t="shared" si="2"/>
        <v>121000</v>
      </c>
      <c r="O31" s="91">
        <f t="shared" si="3"/>
        <v>121</v>
      </c>
      <c r="P31" s="91">
        <v>0.28000000000000003</v>
      </c>
      <c r="Q31" s="91">
        <v>0.06</v>
      </c>
      <c r="R31" s="91">
        <f t="shared" si="4"/>
        <v>33.880000000000003</v>
      </c>
      <c r="S31" s="91">
        <f t="shared" si="5"/>
        <v>7.26</v>
      </c>
    </row>
    <row r="32" spans="1:19" x14ac:dyDescent="0.2">
      <c r="A32" s="107" t="s">
        <v>48</v>
      </c>
      <c r="B32" s="108"/>
      <c r="C32" s="109">
        <f>F53</f>
        <v>965.43209876543199</v>
      </c>
      <c r="D32" s="109">
        <f t="shared" si="6"/>
        <v>31.739211000000005</v>
      </c>
      <c r="E32" s="109">
        <f t="shared" si="6"/>
        <v>1286.3969999999999</v>
      </c>
      <c r="F32" s="110">
        <f t="shared" si="6"/>
        <v>131.63850000000002</v>
      </c>
      <c r="K32" s="98" t="s">
        <v>535</v>
      </c>
      <c r="L32" s="458">
        <v>323</v>
      </c>
      <c r="M32" s="91">
        <v>61</v>
      </c>
      <c r="N32" s="91">
        <f t="shared" si="2"/>
        <v>19703</v>
      </c>
      <c r="O32" s="91">
        <f t="shared" si="3"/>
        <v>19.702999999999999</v>
      </c>
      <c r="P32" s="91">
        <v>0.48</v>
      </c>
      <c r="Q32" s="91">
        <v>0.15</v>
      </c>
      <c r="R32" s="91">
        <f t="shared" si="4"/>
        <v>9.4574400000000001</v>
      </c>
      <c r="S32" s="91">
        <f t="shared" si="5"/>
        <v>2.9554499999999999</v>
      </c>
    </row>
    <row r="33" spans="1:19" x14ac:dyDescent="0.2">
      <c r="A33" s="107" t="s">
        <v>49</v>
      </c>
      <c r="B33" s="108"/>
      <c r="C33" s="109">
        <v>0</v>
      </c>
      <c r="D33" s="109">
        <v>0</v>
      </c>
      <c r="E33" s="109">
        <v>0</v>
      </c>
      <c r="F33" s="110">
        <v>0</v>
      </c>
      <c r="K33" s="98" t="s">
        <v>536</v>
      </c>
      <c r="L33" s="458">
        <v>165</v>
      </c>
      <c r="M33" s="91">
        <v>50</v>
      </c>
      <c r="N33" s="91">
        <f t="shared" si="2"/>
        <v>8250</v>
      </c>
      <c r="O33" s="91">
        <f t="shared" si="3"/>
        <v>8.25</v>
      </c>
      <c r="P33" s="91">
        <v>0.37</v>
      </c>
      <c r="Q33" s="91">
        <v>0.1</v>
      </c>
      <c r="R33" s="91">
        <f t="shared" si="4"/>
        <v>3.0524999999999998</v>
      </c>
      <c r="S33" s="91">
        <f t="shared" si="5"/>
        <v>0.82500000000000007</v>
      </c>
    </row>
    <row r="34" spans="1:19" x14ac:dyDescent="0.2">
      <c r="A34" s="107" t="s">
        <v>50</v>
      </c>
      <c r="B34" s="108"/>
      <c r="C34" s="109">
        <v>0</v>
      </c>
      <c r="D34" s="109">
        <v>0</v>
      </c>
      <c r="E34" s="109">
        <v>0</v>
      </c>
      <c r="F34" s="110">
        <v>0</v>
      </c>
      <c r="K34" s="98" t="s">
        <v>537</v>
      </c>
      <c r="L34" s="458">
        <v>8</v>
      </c>
      <c r="M34" s="91">
        <v>6.8</v>
      </c>
      <c r="N34" s="91">
        <f t="shared" si="2"/>
        <v>54.4</v>
      </c>
      <c r="O34" s="91">
        <f t="shared" si="3"/>
        <v>5.4399999999999997E-2</v>
      </c>
      <c r="P34" s="91">
        <v>0.59</v>
      </c>
      <c r="Q34" s="91">
        <v>0.2</v>
      </c>
      <c r="R34" s="91">
        <f t="shared" si="4"/>
        <v>3.2096E-2</v>
      </c>
      <c r="S34" s="91">
        <f t="shared" si="5"/>
        <v>1.0880000000000001E-2</v>
      </c>
    </row>
    <row r="35" spans="1:19" x14ac:dyDescent="0.2">
      <c r="A35" s="107" t="s">
        <v>51</v>
      </c>
      <c r="B35" s="108"/>
      <c r="C35" s="109">
        <v>0</v>
      </c>
      <c r="D35" s="109">
        <v>0</v>
      </c>
      <c r="E35" s="109">
        <v>0</v>
      </c>
      <c r="F35" s="110">
        <v>0</v>
      </c>
    </row>
    <row r="36" spans="1:19" x14ac:dyDescent="0.2">
      <c r="A36" s="107" t="s">
        <v>53</v>
      </c>
      <c r="B36" s="108"/>
      <c r="C36" s="109" t="s">
        <v>65</v>
      </c>
      <c r="D36" s="109">
        <f>N58</f>
        <v>0</v>
      </c>
      <c r="E36" s="109">
        <f>O58</f>
        <v>4895.7615000000005</v>
      </c>
      <c r="F36" s="110">
        <f>P58</f>
        <v>1294.1144999999999</v>
      </c>
      <c r="P36" s="91" t="s">
        <v>546</v>
      </c>
      <c r="R36" s="96">
        <f>SUM(R27:R34)</f>
        <v>76.099520999999996</v>
      </c>
      <c r="S36" s="96">
        <f>SUM(S27:S34)</f>
        <v>17.116579999999999</v>
      </c>
    </row>
    <row r="37" spans="1:19" x14ac:dyDescent="0.2">
      <c r="A37" s="107" t="s">
        <v>54</v>
      </c>
      <c r="B37" s="108"/>
      <c r="C37" s="109" t="s">
        <v>65</v>
      </c>
      <c r="D37" s="109">
        <v>0</v>
      </c>
      <c r="E37" s="109">
        <v>0</v>
      </c>
      <c r="F37" s="110">
        <v>0</v>
      </c>
      <c r="P37" s="91" t="s">
        <v>547</v>
      </c>
      <c r="R37" s="96">
        <f>R27+R28+R34</f>
        <v>0.12358100000000001</v>
      </c>
      <c r="S37" s="96">
        <f>S27+S28+S34</f>
        <v>3.6530000000000007E-2</v>
      </c>
    </row>
    <row r="38" spans="1:19" x14ac:dyDescent="0.2">
      <c r="A38" s="107" t="s">
        <v>84</v>
      </c>
      <c r="B38" s="108"/>
      <c r="C38" s="109" t="s">
        <v>65</v>
      </c>
      <c r="D38" s="109">
        <f t="shared" ref="D38:F41" si="7">N59</f>
        <v>26700.070477499998</v>
      </c>
      <c r="E38" s="109">
        <f t="shared" si="7"/>
        <v>33246.99</v>
      </c>
      <c r="F38" s="110">
        <f t="shared" si="7"/>
        <v>13291.74</v>
      </c>
      <c r="K38" s="112"/>
      <c r="P38" s="91" t="s">
        <v>548</v>
      </c>
      <c r="R38" s="96">
        <f>SUM(R29:R33)</f>
        <v>75.975939999999994</v>
      </c>
      <c r="S38" s="96">
        <f>SUM(S29:S33)</f>
        <v>17.08005</v>
      </c>
    </row>
    <row r="39" spans="1:19" x14ac:dyDescent="0.2">
      <c r="A39" s="107" t="s">
        <v>55</v>
      </c>
      <c r="B39" s="108"/>
      <c r="C39" s="109" t="s">
        <v>65</v>
      </c>
      <c r="D39" s="109">
        <f t="shared" si="7"/>
        <v>0</v>
      </c>
      <c r="E39" s="109">
        <f t="shared" si="7"/>
        <v>132221.06099999999</v>
      </c>
      <c r="F39" s="110">
        <f t="shared" si="7"/>
        <v>2404.5525000000002</v>
      </c>
      <c r="P39" s="91" t="s">
        <v>528</v>
      </c>
      <c r="R39" s="514">
        <f>R37/R38</f>
        <v>1.6265807306892158E-3</v>
      </c>
      <c r="S39" s="514">
        <f>S37/S38</f>
        <v>2.1387525212162731E-3</v>
      </c>
    </row>
    <row r="40" spans="1:19" x14ac:dyDescent="0.2">
      <c r="A40" s="107" t="s">
        <v>56</v>
      </c>
      <c r="B40" s="108"/>
      <c r="C40" s="109" t="s">
        <v>65</v>
      </c>
      <c r="D40" s="109">
        <f t="shared" si="7"/>
        <v>0</v>
      </c>
      <c r="E40" s="109">
        <f t="shared" si="7"/>
        <v>121109.625</v>
      </c>
      <c r="F40" s="110">
        <f t="shared" si="7"/>
        <v>67820.949000000008</v>
      </c>
      <c r="P40" s="91" t="s">
        <v>527</v>
      </c>
      <c r="R40" s="514">
        <f>R38/R36</f>
        <v>0.99837606073762275</v>
      </c>
      <c r="S40" s="514">
        <f>S38/S36</f>
        <v>0.99786581197879487</v>
      </c>
    </row>
    <row r="41" spans="1:19" ht="13.5" thickBot="1" x14ac:dyDescent="0.25">
      <c r="A41" s="113" t="s">
        <v>57</v>
      </c>
      <c r="B41" s="114"/>
      <c r="C41" s="115" t="s">
        <v>65</v>
      </c>
      <c r="D41" s="115">
        <f t="shared" si="7"/>
        <v>0</v>
      </c>
      <c r="E41" s="115">
        <f t="shared" si="7"/>
        <v>10658.308499999999</v>
      </c>
      <c r="F41" s="116">
        <f t="shared" si="7"/>
        <v>0</v>
      </c>
    </row>
    <row r="42" spans="1:19" x14ac:dyDescent="0.2">
      <c r="A42" s="98"/>
      <c r="B42" s="98"/>
      <c r="C42" s="98"/>
      <c r="D42" s="98"/>
      <c r="E42" s="98"/>
      <c r="F42" s="98"/>
      <c r="K42" s="91" t="s">
        <v>549</v>
      </c>
    </row>
    <row r="43" spans="1:19" s="119" customFormat="1" x14ac:dyDescent="0.2">
      <c r="A43" s="117" t="s">
        <v>85</v>
      </c>
      <c r="B43" s="117"/>
      <c r="C43" s="118">
        <f>SUM(C20:C41)</f>
        <v>40567.9012345679</v>
      </c>
      <c r="D43" s="118">
        <f t="shared" ref="D43:F43" si="8">SUM(D20:D41)</f>
        <v>27356.792242499996</v>
      </c>
      <c r="E43" s="118">
        <f t="shared" si="8"/>
        <v>317031.37199999997</v>
      </c>
      <c r="F43" s="118">
        <f t="shared" si="8"/>
        <v>87291.760500000004</v>
      </c>
    </row>
    <row r="45" spans="1:19" x14ac:dyDescent="0.2">
      <c r="A45" s="94" t="s">
        <v>86</v>
      </c>
      <c r="H45" s="94" t="s">
        <v>87</v>
      </c>
    </row>
    <row r="46" spans="1:19" x14ac:dyDescent="0.2">
      <c r="A46" s="94"/>
    </row>
    <row r="47" spans="1:19" x14ac:dyDescent="0.2">
      <c r="A47" s="91" t="s">
        <v>88</v>
      </c>
      <c r="C47" s="112"/>
      <c r="D47" s="513" t="s">
        <v>89</v>
      </c>
      <c r="F47" s="112" t="s">
        <v>90</v>
      </c>
      <c r="H47" s="91" t="s">
        <v>91</v>
      </c>
      <c r="K47" s="513" t="s">
        <v>92</v>
      </c>
      <c r="L47" s="513" t="s">
        <v>93</v>
      </c>
      <c r="M47" s="513" t="s">
        <v>94</v>
      </c>
      <c r="N47" s="513" t="s">
        <v>95</v>
      </c>
      <c r="O47" s="513" t="s">
        <v>96</v>
      </c>
      <c r="P47" s="513" t="s">
        <v>97</v>
      </c>
    </row>
    <row r="48" spans="1:19" x14ac:dyDescent="0.2">
      <c r="A48" s="91" t="s">
        <v>98</v>
      </c>
      <c r="D48" s="458">
        <v>0.13</v>
      </c>
      <c r="F48" s="112">
        <f t="shared" ref="F48:F63" si="9">(D48*100)/0.405</f>
        <v>32.098765432098766</v>
      </c>
      <c r="H48" s="91" t="s">
        <v>99</v>
      </c>
      <c r="K48" s="459">
        <v>123914.2</v>
      </c>
      <c r="L48" s="459">
        <v>844.2</v>
      </c>
      <c r="M48" s="459">
        <v>311.8</v>
      </c>
      <c r="N48" s="91">
        <f>(2.205*K48)/2000</f>
        <v>136.61540549999998</v>
      </c>
      <c r="O48" s="91">
        <f>L48*2.205</f>
        <v>1861.4610000000002</v>
      </c>
      <c r="P48" s="91">
        <f>M48*2.205</f>
        <v>687.51900000000001</v>
      </c>
    </row>
    <row r="49" spans="1:16" x14ac:dyDescent="0.2">
      <c r="A49" s="91" t="s">
        <v>100</v>
      </c>
      <c r="D49" s="458">
        <v>0</v>
      </c>
      <c r="F49" s="112">
        <f t="shared" si="9"/>
        <v>0</v>
      </c>
      <c r="H49" s="91" t="s">
        <v>36</v>
      </c>
      <c r="K49" s="459">
        <v>286990.09999999998</v>
      </c>
      <c r="L49" s="459">
        <v>1452.8</v>
      </c>
      <c r="M49" s="459">
        <v>380.1</v>
      </c>
      <c r="N49" s="91">
        <f t="shared" ref="N49:N62" si="10">(2.205*K49)/2000</f>
        <v>316.40658524999998</v>
      </c>
      <c r="O49" s="91">
        <f t="shared" ref="O49:P62" si="11">L49*2.205</f>
        <v>3203.424</v>
      </c>
      <c r="P49" s="91">
        <f t="shared" si="11"/>
        <v>838.12050000000011</v>
      </c>
    </row>
    <row r="50" spans="1:16" x14ac:dyDescent="0.2">
      <c r="A50" s="91" t="s">
        <v>101</v>
      </c>
      <c r="D50" s="458">
        <v>62.33</v>
      </c>
      <c r="F50" s="112">
        <f t="shared" si="9"/>
        <v>15390.123456790123</v>
      </c>
      <c r="H50" s="91" t="s">
        <v>102</v>
      </c>
      <c r="K50" s="459">
        <v>7204.9</v>
      </c>
      <c r="L50" s="459">
        <v>515.6</v>
      </c>
      <c r="M50" s="459">
        <v>33.4</v>
      </c>
      <c r="N50" s="91">
        <f t="shared" si="10"/>
        <v>7.9434022500000001</v>
      </c>
      <c r="O50" s="91">
        <f t="shared" si="11"/>
        <v>1136.8980000000001</v>
      </c>
      <c r="P50" s="91">
        <f t="shared" si="11"/>
        <v>73.647000000000006</v>
      </c>
    </row>
    <row r="51" spans="1:16" x14ac:dyDescent="0.2">
      <c r="A51" s="91" t="s">
        <v>103</v>
      </c>
      <c r="D51" s="458">
        <v>32.33</v>
      </c>
      <c r="F51" s="112">
        <f t="shared" si="9"/>
        <v>7982.7160493827159</v>
      </c>
      <c r="H51" s="91" t="s">
        <v>104</v>
      </c>
      <c r="K51" s="459">
        <v>657.8</v>
      </c>
      <c r="L51" s="459">
        <v>115.4</v>
      </c>
      <c r="M51" s="459">
        <v>6.6</v>
      </c>
      <c r="N51" s="91">
        <f t="shared" si="10"/>
        <v>0.72522449999999994</v>
      </c>
      <c r="O51" s="91">
        <f t="shared" si="11"/>
        <v>254.45700000000002</v>
      </c>
      <c r="P51" s="91">
        <f t="shared" si="11"/>
        <v>14.552999999999999</v>
      </c>
    </row>
    <row r="52" spans="1:16" x14ac:dyDescent="0.2">
      <c r="A52" s="91" t="s">
        <v>105</v>
      </c>
      <c r="D52" s="458">
        <v>13.75</v>
      </c>
      <c r="F52" s="112">
        <f t="shared" si="9"/>
        <v>3395.0617283950614</v>
      </c>
      <c r="H52" s="91" t="s">
        <v>106</v>
      </c>
      <c r="K52" s="459">
        <v>1618.6</v>
      </c>
      <c r="L52" s="459">
        <v>30.7</v>
      </c>
      <c r="M52" s="459">
        <v>2.1</v>
      </c>
      <c r="N52" s="91">
        <f t="shared" si="10"/>
        <v>1.7845065</v>
      </c>
      <c r="O52" s="91">
        <f t="shared" si="11"/>
        <v>67.6935</v>
      </c>
      <c r="P52" s="91">
        <f t="shared" si="11"/>
        <v>4.6305000000000005</v>
      </c>
    </row>
    <row r="53" spans="1:16" x14ac:dyDescent="0.2">
      <c r="A53" s="91" t="s">
        <v>107</v>
      </c>
      <c r="D53" s="458">
        <v>3.91</v>
      </c>
      <c r="F53" s="112">
        <f t="shared" si="9"/>
        <v>965.43209876543199</v>
      </c>
      <c r="H53" s="91" t="s">
        <v>108</v>
      </c>
      <c r="K53" s="459">
        <v>49.7</v>
      </c>
      <c r="L53" s="459">
        <v>53.1</v>
      </c>
      <c r="M53" s="459">
        <v>1.8</v>
      </c>
      <c r="N53" s="91">
        <f t="shared" si="10"/>
        <v>5.4794250000000003E-2</v>
      </c>
      <c r="O53" s="91">
        <f t="shared" si="11"/>
        <v>117.08550000000001</v>
      </c>
      <c r="P53" s="91">
        <f t="shared" si="11"/>
        <v>3.9690000000000003</v>
      </c>
    </row>
    <row r="54" spans="1:16" x14ac:dyDescent="0.2">
      <c r="A54" s="91" t="s">
        <v>109</v>
      </c>
      <c r="D54" s="458">
        <v>0.9</v>
      </c>
      <c r="F54" s="112">
        <f t="shared" si="9"/>
        <v>222.2222222222222</v>
      </c>
      <c r="H54" s="91" t="s">
        <v>110</v>
      </c>
      <c r="K54" s="459">
        <v>45235.5</v>
      </c>
      <c r="L54" s="459">
        <v>1110.9000000000001</v>
      </c>
      <c r="M54" s="459">
        <v>119.5</v>
      </c>
      <c r="N54" s="91">
        <f t="shared" si="10"/>
        <v>49.872138749999998</v>
      </c>
      <c r="O54" s="91">
        <f t="shared" si="11"/>
        <v>2449.5345000000002</v>
      </c>
      <c r="P54" s="91">
        <f t="shared" si="11"/>
        <v>263.4975</v>
      </c>
    </row>
    <row r="55" spans="1:16" x14ac:dyDescent="0.2">
      <c r="A55" s="91" t="s">
        <v>111</v>
      </c>
      <c r="D55" s="458">
        <v>34.08</v>
      </c>
      <c r="F55" s="112">
        <f t="shared" si="9"/>
        <v>8414.8148148148139</v>
      </c>
      <c r="H55" s="91" t="s">
        <v>112</v>
      </c>
      <c r="K55" s="459">
        <v>101206.8</v>
      </c>
      <c r="L55" s="459">
        <v>2051.1</v>
      </c>
      <c r="M55" s="459">
        <v>209.9</v>
      </c>
      <c r="N55" s="91">
        <f t="shared" si="10"/>
        <v>111.58049700000001</v>
      </c>
      <c r="O55" s="91">
        <f t="shared" si="11"/>
        <v>4522.6755000000003</v>
      </c>
      <c r="P55" s="91">
        <f t="shared" si="11"/>
        <v>462.82950000000005</v>
      </c>
    </row>
    <row r="56" spans="1:16" x14ac:dyDescent="0.2">
      <c r="A56" s="91" t="s">
        <v>113</v>
      </c>
      <c r="D56" s="458">
        <v>0.54</v>
      </c>
      <c r="F56" s="112">
        <f t="shared" si="9"/>
        <v>133.33333333333331</v>
      </c>
      <c r="H56" s="91" t="s">
        <v>114</v>
      </c>
      <c r="K56" s="459">
        <v>28788.400000000001</v>
      </c>
      <c r="L56" s="459">
        <v>583.4</v>
      </c>
      <c r="M56" s="459">
        <v>59.7</v>
      </c>
      <c r="N56" s="91">
        <f t="shared" si="10"/>
        <v>31.739211000000005</v>
      </c>
      <c r="O56" s="91">
        <f t="shared" si="11"/>
        <v>1286.3969999999999</v>
      </c>
      <c r="P56" s="91">
        <f t="shared" si="11"/>
        <v>131.63850000000002</v>
      </c>
    </row>
    <row r="57" spans="1:16" x14ac:dyDescent="0.2">
      <c r="A57" s="91" t="s">
        <v>115</v>
      </c>
      <c r="D57" s="458">
        <v>1.73</v>
      </c>
      <c r="F57" s="112">
        <f t="shared" si="9"/>
        <v>427.16049382716045</v>
      </c>
      <c r="H57" s="91" t="s">
        <v>116</v>
      </c>
      <c r="K57" s="459">
        <v>87208.2</v>
      </c>
      <c r="L57" s="459">
        <v>2141.6999999999998</v>
      </c>
      <c r="M57" s="459">
        <v>230.5</v>
      </c>
      <c r="N57" s="91">
        <f t="shared" si="10"/>
        <v>96.147040500000003</v>
      </c>
      <c r="O57" s="91">
        <f t="shared" si="11"/>
        <v>4722.4484999999995</v>
      </c>
      <c r="P57" s="91">
        <f t="shared" si="11"/>
        <v>508.2525</v>
      </c>
    </row>
    <row r="58" spans="1:16" x14ac:dyDescent="0.2">
      <c r="A58" s="91" t="s">
        <v>117</v>
      </c>
      <c r="D58" s="458">
        <v>3.06</v>
      </c>
      <c r="F58" s="112">
        <f t="shared" si="9"/>
        <v>755.55555555555554</v>
      </c>
      <c r="H58" s="91" t="s">
        <v>53</v>
      </c>
      <c r="K58" s="459">
        <v>0</v>
      </c>
      <c r="L58" s="459">
        <v>2220.3000000000002</v>
      </c>
      <c r="M58" s="459">
        <v>586.9</v>
      </c>
      <c r="N58" s="91">
        <f t="shared" si="10"/>
        <v>0</v>
      </c>
      <c r="O58" s="91">
        <f t="shared" si="11"/>
        <v>4895.7615000000005</v>
      </c>
      <c r="P58" s="91">
        <f t="shared" si="11"/>
        <v>1294.1144999999999</v>
      </c>
    </row>
    <row r="59" spans="1:16" x14ac:dyDescent="0.2">
      <c r="A59" s="91" t="s">
        <v>118</v>
      </c>
      <c r="D59" s="458">
        <v>0.27</v>
      </c>
      <c r="F59" s="112">
        <f t="shared" si="9"/>
        <v>66.666666666666657</v>
      </c>
      <c r="H59" s="91" t="s">
        <v>119</v>
      </c>
      <c r="K59" s="459">
        <v>24217751</v>
      </c>
      <c r="L59" s="459">
        <v>15078</v>
      </c>
      <c r="M59" s="459">
        <v>6028</v>
      </c>
      <c r="N59" s="91">
        <f t="shared" si="10"/>
        <v>26700.070477499998</v>
      </c>
      <c r="O59" s="91">
        <f t="shared" si="11"/>
        <v>33246.99</v>
      </c>
      <c r="P59" s="91">
        <f t="shared" si="11"/>
        <v>13291.74</v>
      </c>
    </row>
    <row r="60" spans="1:16" x14ac:dyDescent="0.2">
      <c r="A60" s="91" t="s">
        <v>120</v>
      </c>
      <c r="D60" s="458">
        <v>6.75</v>
      </c>
      <c r="F60" s="112">
        <f t="shared" si="9"/>
        <v>1666.6666666666665</v>
      </c>
      <c r="H60" s="91" t="s">
        <v>121</v>
      </c>
      <c r="K60" s="459">
        <v>0</v>
      </c>
      <c r="L60" s="459">
        <v>59964.2</v>
      </c>
      <c r="M60" s="459">
        <v>1090.5</v>
      </c>
      <c r="N60" s="91">
        <f t="shared" si="10"/>
        <v>0</v>
      </c>
      <c r="O60" s="91">
        <f t="shared" si="11"/>
        <v>132221.06099999999</v>
      </c>
      <c r="P60" s="91">
        <f t="shared" si="11"/>
        <v>2404.5525000000002</v>
      </c>
    </row>
    <row r="61" spans="1:16" x14ac:dyDescent="0.2">
      <c r="A61" s="91" t="s">
        <v>122</v>
      </c>
      <c r="D61" s="458">
        <v>1.99</v>
      </c>
      <c r="F61" s="112">
        <f t="shared" si="9"/>
        <v>491.35802469135797</v>
      </c>
      <c r="H61" s="91" t="s">
        <v>123</v>
      </c>
      <c r="K61" s="459">
        <v>0</v>
      </c>
      <c r="L61" s="459">
        <v>54925</v>
      </c>
      <c r="M61" s="459">
        <v>30757.8</v>
      </c>
      <c r="N61" s="91">
        <f t="shared" si="10"/>
        <v>0</v>
      </c>
      <c r="O61" s="91">
        <f t="shared" si="11"/>
        <v>121109.625</v>
      </c>
      <c r="P61" s="91">
        <f t="shared" si="11"/>
        <v>67820.949000000008</v>
      </c>
    </row>
    <row r="62" spans="1:16" x14ac:dyDescent="0.2">
      <c r="A62" s="91" t="s">
        <v>124</v>
      </c>
      <c r="D62" s="458">
        <v>2.66</v>
      </c>
      <c r="F62" s="112">
        <f t="shared" si="9"/>
        <v>656.79012345679007</v>
      </c>
      <c r="H62" s="91" t="s">
        <v>57</v>
      </c>
      <c r="K62" s="459">
        <v>0</v>
      </c>
      <c r="L62" s="459">
        <v>4833.7</v>
      </c>
      <c r="M62" s="459">
        <v>0</v>
      </c>
      <c r="N62" s="91">
        <f t="shared" si="10"/>
        <v>0</v>
      </c>
      <c r="O62" s="91">
        <f t="shared" si="11"/>
        <v>10658.308499999999</v>
      </c>
      <c r="P62" s="91">
        <f t="shared" si="11"/>
        <v>0</v>
      </c>
    </row>
    <row r="63" spans="1:16" x14ac:dyDescent="0.2">
      <c r="A63" s="91" t="s">
        <v>125</v>
      </c>
      <c r="D63" s="458">
        <v>0</v>
      </c>
      <c r="F63" s="112">
        <f t="shared" si="9"/>
        <v>0</v>
      </c>
    </row>
    <row r="65" spans="1:16" s="119" customFormat="1" x14ac:dyDescent="0.2">
      <c r="A65" s="119" t="s">
        <v>85</v>
      </c>
      <c r="D65" s="120">
        <f>SUM(D49:D63)</f>
        <v>164.3</v>
      </c>
      <c r="F65" s="120">
        <f>SUM(F49:F63)</f>
        <v>40567.901234567893</v>
      </c>
      <c r="H65" s="119" t="s">
        <v>85</v>
      </c>
      <c r="K65" s="120">
        <f>SUM(K48:K63)</f>
        <v>24900625.199999999</v>
      </c>
      <c r="L65" s="120">
        <f t="shared" ref="L65:P65" si="12">SUM(L48:L63)</f>
        <v>145920.1</v>
      </c>
      <c r="M65" s="120">
        <f t="shared" si="12"/>
        <v>39818.6</v>
      </c>
      <c r="N65" s="120">
        <f t="shared" si="12"/>
        <v>27452.939282999996</v>
      </c>
      <c r="O65" s="120">
        <f t="shared" si="12"/>
        <v>321753.82049999997</v>
      </c>
      <c r="P65" s="120">
        <f t="shared" si="12"/>
        <v>87800.013000000006</v>
      </c>
    </row>
    <row r="68" spans="1:16" x14ac:dyDescent="0.2">
      <c r="A68" s="121" t="s">
        <v>126</v>
      </c>
    </row>
    <row r="70" spans="1:16" x14ac:dyDescent="0.2">
      <c r="A70" s="94" t="s">
        <v>127</v>
      </c>
    </row>
    <row r="72" spans="1:16" x14ac:dyDescent="0.2">
      <c r="A72" s="91" t="s">
        <v>88</v>
      </c>
      <c r="C72" s="112"/>
      <c r="D72" s="91" t="s">
        <v>89</v>
      </c>
      <c r="F72" s="112" t="s">
        <v>90</v>
      </c>
      <c r="I72" s="91" t="s">
        <v>450</v>
      </c>
      <c r="J72" s="91" t="s">
        <v>451</v>
      </c>
      <c r="K72" s="91" t="s">
        <v>452</v>
      </c>
    </row>
    <row r="73" spans="1:16" x14ac:dyDescent="0.2">
      <c r="A73" s="91" t="s">
        <v>98</v>
      </c>
      <c r="D73" s="458">
        <v>0</v>
      </c>
      <c r="F73" s="112">
        <f t="shared" ref="F73:F88" si="13">(D73*100)/0.405</f>
        <v>0</v>
      </c>
    </row>
    <row r="74" spans="1:16" x14ac:dyDescent="0.2">
      <c r="A74" s="91" t="s">
        <v>100</v>
      </c>
      <c r="D74" s="458">
        <v>0</v>
      </c>
      <c r="F74" s="112">
        <f t="shared" si="13"/>
        <v>0</v>
      </c>
    </row>
    <row r="75" spans="1:16" x14ac:dyDescent="0.2">
      <c r="A75" s="91" t="s">
        <v>101</v>
      </c>
      <c r="D75" s="458">
        <v>5.27</v>
      </c>
      <c r="F75" s="112">
        <f t="shared" si="13"/>
        <v>1301.2345679012344</v>
      </c>
      <c r="I75" s="240">
        <f>(+'Landcover Loading Rates'!V25)*F75</f>
        <v>1067.0123456790122</v>
      </c>
      <c r="J75" s="240">
        <f>(+'Landcover Loading Rates'!AA25)*F75</f>
        <v>442.41975308641975</v>
      </c>
      <c r="K75" s="240">
        <f>(+'Landcover Loading Rates'!Q25)*F75</f>
        <v>1716559.0338215723</v>
      </c>
      <c r="M75" s="424" t="s">
        <v>496</v>
      </c>
    </row>
    <row r="76" spans="1:16" x14ac:dyDescent="0.2">
      <c r="A76" s="91" t="s">
        <v>103</v>
      </c>
      <c r="D76" s="458">
        <v>2.79</v>
      </c>
      <c r="F76" s="112">
        <f t="shared" si="13"/>
        <v>688.8888888888888</v>
      </c>
      <c r="I76" s="240">
        <f>(+'Landcover Loading Rates'!V25)*F76</f>
        <v>564.8888888888888</v>
      </c>
      <c r="J76" s="240">
        <f>(+'Landcover Loading Rates'!AA25)*F76</f>
        <v>234.2222222222222</v>
      </c>
      <c r="K76" s="240">
        <f>(+'Landcover Loading Rates'!Q25)*F76</f>
        <v>908766.54731730302</v>
      </c>
    </row>
    <row r="77" spans="1:16" x14ac:dyDescent="0.2">
      <c r="A77" s="91" t="s">
        <v>105</v>
      </c>
      <c r="D77" s="458">
        <v>0.84</v>
      </c>
      <c r="F77" s="112">
        <f t="shared" si="13"/>
        <v>207.40740740740739</v>
      </c>
      <c r="I77" s="240">
        <f>(+'Landcover Loading Rates'!V26)*F77</f>
        <v>638.81481481481478</v>
      </c>
      <c r="J77" s="240">
        <f>(+'Landcover Loading Rates'!AA26)*F77</f>
        <v>138.96296296296296</v>
      </c>
      <c r="K77" s="240">
        <f>(+'Landcover Loading Rates'!Q26)*F77</f>
        <v>453994.45789811894</v>
      </c>
      <c r="M77" s="94" t="s">
        <v>486</v>
      </c>
      <c r="N77" s="456" t="s">
        <v>488</v>
      </c>
      <c r="O77" s="456" t="s">
        <v>487</v>
      </c>
    </row>
    <row r="78" spans="1:16" x14ac:dyDescent="0.2">
      <c r="A78" s="91" t="s">
        <v>107</v>
      </c>
      <c r="D78" s="458">
        <v>0.2</v>
      </c>
      <c r="F78" s="112">
        <f t="shared" si="13"/>
        <v>49.382716049382715</v>
      </c>
      <c r="I78" s="240">
        <f>(+'Landcover Loading Rates'!V27)*F78</f>
        <v>200.49382716049385</v>
      </c>
      <c r="J78" s="240">
        <f>(+'Landcover Loading Rates'!AA27)*F78</f>
        <v>42.469135802469133</v>
      </c>
      <c r="K78" s="240">
        <f>(+'Landcover Loading Rates'!Q27)*F78</f>
        <v>145851.5254438883</v>
      </c>
    </row>
    <row r="79" spans="1:16" x14ac:dyDescent="0.2">
      <c r="A79" s="91" t="s">
        <v>109</v>
      </c>
      <c r="D79" s="458">
        <v>0</v>
      </c>
      <c r="F79" s="112">
        <f t="shared" si="13"/>
        <v>0</v>
      </c>
      <c r="I79" s="240">
        <f>(+'Landcover Loading Rates'!V22)*F79</f>
        <v>0</v>
      </c>
      <c r="J79" s="240">
        <f>(+'Landcover Loading Rates'!AA22)*F79</f>
        <v>0</v>
      </c>
      <c r="K79" s="240">
        <f>(+'Landcover Loading Rates'!Q22)*F79</f>
        <v>0</v>
      </c>
      <c r="M79" s="91" t="s">
        <v>489</v>
      </c>
      <c r="N79" s="458">
        <v>21.6</v>
      </c>
      <c r="O79" s="457">
        <f>N79*3280.84</f>
        <v>70866.144000000015</v>
      </c>
    </row>
    <row r="80" spans="1:16" x14ac:dyDescent="0.2">
      <c r="A80" s="91" t="s">
        <v>111</v>
      </c>
      <c r="D80" s="458">
        <v>1.49</v>
      </c>
      <c r="F80" s="112">
        <f t="shared" si="13"/>
        <v>367.90123456790121</v>
      </c>
      <c r="I80" s="240">
        <f>(+'Landcover Loading Rates'!V17)*F80</f>
        <v>268.5679012345679</v>
      </c>
      <c r="J80" s="240">
        <f>(+'Landcover Loading Rates'!AA17)*F80</f>
        <v>95.654320987654316</v>
      </c>
      <c r="K80" s="240">
        <f>(+'Landcover Loading Rates'!Q17)*F80</f>
        <v>363806.09912887821</v>
      </c>
      <c r="M80" s="91" t="s">
        <v>490</v>
      </c>
      <c r="N80" s="458">
        <v>4.2699999999999996</v>
      </c>
      <c r="O80" s="457">
        <f t="shared" ref="O80:O81" si="14">N80*3280.84</f>
        <v>14009.186799999999</v>
      </c>
    </row>
    <row r="81" spans="1:15" x14ac:dyDescent="0.2">
      <c r="A81" s="91" t="s">
        <v>113</v>
      </c>
      <c r="D81" s="458">
        <v>0.02</v>
      </c>
      <c r="F81" s="112">
        <f t="shared" si="13"/>
        <v>4.9382716049382713</v>
      </c>
      <c r="I81" s="240">
        <f>(+'Landcover Loading Rates'!V17)*F81</f>
        <v>3.6049382716049378</v>
      </c>
      <c r="J81" s="240">
        <f>(+'Landcover Loading Rates'!AA17)*F81</f>
        <v>1.2839506172839505</v>
      </c>
      <c r="K81" s="240">
        <f>(+'Landcover Loading Rates'!Q17)*F81</f>
        <v>4883.3033440117888</v>
      </c>
      <c r="M81" s="91" t="s">
        <v>491</v>
      </c>
      <c r="N81" s="458">
        <v>17.329999999999998</v>
      </c>
      <c r="O81" s="457">
        <f t="shared" si="14"/>
        <v>56856.957199999997</v>
      </c>
    </row>
    <row r="82" spans="1:15" x14ac:dyDescent="0.2">
      <c r="A82" s="91" t="s">
        <v>115</v>
      </c>
      <c r="D82" s="458">
        <v>0.06</v>
      </c>
      <c r="F82" s="112">
        <f t="shared" si="13"/>
        <v>14.814814814814813</v>
      </c>
      <c r="I82" s="240">
        <f>(+'Landcover Loading Rates'!V17)*F82</f>
        <v>10.814814814814813</v>
      </c>
      <c r="J82" s="240">
        <f>(+'Landcover Loading Rates'!AA17)*F82</f>
        <v>3.8518518518518516</v>
      </c>
      <c r="K82" s="240">
        <f>(+'Landcover Loading Rates'!Q17)*F82</f>
        <v>14649.910032035365</v>
      </c>
    </row>
    <row r="83" spans="1:15" x14ac:dyDescent="0.2">
      <c r="A83" s="91" t="s">
        <v>117</v>
      </c>
      <c r="D83" s="458">
        <v>0.7</v>
      </c>
      <c r="F83" s="112">
        <f t="shared" si="13"/>
        <v>172.83950617283949</v>
      </c>
      <c r="I83" s="240">
        <f>(+'Landcover Loading Rates'!V17)*F83</f>
        <v>126.17283950617282</v>
      </c>
      <c r="J83" s="240">
        <f>(+'Landcover Loading Rates'!AA17)*F83</f>
        <v>44.938271604938272</v>
      </c>
      <c r="K83" s="240">
        <f>(+'Landcover Loading Rates'!Q17)*F83</f>
        <v>170915.61704041259</v>
      </c>
      <c r="M83" s="112" t="s">
        <v>492</v>
      </c>
    </row>
    <row r="84" spans="1:15" x14ac:dyDescent="0.2">
      <c r="A84" s="91" t="s">
        <v>118</v>
      </c>
      <c r="D84" s="458">
        <v>0.15</v>
      </c>
      <c r="F84" s="112">
        <f t="shared" si="13"/>
        <v>37.037037037037038</v>
      </c>
      <c r="I84" s="240">
        <f>(+'Landcover Loading Rates'!V17)*F84</f>
        <v>27.037037037037038</v>
      </c>
      <c r="J84" s="240">
        <f>(+'Landcover Loading Rates'!AA17)*F84</f>
        <v>9.6296296296296298</v>
      </c>
      <c r="K84" s="240">
        <f>(+'Landcover Loading Rates'!Q17)*F84</f>
        <v>36624.775080088417</v>
      </c>
    </row>
    <row r="85" spans="1:15" x14ac:dyDescent="0.2">
      <c r="A85" s="91" t="s">
        <v>120</v>
      </c>
      <c r="D85" s="458">
        <v>4.66</v>
      </c>
      <c r="F85" s="112">
        <f t="shared" si="13"/>
        <v>1150.6172839506173</v>
      </c>
      <c r="I85" s="240">
        <f>(+'Landcover Loading Rates'!V15)*F85</f>
        <v>4602.4691358024693</v>
      </c>
      <c r="J85" s="240">
        <f>(+'Landcover Loading Rates'!AA15)*F85</f>
        <v>1449.7777777777776</v>
      </c>
      <c r="K85" s="240">
        <f>(+'Landcover Loading Rates'!Q15)*F85</f>
        <v>1324561.6144337759</v>
      </c>
    </row>
    <row r="86" spans="1:15" x14ac:dyDescent="0.2">
      <c r="A86" s="91" t="s">
        <v>122</v>
      </c>
      <c r="D86" s="458">
        <v>1.2</v>
      </c>
      <c r="F86" s="112">
        <f t="shared" si="13"/>
        <v>296.2962962962963</v>
      </c>
      <c r="I86" s="240">
        <f>(+'Landcover Loading Rates'!V16)*F86</f>
        <v>2785.1851851851852</v>
      </c>
      <c r="J86" s="240">
        <f>(+'Landcover Loading Rates'!AA16)*F86</f>
        <v>758.51851851851859</v>
      </c>
      <c r="K86" s="240">
        <f>(+'Landcover Loading Rates'!Q16)*F86</f>
        <v>674110.34305972967</v>
      </c>
    </row>
    <row r="87" spans="1:15" x14ac:dyDescent="0.2">
      <c r="A87" s="91" t="s">
        <v>124</v>
      </c>
      <c r="D87" s="458">
        <v>0.06</v>
      </c>
      <c r="F87" s="112">
        <f t="shared" si="13"/>
        <v>14.814814814814813</v>
      </c>
      <c r="I87" s="240">
        <f>(+'Landcover Loading Rates'!V18)*F87</f>
        <v>14.814814814814813</v>
      </c>
      <c r="J87" s="240">
        <f>(+'Landcover Loading Rates'!AA18)*F87</f>
        <v>4</v>
      </c>
      <c r="K87" s="240">
        <f>(+'Landcover Loading Rates'!Q18)*F87</f>
        <v>14658.439962296185</v>
      </c>
    </row>
    <row r="88" spans="1:15" x14ac:dyDescent="0.2">
      <c r="A88" s="91" t="s">
        <v>125</v>
      </c>
      <c r="D88" s="458">
        <v>0.01</v>
      </c>
      <c r="F88" s="112">
        <f t="shared" si="13"/>
        <v>2.4691358024691357</v>
      </c>
      <c r="I88" s="240">
        <f>(+'Landcover Loading Rates'!V18)*F88</f>
        <v>2.4691358024691357</v>
      </c>
      <c r="J88" s="240">
        <f>(+'Landcover Loading Rates'!AA18)*F88</f>
        <v>0.66666666666666663</v>
      </c>
      <c r="K88" s="240">
        <f>(+'Landcover Loading Rates'!Q18)*F88</f>
        <v>2443.0733270493643</v>
      </c>
    </row>
    <row r="90" spans="1:15" x14ac:dyDescent="0.2">
      <c r="A90" s="119" t="s">
        <v>85</v>
      </c>
      <c r="B90" s="119"/>
      <c r="C90" s="119"/>
      <c r="D90" s="120">
        <f>SUM(D74:D88)</f>
        <v>17.45</v>
      </c>
      <c r="E90" s="119"/>
      <c r="F90" s="120">
        <f>SUM(F74:F88)</f>
        <v>4308.641975308642</v>
      </c>
      <c r="I90" s="120">
        <f>SUM(I74:I88)</f>
        <v>10312.345679012345</v>
      </c>
      <c r="J90" s="120">
        <f>SUM(J74:J88)</f>
        <v>3226.3950617283949</v>
      </c>
      <c r="K90" s="120">
        <f>SUM(K74:K88)</f>
        <v>5831824.7398891598</v>
      </c>
    </row>
    <row r="93" spans="1:15" x14ac:dyDescent="0.2">
      <c r="A93" s="91" t="s">
        <v>88</v>
      </c>
      <c r="D93" s="424" t="s">
        <v>470</v>
      </c>
      <c r="F93" s="91" t="s">
        <v>449</v>
      </c>
    </row>
    <row r="94" spans="1:15" x14ac:dyDescent="0.2">
      <c r="A94" s="91" t="s">
        <v>98</v>
      </c>
      <c r="D94" s="460">
        <v>0</v>
      </c>
      <c r="F94" s="96">
        <f>((D94/1000000)*100)/0.405</f>
        <v>0</v>
      </c>
    </row>
    <row r="95" spans="1:15" x14ac:dyDescent="0.2">
      <c r="A95" s="91" t="s">
        <v>100</v>
      </c>
      <c r="D95" s="460">
        <v>0</v>
      </c>
      <c r="F95" s="96">
        <f t="shared" ref="F95:F109" si="15">((D95/1000000)*100)/0.405</f>
        <v>0</v>
      </c>
    </row>
    <row r="96" spans="1:15" x14ac:dyDescent="0.2">
      <c r="A96" s="91" t="s">
        <v>101</v>
      </c>
      <c r="D96" s="460">
        <v>0</v>
      </c>
      <c r="F96" s="96">
        <f t="shared" si="15"/>
        <v>0</v>
      </c>
      <c r="I96" s="240">
        <f>(+'Landcover Loading Rates'!V25)*F96</f>
        <v>0</v>
      </c>
      <c r="J96" s="240">
        <f>(+'Landcover Loading Rates'!AA25)*F96</f>
        <v>0</v>
      </c>
      <c r="K96" s="240">
        <f>(+'Landcover Loading Rates'!Q25)*F96</f>
        <v>0</v>
      </c>
    </row>
    <row r="97" spans="1:13" x14ac:dyDescent="0.2">
      <c r="A97" s="91" t="s">
        <v>103</v>
      </c>
      <c r="D97" s="460">
        <v>0</v>
      </c>
      <c r="F97" s="96">
        <f t="shared" si="15"/>
        <v>0</v>
      </c>
      <c r="I97" s="240">
        <f>(+'Landcover Loading Rates'!V25)*F97</f>
        <v>0</v>
      </c>
      <c r="J97" s="240">
        <f>(+'Landcover Loading Rates'!AA25)*F97</f>
        <v>0</v>
      </c>
      <c r="K97" s="240">
        <f>(+'Landcover Loading Rates'!Q25)*F97</f>
        <v>0</v>
      </c>
    </row>
    <row r="98" spans="1:13" x14ac:dyDescent="0.2">
      <c r="A98" s="91" t="s">
        <v>105</v>
      </c>
      <c r="D98" s="460">
        <v>0</v>
      </c>
      <c r="F98" s="96">
        <f t="shared" si="15"/>
        <v>0</v>
      </c>
      <c r="I98" s="240">
        <f>(+'Landcover Loading Rates'!V26)*F98</f>
        <v>0</v>
      </c>
      <c r="J98" s="240">
        <f>(+'Landcover Loading Rates'!AA26)*F98</f>
        <v>0</v>
      </c>
      <c r="K98" s="240">
        <f>(+'Landcover Loading Rates'!Q26)*F98</f>
        <v>0</v>
      </c>
    </row>
    <row r="99" spans="1:13" x14ac:dyDescent="0.2">
      <c r="A99" s="91" t="s">
        <v>107</v>
      </c>
      <c r="D99" s="460">
        <v>0</v>
      </c>
      <c r="F99" s="96">
        <f t="shared" si="15"/>
        <v>0</v>
      </c>
      <c r="I99" s="240">
        <f>(+'Landcover Loading Rates'!V27)*F99</f>
        <v>0</v>
      </c>
      <c r="J99" s="240">
        <f>(+'Landcover Loading Rates'!AA27)*F99</f>
        <v>0</v>
      </c>
      <c r="K99" s="240">
        <f>(+'Landcover Loading Rates'!Q27)*F99</f>
        <v>0</v>
      </c>
      <c r="M99" s="424" t="s">
        <v>471</v>
      </c>
    </row>
    <row r="100" spans="1:13" x14ac:dyDescent="0.2">
      <c r="A100" s="91" t="s">
        <v>109</v>
      </c>
      <c r="D100" s="460">
        <v>0</v>
      </c>
      <c r="F100" s="96">
        <f t="shared" si="15"/>
        <v>0</v>
      </c>
      <c r="I100" s="240">
        <f>(+'Landcover Loading Rates'!V22)*F100</f>
        <v>0</v>
      </c>
      <c r="J100" s="240">
        <f>(+'Landcover Loading Rates'!AA22)*F100</f>
        <v>0</v>
      </c>
      <c r="K100" s="240">
        <f>(+'Landcover Loading Rates'!Q22)*F100</f>
        <v>0</v>
      </c>
      <c r="M100" s="424" t="s">
        <v>485</v>
      </c>
    </row>
    <row r="101" spans="1:13" x14ac:dyDescent="0.2">
      <c r="A101" s="91" t="s">
        <v>111</v>
      </c>
      <c r="D101" s="460">
        <v>0</v>
      </c>
      <c r="F101" s="96">
        <f t="shared" si="15"/>
        <v>0</v>
      </c>
      <c r="I101" s="240">
        <f>(+'Landcover Loading Rates'!V17)*F101</f>
        <v>0</v>
      </c>
      <c r="J101" s="240">
        <f>(+'Landcover Loading Rates'!AA17)*F101</f>
        <v>0</v>
      </c>
      <c r="K101" s="240">
        <f>(+'Landcover Loading Rates'!Q17)*F101</f>
        <v>0</v>
      </c>
    </row>
    <row r="102" spans="1:13" x14ac:dyDescent="0.2">
      <c r="A102" s="91" t="s">
        <v>113</v>
      </c>
      <c r="D102" s="460">
        <v>0</v>
      </c>
      <c r="F102" s="96">
        <f t="shared" si="15"/>
        <v>0</v>
      </c>
      <c r="I102" s="240">
        <f>(+'Landcover Loading Rates'!V17)*F102</f>
        <v>0</v>
      </c>
      <c r="J102" s="240">
        <f>(+'Landcover Loading Rates'!AA17)*F102</f>
        <v>0</v>
      </c>
      <c r="K102" s="240">
        <f>(+'Landcover Loading Rates'!Q17)*F102</f>
        <v>0</v>
      </c>
    </row>
    <row r="103" spans="1:13" x14ac:dyDescent="0.2">
      <c r="A103" s="91" t="s">
        <v>115</v>
      </c>
      <c r="D103" s="460">
        <v>0</v>
      </c>
      <c r="F103" s="96">
        <f t="shared" si="15"/>
        <v>0</v>
      </c>
      <c r="I103" s="240">
        <f>(+'Landcover Loading Rates'!V17)*F103</f>
        <v>0</v>
      </c>
      <c r="J103" s="240">
        <f>(+'Landcover Loading Rates'!AA17)*F103</f>
        <v>0</v>
      </c>
      <c r="K103" s="240">
        <f>(+'Landcover Loading Rates'!Q17)*F103</f>
        <v>0</v>
      </c>
    </row>
    <row r="104" spans="1:13" x14ac:dyDescent="0.2">
      <c r="A104" s="91" t="s">
        <v>117</v>
      </c>
      <c r="D104" s="460">
        <v>0</v>
      </c>
      <c r="F104" s="96">
        <f t="shared" si="15"/>
        <v>0</v>
      </c>
      <c r="I104" s="240">
        <f>(+'Landcover Loading Rates'!V17)*F104</f>
        <v>0</v>
      </c>
      <c r="J104" s="240">
        <f>(+'Landcover Loading Rates'!AA17)*F104</f>
        <v>0</v>
      </c>
      <c r="K104" s="240">
        <f>(+'Landcover Loading Rates'!Q17)*F104</f>
        <v>0</v>
      </c>
    </row>
    <row r="105" spans="1:13" x14ac:dyDescent="0.2">
      <c r="A105" s="91" t="s">
        <v>118</v>
      </c>
      <c r="D105" s="460">
        <v>0</v>
      </c>
      <c r="F105" s="96">
        <f t="shared" si="15"/>
        <v>0</v>
      </c>
      <c r="I105" s="240">
        <f>(+'Landcover Loading Rates'!V17)*F105</f>
        <v>0</v>
      </c>
      <c r="J105" s="240">
        <f>(+'Landcover Loading Rates'!AA17)*F105</f>
        <v>0</v>
      </c>
      <c r="K105" s="240">
        <f>(+'Landcover Loading Rates'!Q17)*F105</f>
        <v>0</v>
      </c>
    </row>
    <row r="106" spans="1:13" x14ac:dyDescent="0.2">
      <c r="A106" s="91" t="s">
        <v>120</v>
      </c>
      <c r="D106" s="460">
        <v>0</v>
      </c>
      <c r="F106" s="96">
        <f t="shared" si="15"/>
        <v>0</v>
      </c>
      <c r="I106" s="240">
        <f>(+'Landcover Loading Rates'!V15)*F106</f>
        <v>0</v>
      </c>
      <c r="J106" s="240">
        <f>(+'Landcover Loading Rates'!AA15)*F106</f>
        <v>0</v>
      </c>
      <c r="K106" s="240">
        <f>(+'Landcover Loading Rates'!Q15)*F106</f>
        <v>0</v>
      </c>
    </row>
    <row r="107" spans="1:13" x14ac:dyDescent="0.2">
      <c r="A107" s="91" t="s">
        <v>122</v>
      </c>
      <c r="D107" s="460">
        <v>0</v>
      </c>
      <c r="F107" s="96">
        <f t="shared" si="15"/>
        <v>0</v>
      </c>
      <c r="I107" s="240">
        <f>(+'Landcover Loading Rates'!V16)*F107</f>
        <v>0</v>
      </c>
      <c r="J107" s="240">
        <f>(+'Landcover Loading Rates'!AA16)*F107</f>
        <v>0</v>
      </c>
      <c r="K107" s="240">
        <f>(+'Landcover Loading Rates'!Q16)*F107</f>
        <v>0</v>
      </c>
    </row>
    <row r="108" spans="1:13" x14ac:dyDescent="0.2">
      <c r="A108" s="91" t="s">
        <v>124</v>
      </c>
      <c r="D108" s="460">
        <v>0</v>
      </c>
      <c r="F108" s="96">
        <f t="shared" si="15"/>
        <v>0</v>
      </c>
      <c r="I108" s="240">
        <f>(+'Landcover Loading Rates'!V18)*F108</f>
        <v>0</v>
      </c>
      <c r="J108" s="240">
        <f>(+'Landcover Loading Rates'!AA18)*F108</f>
        <v>0</v>
      </c>
      <c r="K108" s="240">
        <f>(+'Landcover Loading Rates'!Q18)*F108</f>
        <v>0</v>
      </c>
    </row>
    <row r="109" spans="1:13" x14ac:dyDescent="0.2">
      <c r="A109" s="91" t="s">
        <v>125</v>
      </c>
      <c r="D109" s="460">
        <v>0</v>
      </c>
      <c r="F109" s="96">
        <f t="shared" si="15"/>
        <v>0</v>
      </c>
      <c r="I109" s="240">
        <f>(+'Landcover Loading Rates'!V18)*F109</f>
        <v>0</v>
      </c>
      <c r="J109" s="240">
        <f>(+'Landcover Loading Rates'!AA18)*F109</f>
        <v>0</v>
      </c>
      <c r="K109" s="240">
        <f>(+'Landcover Loading Rates'!Q18)*F109</f>
        <v>0</v>
      </c>
    </row>
    <row r="111" spans="1:13" s="119" customFormat="1" x14ac:dyDescent="0.2">
      <c r="A111" s="119" t="s">
        <v>85</v>
      </c>
      <c r="D111" s="119">
        <f>SUM(D94:D109)</f>
        <v>0</v>
      </c>
      <c r="F111" s="402">
        <f>SUM(F94:F109)</f>
        <v>0</v>
      </c>
      <c r="I111" s="120">
        <f>SUM(I96:I109)</f>
        <v>0</v>
      </c>
      <c r="J111" s="120">
        <f>SUM(J96:J109)</f>
        <v>0</v>
      </c>
      <c r="K111" s="120">
        <f>SUM(K96:K109)</f>
        <v>0</v>
      </c>
    </row>
    <row r="114" spans="1:11" s="94" customFormat="1" x14ac:dyDescent="0.2">
      <c r="A114" s="94" t="s">
        <v>472</v>
      </c>
      <c r="I114" s="425">
        <f>I90+I111</f>
        <v>10312.345679012345</v>
      </c>
      <c r="J114" s="425">
        <f t="shared" ref="J114:K114" si="16">J90+J111</f>
        <v>3226.3950617283949</v>
      </c>
      <c r="K114" s="425">
        <f t="shared" si="16"/>
        <v>5831824.7398891598</v>
      </c>
    </row>
  </sheetData>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B51"/>
  <sheetViews>
    <sheetView zoomScale="80" zoomScaleNormal="80" workbookViewId="0">
      <selection activeCell="M4" sqref="M4"/>
    </sheetView>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7</v>
      </c>
      <c r="B1" s="6"/>
      <c r="C1" s="6"/>
      <c r="D1" s="6"/>
      <c r="E1" s="6"/>
      <c r="F1" s="6"/>
      <c r="G1" s="6"/>
      <c r="H1" s="6"/>
      <c r="I1" s="6"/>
      <c r="J1" s="6"/>
    </row>
    <row r="2" spans="1:28" s="347" customFormat="1" ht="12.75" x14ac:dyDescent="0.2">
      <c r="A2" s="535" t="str">
        <f>CONCATENATE("Watershed: ",'MMW Output'!B2)</f>
        <v>Watershed: SampleShed</v>
      </c>
      <c r="B2" s="535"/>
      <c r="C2" s="7"/>
      <c r="D2" s="7"/>
      <c r="E2" s="7"/>
      <c r="F2" s="7"/>
      <c r="G2" s="7"/>
      <c r="H2" s="7"/>
      <c r="I2" s="7"/>
      <c r="J2" s="7"/>
      <c r="K2" s="7"/>
      <c r="L2" s="7"/>
      <c r="M2" s="7"/>
      <c r="N2" s="9"/>
      <c r="O2" s="7"/>
      <c r="P2" s="8"/>
      <c r="Q2" s="7"/>
      <c r="R2" s="7"/>
      <c r="S2" s="7"/>
      <c r="T2" s="7"/>
      <c r="U2" s="7"/>
      <c r="V2" s="7"/>
      <c r="W2" s="7"/>
      <c r="X2" s="7"/>
      <c r="Y2" s="7"/>
      <c r="Z2" s="7"/>
      <c r="AA2" s="7"/>
      <c r="AB2" s="7"/>
    </row>
    <row r="3" spans="1:28" s="347" customFormat="1" ht="12.75" x14ac:dyDescent="0.2">
      <c r="A3" s="535" t="str">
        <f>CONCATENATE("Year: ",'MMW Output'!C14)</f>
        <v>Year: 2018</v>
      </c>
      <c r="B3" s="535"/>
      <c r="C3" s="7"/>
      <c r="D3" s="9"/>
      <c r="E3" s="9"/>
      <c r="F3" s="9"/>
      <c r="G3" s="90"/>
      <c r="H3" s="7"/>
      <c r="I3" s="7"/>
      <c r="J3" s="7"/>
      <c r="K3" s="7"/>
      <c r="L3" s="7"/>
      <c r="M3" s="7"/>
      <c r="N3" s="9"/>
      <c r="O3" s="7"/>
      <c r="P3" s="8"/>
      <c r="Q3" s="7"/>
      <c r="R3" s="7"/>
      <c r="S3" s="7"/>
      <c r="T3" s="7"/>
      <c r="U3" s="7"/>
      <c r="V3" s="7"/>
      <c r="W3" s="7"/>
      <c r="X3" s="7"/>
      <c r="Y3" s="7"/>
      <c r="Z3" s="7"/>
      <c r="AA3" s="7"/>
      <c r="AB3" s="7"/>
    </row>
    <row r="4" spans="1:28" x14ac:dyDescent="0.25">
      <c r="A4" s="535" t="str">
        <f>CONCATENATE("Source File: ",'MMW Output'!$C$12)</f>
        <v>Source File: User Specified</v>
      </c>
      <c r="B4" s="535"/>
      <c r="D4" s="9"/>
      <c r="E4" s="9"/>
      <c r="F4" s="9"/>
      <c r="G4" s="10"/>
      <c r="I4" s="7">
        <f>COLUMN(LoadRates[TSS_LoadRate_lbPerAcPerY])</f>
        <v>17</v>
      </c>
    </row>
    <row r="5" spans="1:28" x14ac:dyDescent="0.25">
      <c r="A5" s="11"/>
      <c r="D5" s="9"/>
      <c r="E5" s="9"/>
      <c r="F5" s="9"/>
      <c r="G5" s="9"/>
    </row>
    <row r="6" spans="1:28" ht="18" x14ac:dyDescent="0.25">
      <c r="A6" s="12" t="s">
        <v>519</v>
      </c>
      <c r="C6" s="13"/>
      <c r="D6" s="14"/>
      <c r="E6" s="14"/>
      <c r="F6" s="14"/>
      <c r="G6" s="13"/>
    </row>
    <row r="8" spans="1:28" x14ac:dyDescent="0.25">
      <c r="B8" s="15"/>
      <c r="C8" s="16"/>
      <c r="D8" s="16"/>
      <c r="E8" s="16"/>
      <c r="F8" s="16"/>
      <c r="G8" s="16"/>
      <c r="H8" s="16"/>
      <c r="I8" s="16"/>
      <c r="J8" s="16"/>
      <c r="K8" s="16"/>
      <c r="L8" s="16"/>
      <c r="M8" s="16"/>
    </row>
    <row r="9" spans="1:28" x14ac:dyDescent="0.25">
      <c r="B9" s="564" t="s">
        <v>8</v>
      </c>
      <c r="C9" s="564"/>
      <c r="D9" s="564"/>
      <c r="E9" s="564"/>
      <c r="F9" s="564"/>
      <c r="G9" s="564"/>
      <c r="H9" s="564"/>
      <c r="I9" s="564"/>
      <c r="J9" s="564"/>
      <c r="K9" s="564"/>
      <c r="L9" s="564"/>
      <c r="M9" s="564"/>
      <c r="O9" s="565" t="s">
        <v>9</v>
      </c>
      <c r="P9" s="566"/>
      <c r="Q9" s="566"/>
      <c r="R9" s="566"/>
      <c r="S9" s="566"/>
      <c r="T9" s="566"/>
      <c r="U9" s="566"/>
      <c r="V9" s="566"/>
      <c r="W9" s="566"/>
      <c r="X9" s="566"/>
      <c r="Y9" s="566"/>
      <c r="Z9" s="566"/>
      <c r="AA9" s="566"/>
      <c r="AB9" s="566"/>
    </row>
    <row r="11" spans="1:28" ht="16.5" thickBot="1" x14ac:dyDescent="0.3">
      <c r="B11" s="17"/>
      <c r="C11" s="18"/>
      <c r="D11" s="18"/>
      <c r="E11" s="18"/>
      <c r="F11" s="18"/>
      <c r="G11" s="18"/>
      <c r="H11" s="18"/>
      <c r="I11" s="18"/>
      <c r="J11" s="18"/>
      <c r="K11" s="18"/>
      <c r="L11" s="18"/>
      <c r="M11" s="19"/>
      <c r="O11" s="567" t="s">
        <v>10</v>
      </c>
      <c r="P11" s="568"/>
      <c r="Q11" s="569"/>
      <c r="R11" s="20"/>
      <c r="S11" s="567" t="s">
        <v>11</v>
      </c>
      <c r="T11" s="568"/>
      <c r="U11" s="568"/>
      <c r="V11" s="569"/>
      <c r="W11" s="20"/>
      <c r="X11" s="567" t="s">
        <v>12</v>
      </c>
      <c r="Y11" s="568"/>
      <c r="Z11" s="568"/>
      <c r="AA11" s="569"/>
    </row>
    <row r="12" spans="1:28" ht="39" x14ac:dyDescent="0.25">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x14ac:dyDescent="0.25">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2.75" x14ac:dyDescent="0.2">
      <c r="A14" s="360"/>
      <c r="B14" s="397" t="s">
        <v>13</v>
      </c>
      <c r="C14" s="398" t="s">
        <v>422</v>
      </c>
      <c r="D14" s="398" t="s">
        <v>423</v>
      </c>
      <c r="E14" s="398" t="s">
        <v>424</v>
      </c>
      <c r="F14" s="398" t="s">
        <v>396</v>
      </c>
      <c r="G14" s="398" t="s">
        <v>425</v>
      </c>
      <c r="H14" s="398" t="s">
        <v>426</v>
      </c>
      <c r="I14" s="398" t="s">
        <v>441</v>
      </c>
      <c r="J14" s="398" t="s">
        <v>427</v>
      </c>
      <c r="K14" s="398" t="s">
        <v>428</v>
      </c>
      <c r="L14" s="398" t="s">
        <v>442</v>
      </c>
      <c r="M14" s="398" t="s">
        <v>429</v>
      </c>
      <c r="N14" s="397" t="s">
        <v>443</v>
      </c>
      <c r="O14" s="397" t="s">
        <v>431</v>
      </c>
      <c r="P14" s="397" t="s">
        <v>432</v>
      </c>
      <c r="Q14" s="397" t="s">
        <v>430</v>
      </c>
      <c r="R14" s="397" t="s">
        <v>444</v>
      </c>
      <c r="S14" s="397" t="s">
        <v>433</v>
      </c>
      <c r="T14" s="397" t="s">
        <v>434</v>
      </c>
      <c r="U14" s="397" t="s">
        <v>435</v>
      </c>
      <c r="V14" s="397" t="s">
        <v>436</v>
      </c>
      <c r="W14" s="397" t="s">
        <v>445</v>
      </c>
      <c r="X14" s="397" t="s">
        <v>437</v>
      </c>
      <c r="Y14" s="397" t="s">
        <v>438</v>
      </c>
      <c r="Z14" s="397" t="s">
        <v>439</v>
      </c>
      <c r="AA14" s="399" t="s">
        <v>440</v>
      </c>
      <c r="AB14" s="360"/>
    </row>
    <row r="15" spans="1:28" x14ac:dyDescent="0.25">
      <c r="A15" s="558" t="s">
        <v>34</v>
      </c>
      <c r="B15" s="362" t="s">
        <v>35</v>
      </c>
      <c r="C15" s="363">
        <f>+'MMW Output'!C20</f>
        <v>1666.6666666666665</v>
      </c>
      <c r="D15" s="364" t="e">
        <f>+'MMW Output'!#REF!</f>
        <v>#REF!</v>
      </c>
      <c r="E15" s="364" t="e">
        <f>+'MMW Output'!#REF!</f>
        <v>#REF!</v>
      </c>
      <c r="F15" s="364"/>
      <c r="G15" s="364">
        <f>+'MMW Output'!D20</f>
        <v>136.61540549999998</v>
      </c>
      <c r="H15" s="364" t="e">
        <f>+'MMW Output'!#REF!</f>
        <v>#REF!</v>
      </c>
      <c r="I15" s="364"/>
      <c r="J15" s="364">
        <f>+'MMW Output'!E20</f>
        <v>1861.4610000000002</v>
      </c>
      <c r="K15" s="364" t="e">
        <f>+'MMW Output'!#REF!</f>
        <v>#REF!</v>
      </c>
      <c r="L15" s="364"/>
      <c r="M15" s="364">
        <f>+'MMW Output'!F20</f>
        <v>687.51900000000001</v>
      </c>
      <c r="N15" s="365"/>
      <c r="O15" s="366">
        <f t="shared" ref="O15:O30" si="0">IF(C15=0,0,(G15*2000/C15))</f>
        <v>163.9384866</v>
      </c>
      <c r="P15" s="366">
        <f>IF(C15=0,0,'Stream Bank Loading Rates'!C$145)</f>
        <v>987.23630706025574</v>
      </c>
      <c r="Q15" s="367">
        <f>SUM(O15:P15)</f>
        <v>1151.1747936602558</v>
      </c>
      <c r="R15" s="368"/>
      <c r="S15" s="366">
        <f t="shared" ref="S15:S30" si="1">IF(C15=0,0,ROUND((J15/C15),2))</f>
        <v>1.1200000000000001</v>
      </c>
      <c r="T15" s="369">
        <f>IF(C15=0,0,ROUND('Stream Bank Loading Rates'!$K$145,2))</f>
        <v>0.61</v>
      </c>
      <c r="U15" s="370">
        <f>IF(C15=0,0,ROUND('Farm Animal Loading rates'!$D$33,2))</f>
        <v>2.27</v>
      </c>
      <c r="V15" s="371">
        <f>SUM(S15:U15)</f>
        <v>4</v>
      </c>
      <c r="W15" s="368"/>
      <c r="X15" s="366">
        <f t="shared" ref="X15:X30" si="2">IF(C15=0,0,ROUND((M15/C15),2))</f>
        <v>0.41</v>
      </c>
      <c r="Y15" s="366">
        <f>IF(C15=0,0,ROUND('Stream Bank Loading Rates'!T$145,2))</f>
        <v>0.25</v>
      </c>
      <c r="Z15" s="370">
        <f>IF(C15=0,0,ROUND('Farm Animal Loading rates'!$E$33,2))</f>
        <v>0.6</v>
      </c>
      <c r="AA15" s="39">
        <f>SUM(X15:Z15)</f>
        <v>1.2599999999999998</v>
      </c>
      <c r="AB15" s="40" t="s">
        <v>35</v>
      </c>
    </row>
    <row r="16" spans="1:28" x14ac:dyDescent="0.25">
      <c r="A16" s="559"/>
      <c r="B16" s="372" t="s">
        <v>36</v>
      </c>
      <c r="C16" s="373">
        <f>+'MMW Output'!C21</f>
        <v>491.35802469135797</v>
      </c>
      <c r="D16" s="374" t="e">
        <f>+'MMW Output'!#REF!</f>
        <v>#REF!</v>
      </c>
      <c r="E16" s="374" t="e">
        <f>+'MMW Output'!#REF!</f>
        <v>#REF!</v>
      </c>
      <c r="F16" s="374"/>
      <c r="G16" s="374">
        <f>+'MMW Output'!D21</f>
        <v>316.40658524999998</v>
      </c>
      <c r="H16" s="374" t="e">
        <f>+'MMW Output'!#REF!</f>
        <v>#REF!</v>
      </c>
      <c r="I16" s="374"/>
      <c r="J16" s="374">
        <f>+'MMW Output'!E21</f>
        <v>3203.424</v>
      </c>
      <c r="K16" s="374" t="e">
        <f>+'MMW Output'!#REF!</f>
        <v>#REF!</v>
      </c>
      <c r="L16" s="374"/>
      <c r="M16" s="374">
        <f>+'MMW Output'!F21</f>
        <v>838.12050000000011</v>
      </c>
      <c r="N16" s="375"/>
      <c r="O16" s="376">
        <f t="shared" si="0"/>
        <v>1287.8861007663318</v>
      </c>
      <c r="P16" s="376">
        <f>IF(C16=0,0,'Stream Bank Loading Rates'!C$145)</f>
        <v>987.23630706025574</v>
      </c>
      <c r="Q16" s="377">
        <f t="shared" ref="Q16:Q30" si="3">SUM(O16:P16)</f>
        <v>2275.1224078265877</v>
      </c>
      <c r="R16" s="378"/>
      <c r="S16" s="376">
        <f t="shared" si="1"/>
        <v>6.52</v>
      </c>
      <c r="T16" s="379">
        <f>IF(C16=0,0,ROUND('Stream Bank Loading Rates'!$K$145,2))</f>
        <v>0.61</v>
      </c>
      <c r="U16" s="380">
        <f>IF(C16=0,0,ROUND('Farm Animal Loading rates'!$D$33,2))</f>
        <v>2.27</v>
      </c>
      <c r="V16" s="381">
        <f t="shared" ref="V16:V30" si="4">SUM(S16:U16)</f>
        <v>9.4</v>
      </c>
      <c r="W16" s="378"/>
      <c r="X16" s="376">
        <f t="shared" si="2"/>
        <v>1.71</v>
      </c>
      <c r="Y16" s="366">
        <f>IF(C16=0,0,ROUND('Stream Bank Loading Rates'!T$145,2))</f>
        <v>0.25</v>
      </c>
      <c r="Z16" s="380">
        <f>IF(C16=0,0,ROUND('Farm Animal Loading rates'!$E$33,2))</f>
        <v>0.6</v>
      </c>
      <c r="AA16" s="382">
        <f t="shared" ref="AA16:AA30" si="5">SUM(X16:Z16)</f>
        <v>2.56</v>
      </c>
      <c r="AB16" s="41" t="s">
        <v>36</v>
      </c>
    </row>
    <row r="17" spans="1:28" x14ac:dyDescent="0.25">
      <c r="A17" s="559"/>
      <c r="B17" s="383" t="s">
        <v>37</v>
      </c>
      <c r="C17" s="384">
        <f>+'MMW Output'!C22</f>
        <v>9730.8641975308637</v>
      </c>
      <c r="D17" s="385" t="e">
        <f>+'MMW Output'!#REF!</f>
        <v>#REF!</v>
      </c>
      <c r="E17" s="385" t="e">
        <f>+'MMW Output'!#REF!</f>
        <v>#REF!</v>
      </c>
      <c r="F17" s="385"/>
      <c r="G17" s="385">
        <f>+'MMW Output'!D22</f>
        <v>7.9434022500000001</v>
      </c>
      <c r="H17" s="385" t="e">
        <f>+'MMW Output'!#REF!</f>
        <v>#REF!</v>
      </c>
      <c r="I17" s="385"/>
      <c r="J17" s="385">
        <f>+'MMW Output'!E22</f>
        <v>1136.8980000000001</v>
      </c>
      <c r="K17" s="385" t="e">
        <f>+'MMW Output'!#REF!</f>
        <v>#REF!</v>
      </c>
      <c r="L17" s="385"/>
      <c r="M17" s="385">
        <f>+'MMW Output'!F22</f>
        <v>73.647000000000006</v>
      </c>
      <c r="N17" s="386"/>
      <c r="O17" s="376">
        <f t="shared" si="0"/>
        <v>1.6326201021314388</v>
      </c>
      <c r="P17" s="376">
        <f>IF(C17=0,0,'Stream Bank Loading Rates'!C$145)</f>
        <v>987.23630706025574</v>
      </c>
      <c r="Q17" s="387">
        <f t="shared" si="3"/>
        <v>988.86892716238719</v>
      </c>
      <c r="R17" s="388"/>
      <c r="S17" s="376">
        <f t="shared" si="1"/>
        <v>0.12</v>
      </c>
      <c r="T17" s="379">
        <f>IF(C17=0,0,ROUND('Stream Bank Loading Rates'!$K$145,2))</f>
        <v>0.61</v>
      </c>
      <c r="U17" s="380" t="s">
        <v>38</v>
      </c>
      <c r="V17" s="389">
        <f>SUM(S17:U17)</f>
        <v>0.73</v>
      </c>
      <c r="W17" s="388"/>
      <c r="X17" s="376">
        <f t="shared" si="2"/>
        <v>0.01</v>
      </c>
      <c r="Y17" s="366">
        <f>IF(C17=0,0,ROUND('Stream Bank Loading Rates'!T$145,2))</f>
        <v>0.25</v>
      </c>
      <c r="Z17" s="380" t="s">
        <v>38</v>
      </c>
      <c r="AA17" s="390">
        <f t="shared" si="5"/>
        <v>0.26</v>
      </c>
      <c r="AB17" s="42" t="s">
        <v>37</v>
      </c>
    </row>
    <row r="18" spans="1:28" x14ac:dyDescent="0.25">
      <c r="A18" s="559"/>
      <c r="B18" s="372" t="s">
        <v>39</v>
      </c>
      <c r="C18" s="373">
        <f>+'MMW Output'!C23</f>
        <v>656.79012345679007</v>
      </c>
      <c r="D18" s="374" t="e">
        <f>+'MMW Output'!#REF!</f>
        <v>#REF!</v>
      </c>
      <c r="E18" s="374" t="e">
        <f>+'MMW Output'!#REF!</f>
        <v>#REF!</v>
      </c>
      <c r="F18" s="374"/>
      <c r="G18" s="374">
        <f>+'MMW Output'!D23</f>
        <v>0.72522449999999994</v>
      </c>
      <c r="H18" s="374" t="e">
        <f>+'MMW Output'!#REF!</f>
        <v>#REF!</v>
      </c>
      <c r="I18" s="374"/>
      <c r="J18" s="374">
        <f>+'MMW Output'!E23</f>
        <v>254.45700000000002</v>
      </c>
      <c r="K18" s="374" t="e">
        <f>+'MMW Output'!#REF!</f>
        <v>#REF!</v>
      </c>
      <c r="L18" s="374"/>
      <c r="M18" s="374">
        <f>+'MMW Output'!F23</f>
        <v>14.552999999999999</v>
      </c>
      <c r="N18" s="375"/>
      <c r="O18" s="376">
        <f t="shared" si="0"/>
        <v>2.208390394736842</v>
      </c>
      <c r="P18" s="376">
        <f>IF(C18=0,0,'Stream Bank Loading Rates'!C$145)</f>
        <v>987.23630706025574</v>
      </c>
      <c r="Q18" s="377">
        <f t="shared" si="3"/>
        <v>989.44469745499259</v>
      </c>
      <c r="R18" s="378"/>
      <c r="S18" s="376">
        <f t="shared" si="1"/>
        <v>0.39</v>
      </c>
      <c r="T18" s="379">
        <f>IF(C18=0,0,ROUND('Stream Bank Loading Rates'!$K$145,2))</f>
        <v>0.61</v>
      </c>
      <c r="U18" s="391" t="s">
        <v>38</v>
      </c>
      <c r="V18" s="381">
        <f t="shared" si="4"/>
        <v>1</v>
      </c>
      <c r="W18" s="378"/>
      <c r="X18" s="376">
        <f t="shared" si="2"/>
        <v>0.02</v>
      </c>
      <c r="Y18" s="366">
        <f>IF(C18=0,0,ROUND('Stream Bank Loading Rates'!T$145,2))</f>
        <v>0.25</v>
      </c>
      <c r="Z18" s="391" t="s">
        <v>38</v>
      </c>
      <c r="AA18" s="382">
        <f t="shared" si="5"/>
        <v>0.27</v>
      </c>
      <c r="AB18" s="41" t="s">
        <v>39</v>
      </c>
    </row>
    <row r="19" spans="1:28" x14ac:dyDescent="0.25">
      <c r="A19" s="559"/>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x14ac:dyDescent="0.25">
      <c r="A20" s="559"/>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x14ac:dyDescent="0.25">
      <c r="A21" s="559"/>
      <c r="B21" s="383" t="s">
        <v>42</v>
      </c>
      <c r="C21" s="384">
        <f>+'MMW Output'!C26</f>
        <v>66.666666666666657</v>
      </c>
      <c r="D21" s="385" t="e">
        <f>+'MMW Output'!#REF!</f>
        <v>#REF!</v>
      </c>
      <c r="E21" s="385" t="e">
        <f>+'MMW Output'!#REF!</f>
        <v>#REF!</v>
      </c>
      <c r="F21" s="385"/>
      <c r="G21" s="385">
        <f>+'MMW Output'!D26</f>
        <v>1.7845065</v>
      </c>
      <c r="H21" s="385" t="e">
        <f>+'MMW Output'!#REF!</f>
        <v>#REF!</v>
      </c>
      <c r="I21" s="385"/>
      <c r="J21" s="385">
        <f>+'MMW Output'!E26</f>
        <v>67.6935</v>
      </c>
      <c r="K21" s="385" t="e">
        <f>+'MMW Output'!#REF!</f>
        <v>#REF!</v>
      </c>
      <c r="L21" s="385"/>
      <c r="M21" s="385">
        <f>+'MMW Output'!F26</f>
        <v>4.6305000000000005</v>
      </c>
      <c r="N21" s="386"/>
      <c r="O21" s="376">
        <f t="shared" si="0"/>
        <v>53.535195000000009</v>
      </c>
      <c r="P21" s="376">
        <f>IF(C21=0,0,'Stream Bank Loading Rates'!C$145)</f>
        <v>987.23630706025574</v>
      </c>
      <c r="Q21" s="387">
        <f t="shared" si="3"/>
        <v>1040.7715020602557</v>
      </c>
      <c r="R21" s="388"/>
      <c r="S21" s="376">
        <f t="shared" si="1"/>
        <v>1.02</v>
      </c>
      <c r="T21" s="379">
        <f>IF(C21=0,0,ROUND('Stream Bank Loading Rates'!$K$145,2))</f>
        <v>0.61</v>
      </c>
      <c r="U21" s="380" t="s">
        <v>38</v>
      </c>
      <c r="V21" s="389">
        <f t="shared" si="4"/>
        <v>1.63</v>
      </c>
      <c r="W21" s="388"/>
      <c r="X21" s="376">
        <f t="shared" si="2"/>
        <v>7.0000000000000007E-2</v>
      </c>
      <c r="Y21" s="366">
        <f>IF(C21=0,0,ROUND('Stream Bank Loading Rates'!T$145,2))</f>
        <v>0.25</v>
      </c>
      <c r="Z21" s="380" t="s">
        <v>38</v>
      </c>
      <c r="AA21" s="390">
        <f t="shared" si="5"/>
        <v>0.32</v>
      </c>
      <c r="AB21" s="42" t="s">
        <v>42</v>
      </c>
    </row>
    <row r="22" spans="1:28" x14ac:dyDescent="0.25">
      <c r="A22" s="559"/>
      <c r="B22" s="372" t="s">
        <v>43</v>
      </c>
      <c r="C22" s="373">
        <f>+'MMW Output'!C27</f>
        <v>222.2222222222222</v>
      </c>
      <c r="D22" s="374" t="e">
        <f>+'MMW Output'!#REF!</f>
        <v>#REF!</v>
      </c>
      <c r="E22" s="374" t="e">
        <f>+'MMW Output'!#REF!</f>
        <v>#REF!</v>
      </c>
      <c r="F22" s="374"/>
      <c r="G22" s="374">
        <f>+'MMW Output'!D27</f>
        <v>5.4794250000000003E-2</v>
      </c>
      <c r="H22" s="374" t="e">
        <f>+'MMW Output'!#REF!</f>
        <v>#REF!</v>
      </c>
      <c r="I22" s="374"/>
      <c r="J22" s="374">
        <f>+'MMW Output'!E27</f>
        <v>117.08550000000001</v>
      </c>
      <c r="K22" s="374" t="e">
        <f>+'MMW Output'!#REF!</f>
        <v>#REF!</v>
      </c>
      <c r="L22" s="374"/>
      <c r="M22" s="374">
        <f>+'MMW Output'!F27</f>
        <v>3.9690000000000003</v>
      </c>
      <c r="N22" s="375"/>
      <c r="O22" s="376">
        <f t="shared" si="0"/>
        <v>0.49314825000000012</v>
      </c>
      <c r="P22" s="376">
        <f>IF(C22=0,0,'Stream Bank Loading Rates'!C$145)</f>
        <v>987.23630706025574</v>
      </c>
      <c r="Q22" s="377">
        <f t="shared" si="3"/>
        <v>987.72945531025573</v>
      </c>
      <c r="R22" s="378"/>
      <c r="S22" s="376">
        <f t="shared" si="1"/>
        <v>0.53</v>
      </c>
      <c r="T22" s="379">
        <f>IF(C22=0,0,ROUND('Stream Bank Loading Rates'!$K$145,2))</f>
        <v>0.61</v>
      </c>
      <c r="U22" s="391" t="s">
        <v>38</v>
      </c>
      <c r="V22" s="381">
        <f t="shared" si="4"/>
        <v>1.1400000000000001</v>
      </c>
      <c r="W22" s="378"/>
      <c r="X22" s="376">
        <f t="shared" si="2"/>
        <v>0.02</v>
      </c>
      <c r="Y22" s="366">
        <f>IF(C22=0,0,ROUND('Stream Bank Loading Rates'!T$145,2))</f>
        <v>0.25</v>
      </c>
      <c r="Z22" s="391" t="s">
        <v>38</v>
      </c>
      <c r="AA22" s="382">
        <f t="shared" si="5"/>
        <v>0.27</v>
      </c>
      <c r="AB22" s="41" t="s">
        <v>43</v>
      </c>
    </row>
    <row r="23" spans="1:28" x14ac:dyDescent="0.25">
      <c r="A23" s="559"/>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x14ac:dyDescent="0.25">
      <c r="A24" s="559"/>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x14ac:dyDescent="0.25">
      <c r="A25" s="559"/>
      <c r="B25" s="383" t="s">
        <v>46</v>
      </c>
      <c r="C25" s="384">
        <f>+'MMW Output'!C30</f>
        <v>23372.839506172837</v>
      </c>
      <c r="D25" s="385" t="e">
        <f>+'MMW Output'!#REF!</f>
        <v>#REF!</v>
      </c>
      <c r="E25" s="385" t="e">
        <f>+'MMW Output'!#REF!</f>
        <v>#REF!</v>
      </c>
      <c r="F25" s="385"/>
      <c r="G25" s="385">
        <f>+'MMW Output'!D30</f>
        <v>49.872138749999998</v>
      </c>
      <c r="H25" s="385" t="e">
        <f>+'MMW Output'!#REF!</f>
        <v>#REF!</v>
      </c>
      <c r="I25" s="385"/>
      <c r="J25" s="385">
        <f>+'MMW Output'!E30</f>
        <v>2449.5345000000002</v>
      </c>
      <c r="K25" s="385" t="e">
        <f>+'MMW Output'!#REF!</f>
        <v>#REF!</v>
      </c>
      <c r="L25" s="385"/>
      <c r="M25" s="385">
        <f>+'MMW Output'!F30</f>
        <v>263.4975</v>
      </c>
      <c r="N25" s="386"/>
      <c r="O25" s="376">
        <f t="shared" si="0"/>
        <v>4.2675293035601101</v>
      </c>
      <c r="P25" s="376">
        <f>IF(C25=0,0,'Stream Bank Loading Rates'!E131)</f>
        <v>1314.9097168022024</v>
      </c>
      <c r="Q25" s="387">
        <f t="shared" si="3"/>
        <v>1319.1772461057626</v>
      </c>
      <c r="R25" s="388"/>
      <c r="S25" s="376">
        <f t="shared" si="1"/>
        <v>0.1</v>
      </c>
      <c r="T25" s="379">
        <f>IF(C25=0,0,ROUND('Stream Bank Loading Rates'!M131,2))</f>
        <v>0.72</v>
      </c>
      <c r="U25" s="380" t="s">
        <v>38</v>
      </c>
      <c r="V25" s="389">
        <f t="shared" si="4"/>
        <v>0.82</v>
      </c>
      <c r="W25" s="388"/>
      <c r="X25" s="376">
        <f t="shared" si="2"/>
        <v>0.01</v>
      </c>
      <c r="Y25" s="376">
        <f>IF(C25=0,0,ROUND('Stream Bank Loading Rates'!V131,2))</f>
        <v>0.33</v>
      </c>
      <c r="Z25" s="380" t="s">
        <v>38</v>
      </c>
      <c r="AA25" s="390">
        <f t="shared" si="5"/>
        <v>0.34</v>
      </c>
      <c r="AB25" s="42" t="s">
        <v>46</v>
      </c>
    </row>
    <row r="26" spans="1:28" x14ac:dyDescent="0.25">
      <c r="A26" s="559"/>
      <c r="B26" s="372" t="s">
        <v>47</v>
      </c>
      <c r="C26" s="373">
        <f>+'MMW Output'!C31</f>
        <v>3395.0617283950614</v>
      </c>
      <c r="D26" s="374" t="e">
        <f>+'MMW Output'!#REF!</f>
        <v>#REF!</v>
      </c>
      <c r="E26" s="374" t="e">
        <f>+'MMW Output'!#REF!</f>
        <v>#REF!</v>
      </c>
      <c r="F26" s="374"/>
      <c r="G26" s="374">
        <f>+'MMW Output'!D31</f>
        <v>111.58049700000001</v>
      </c>
      <c r="H26" s="374" t="e">
        <f>+'MMW Output'!#REF!</f>
        <v>#REF!</v>
      </c>
      <c r="I26" s="374"/>
      <c r="J26" s="374">
        <f>+'MMW Output'!E31</f>
        <v>4522.6755000000003</v>
      </c>
      <c r="K26" s="374" t="e">
        <f>+'MMW Output'!#REF!</f>
        <v>#REF!</v>
      </c>
      <c r="L26" s="374"/>
      <c r="M26" s="374">
        <f>+'MMW Output'!F31</f>
        <v>462.82950000000005</v>
      </c>
      <c r="N26" s="375"/>
      <c r="O26" s="376">
        <f t="shared" si="0"/>
        <v>65.731056414545463</v>
      </c>
      <c r="P26" s="376">
        <f>IF(C26=0,0,'Stream Bank Loading Rates'!E132)</f>
        <v>2123.1707941656709</v>
      </c>
      <c r="Q26" s="377">
        <f t="shared" si="3"/>
        <v>2188.9018505802164</v>
      </c>
      <c r="R26" s="378"/>
      <c r="S26" s="376">
        <f t="shared" si="1"/>
        <v>1.33</v>
      </c>
      <c r="T26" s="379">
        <f>IF(C26=0,0,ROUND('Stream Bank Loading Rates'!M132,2))</f>
        <v>1.75</v>
      </c>
      <c r="U26" s="391" t="s">
        <v>38</v>
      </c>
      <c r="V26" s="381">
        <f t="shared" si="4"/>
        <v>3.08</v>
      </c>
      <c r="W26" s="378"/>
      <c r="X26" s="376">
        <f t="shared" si="2"/>
        <v>0.14000000000000001</v>
      </c>
      <c r="Y26" s="376">
        <f>IF(C26=0,0,ROUND('Stream Bank Loading Rates'!V132,2))</f>
        <v>0.53</v>
      </c>
      <c r="Z26" s="391" t="s">
        <v>38</v>
      </c>
      <c r="AA26" s="382">
        <f t="shared" si="5"/>
        <v>0.67</v>
      </c>
      <c r="AB26" s="41" t="s">
        <v>47</v>
      </c>
    </row>
    <row r="27" spans="1:28" x14ac:dyDescent="0.25">
      <c r="A27" s="559"/>
      <c r="B27" s="383" t="s">
        <v>48</v>
      </c>
      <c r="C27" s="384">
        <f>+'MMW Output'!C32</f>
        <v>965.43209876543199</v>
      </c>
      <c r="D27" s="385" t="e">
        <f>+'MMW Output'!#REF!</f>
        <v>#REF!</v>
      </c>
      <c r="E27" s="385" t="e">
        <f>+'MMW Output'!#REF!</f>
        <v>#REF!</v>
      </c>
      <c r="F27" s="385"/>
      <c r="G27" s="385">
        <f>+'MMW Output'!D32</f>
        <v>31.739211000000005</v>
      </c>
      <c r="H27" s="385" t="e">
        <f>+'MMW Output'!#REF!</f>
        <v>#REF!</v>
      </c>
      <c r="I27" s="385"/>
      <c r="J27" s="385">
        <f>+'MMW Output'!E32</f>
        <v>1286.3969999999999</v>
      </c>
      <c r="K27" s="385" t="e">
        <f>+'MMW Output'!#REF!</f>
        <v>#REF!</v>
      </c>
      <c r="L27" s="385"/>
      <c r="M27" s="385">
        <f>+'MMW Output'!F32</f>
        <v>131.63850000000002</v>
      </c>
      <c r="N27" s="386"/>
      <c r="O27" s="376">
        <f t="shared" si="0"/>
        <v>65.751306675191827</v>
      </c>
      <c r="P27" s="376">
        <f>IF(C27=0,0,'Stream Bank Loading Rates'!E133)</f>
        <v>2887.7420835635467</v>
      </c>
      <c r="Q27" s="387">
        <f t="shared" si="3"/>
        <v>2953.4933902387384</v>
      </c>
      <c r="R27" s="388"/>
      <c r="S27" s="376">
        <f t="shared" si="1"/>
        <v>1.33</v>
      </c>
      <c r="T27" s="379">
        <f>IF(C27=0,0,ROUND('Stream Bank Loading Rates'!M133,2))</f>
        <v>2.73</v>
      </c>
      <c r="U27" s="380" t="s">
        <v>38</v>
      </c>
      <c r="V27" s="389">
        <f t="shared" si="4"/>
        <v>4.0600000000000005</v>
      </c>
      <c r="W27" s="388"/>
      <c r="X27" s="376">
        <f t="shared" si="2"/>
        <v>0.14000000000000001</v>
      </c>
      <c r="Y27" s="376">
        <f>IF(C27=0,0,ROUND('Stream Bank Loading Rates'!V133,2))</f>
        <v>0.72</v>
      </c>
      <c r="Z27" s="380" t="s">
        <v>38</v>
      </c>
      <c r="AA27" s="390">
        <f t="shared" si="5"/>
        <v>0.86</v>
      </c>
      <c r="AB27" s="42" t="s">
        <v>48</v>
      </c>
    </row>
    <row r="28" spans="1:28" x14ac:dyDescent="0.25">
      <c r="A28" s="559"/>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x14ac:dyDescent="0.25">
      <c r="A29" s="559"/>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6.5" thickBot="1" x14ac:dyDescent="0.3">
      <c r="A30" s="560"/>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6.25" x14ac:dyDescent="0.25">
      <c r="A32" s="561"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x14ac:dyDescent="0.25">
      <c r="A33" s="562"/>
      <c r="B33" s="49" t="s">
        <v>25</v>
      </c>
      <c r="C33" s="50"/>
      <c r="D33" s="51" t="s">
        <v>27</v>
      </c>
      <c r="E33" s="51" t="s">
        <v>28</v>
      </c>
      <c r="F33" s="51"/>
      <c r="G33" s="51" t="s">
        <v>28</v>
      </c>
      <c r="H33" s="52"/>
      <c r="I33" s="52"/>
      <c r="J33" s="51" t="s">
        <v>29</v>
      </c>
      <c r="K33" s="51" t="s">
        <v>29</v>
      </c>
      <c r="L33" s="51"/>
      <c r="M33" s="53" t="s">
        <v>29</v>
      </c>
      <c r="Y33" s="9"/>
      <c r="Z33" s="9"/>
      <c r="AA33" s="9"/>
      <c r="AB33" s="9"/>
    </row>
    <row r="34" spans="1:28" x14ac:dyDescent="0.25">
      <c r="A34" s="562"/>
      <c r="B34" s="54" t="s">
        <v>53</v>
      </c>
      <c r="C34" s="55" t="str">
        <f>+'MMW Output'!C36</f>
        <v xml:space="preserve"> </v>
      </c>
      <c r="D34" s="55" t="e">
        <f>+'MMW Output'!#REF!</f>
        <v>#REF!</v>
      </c>
      <c r="E34" s="55" t="e">
        <f>+'MMW Output'!#REF!</f>
        <v>#REF!</v>
      </c>
      <c r="F34" s="55"/>
      <c r="G34" s="56">
        <f>+'MMW Output'!D36</f>
        <v>0</v>
      </c>
      <c r="H34" s="56" t="e">
        <f>+'MMW Output'!#REF!</f>
        <v>#REF!</v>
      </c>
      <c r="I34" s="56"/>
      <c r="J34" s="56">
        <f>+'MMW Output'!E36</f>
        <v>4895.7615000000005</v>
      </c>
      <c r="K34" s="56" t="e">
        <f>+'MMW Output'!#REF!</f>
        <v>#REF!</v>
      </c>
      <c r="L34" s="56"/>
      <c r="M34" s="57">
        <f>+'MMW Output'!F36</f>
        <v>1294.1144999999999</v>
      </c>
      <c r="Y34" s="9"/>
      <c r="Z34" s="9"/>
      <c r="AA34" s="9"/>
      <c r="AB34" s="9"/>
    </row>
    <row r="35" spans="1:28" x14ac:dyDescent="0.25">
      <c r="A35" s="562"/>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5">
      <c r="A36" s="560"/>
      <c r="B36" s="62" t="s">
        <v>66</v>
      </c>
      <c r="C36" s="63" t="str">
        <f>+'MMW Output'!C38</f>
        <v xml:space="preserve"> </v>
      </c>
      <c r="D36" s="64" t="e">
        <f>+'MMW Output'!#REF!</f>
        <v>#REF!</v>
      </c>
      <c r="E36" s="64" t="e">
        <f>+'MMW Output'!#REF!</f>
        <v>#REF!</v>
      </c>
      <c r="F36" s="64"/>
      <c r="G36" s="65">
        <f>+'MMW Output'!D38</f>
        <v>26700.070477499998</v>
      </c>
      <c r="H36" s="65" t="e">
        <f>+'MMW Output'!#REF!</f>
        <v>#REF!</v>
      </c>
      <c r="I36" s="65"/>
      <c r="J36" s="65">
        <f>+'MMW Output'!E38</f>
        <v>33246.99</v>
      </c>
      <c r="K36" s="65" t="e">
        <f>+'MMW Output'!#REF!</f>
        <v>#REF!</v>
      </c>
      <c r="L36" s="65"/>
      <c r="M36" s="66">
        <f>+'MMW Output'!F38</f>
        <v>13291.74</v>
      </c>
      <c r="P36" s="7"/>
      <c r="Q36" s="67"/>
    </row>
    <row r="37" spans="1:28" x14ac:dyDescent="0.25">
      <c r="A37" s="68"/>
      <c r="B37" s="69" t="s">
        <v>55</v>
      </c>
      <c r="C37" s="70"/>
      <c r="D37" s="71"/>
      <c r="E37" s="71"/>
      <c r="F37" s="71"/>
      <c r="G37" s="72">
        <v>0</v>
      </c>
      <c r="H37" s="72"/>
      <c r="I37" s="72"/>
      <c r="J37" s="72">
        <f>+'MMW Output'!E39</f>
        <v>132221.06099999999</v>
      </c>
      <c r="K37" s="72"/>
      <c r="L37" s="72"/>
      <c r="M37" s="73">
        <f>+'MMW Output'!F39</f>
        <v>2404.5525000000002</v>
      </c>
      <c r="P37" s="7"/>
    </row>
    <row r="38" spans="1:28" x14ac:dyDescent="0.25">
      <c r="A38" s="74"/>
      <c r="B38" s="75" t="s">
        <v>56</v>
      </c>
      <c r="C38" s="76"/>
      <c r="D38" s="77"/>
      <c r="E38" s="77"/>
      <c r="F38" s="77"/>
      <c r="G38" s="78">
        <v>0</v>
      </c>
      <c r="H38" s="78"/>
      <c r="I38" s="78"/>
      <c r="J38" s="65">
        <f>+'MMW Output'!E40</f>
        <v>121109.625</v>
      </c>
      <c r="K38" s="78"/>
      <c r="L38" s="78"/>
      <c r="M38" s="66">
        <f>+'MMW Output'!F40</f>
        <v>67820.949000000008</v>
      </c>
      <c r="O38" s="9"/>
      <c r="P38" s="9"/>
      <c r="Q38" s="9"/>
      <c r="R38" s="9"/>
      <c r="S38" s="9"/>
      <c r="T38" s="9"/>
      <c r="U38" s="9"/>
      <c r="V38" s="9"/>
      <c r="W38" s="9"/>
      <c r="X38" s="9"/>
      <c r="Y38" s="9"/>
      <c r="Z38" s="9"/>
      <c r="AA38" s="9"/>
      <c r="AB38" s="9"/>
    </row>
    <row r="39" spans="1:28" x14ac:dyDescent="0.25">
      <c r="A39" s="68"/>
      <c r="B39" s="79" t="s">
        <v>57</v>
      </c>
      <c r="C39" s="80"/>
      <c r="D39" s="81"/>
      <c r="E39" s="81"/>
      <c r="F39" s="81"/>
      <c r="G39" s="82">
        <v>0</v>
      </c>
      <c r="H39" s="82"/>
      <c r="I39" s="82"/>
      <c r="J39" s="82">
        <f>+'MMW Output'!E41</f>
        <v>10658.308499999999</v>
      </c>
      <c r="K39" s="82"/>
      <c r="L39" s="82"/>
      <c r="M39" s="83">
        <f>+'MMW Output'!F41</f>
        <v>0</v>
      </c>
      <c r="P39" s="7"/>
    </row>
    <row r="40" spans="1:28" x14ac:dyDescent="0.25">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5">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5">
      <c r="P42" s="7"/>
      <c r="AB42" s="9"/>
    </row>
    <row r="43" spans="1:28" ht="17.100000000000001" customHeight="1" x14ac:dyDescent="0.25">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x14ac:dyDescent="0.25">
      <c r="A44" s="495"/>
      <c r="B44" s="563" t="s">
        <v>67</v>
      </c>
      <c r="C44" s="563"/>
      <c r="D44" s="563"/>
      <c r="E44" s="563"/>
      <c r="F44" s="563"/>
      <c r="G44" s="563"/>
      <c r="H44" s="563"/>
      <c r="I44" s="563"/>
      <c r="J44" s="563"/>
      <c r="K44" s="563"/>
      <c r="L44" s="563"/>
      <c r="M44" s="563"/>
      <c r="N44" s="563"/>
      <c r="O44" s="563"/>
      <c r="P44" s="563"/>
      <c r="Q44" s="563"/>
      <c r="R44" s="563"/>
      <c r="S44" s="563"/>
      <c r="T44" s="563"/>
      <c r="U44" s="563"/>
      <c r="V44" s="563"/>
      <c r="W44" s="563"/>
      <c r="X44" s="563"/>
      <c r="Y44" s="563"/>
      <c r="Z44" s="563"/>
      <c r="AA44" s="563"/>
      <c r="AB44" s="495"/>
    </row>
    <row r="45" spans="1:28" s="342" customFormat="1" ht="33" customHeight="1" x14ac:dyDescent="0.25">
      <c r="A45" s="495"/>
      <c r="B45" s="563" t="s">
        <v>68</v>
      </c>
      <c r="C45" s="563"/>
      <c r="D45" s="563"/>
      <c r="E45" s="563"/>
      <c r="F45" s="563"/>
      <c r="G45" s="563"/>
      <c r="H45" s="563"/>
      <c r="I45" s="563"/>
      <c r="J45" s="563"/>
      <c r="K45" s="563"/>
      <c r="L45" s="563"/>
      <c r="M45" s="563"/>
      <c r="N45" s="563"/>
      <c r="O45" s="563"/>
      <c r="P45" s="563"/>
      <c r="Q45" s="563"/>
      <c r="R45" s="563"/>
      <c r="S45" s="563"/>
      <c r="T45" s="563"/>
      <c r="U45" s="563"/>
      <c r="V45" s="563"/>
      <c r="W45" s="563"/>
      <c r="X45" s="563"/>
      <c r="Y45" s="563"/>
      <c r="Z45" s="563"/>
      <c r="AA45" s="563"/>
      <c r="AB45" s="495"/>
    </row>
    <row r="46" spans="1:28" x14ac:dyDescent="0.25">
      <c r="B46" s="86" t="s">
        <v>55</v>
      </c>
      <c r="C46" s="87" t="str">
        <f>+'MMW Output'!C39</f>
        <v xml:space="preserve"> </v>
      </c>
      <c r="D46" s="87" t="e">
        <f>+'MMW Output'!#REF!</f>
        <v>#REF!</v>
      </c>
      <c r="E46" s="87" t="e">
        <f>+'MMW Output'!#REF!</f>
        <v>#REF!</v>
      </c>
      <c r="F46" s="87"/>
      <c r="G46" s="87">
        <f>+'MMW Output'!D39</f>
        <v>0</v>
      </c>
      <c r="H46" s="87" t="e">
        <f>+'MMW Output'!#REF!</f>
        <v>#REF!</v>
      </c>
      <c r="I46" s="87"/>
      <c r="J46" s="87">
        <f>+'MMW Output'!E39</f>
        <v>132221.06099999999</v>
      </c>
      <c r="K46" s="87" t="e">
        <f>+'MMW Output'!#REF!</f>
        <v>#REF!</v>
      </c>
      <c r="L46" s="87"/>
      <c r="M46" s="87">
        <f>+'MMW Output'!F39</f>
        <v>2404.5525000000002</v>
      </c>
    </row>
    <row r="47" spans="1:28" x14ac:dyDescent="0.25">
      <c r="B47" s="86" t="s">
        <v>56</v>
      </c>
      <c r="C47" s="87" t="str">
        <f>+'MMW Output'!C40</f>
        <v xml:space="preserve"> </v>
      </c>
      <c r="D47" s="87" t="e">
        <f>+'MMW Output'!#REF!</f>
        <v>#REF!</v>
      </c>
      <c r="E47" s="87" t="e">
        <f>+'MMW Output'!#REF!</f>
        <v>#REF!</v>
      </c>
      <c r="F47" s="87"/>
      <c r="G47" s="87">
        <f>+'MMW Output'!D40</f>
        <v>0</v>
      </c>
      <c r="H47" s="87" t="e">
        <f>+'MMW Output'!#REF!</f>
        <v>#REF!</v>
      </c>
      <c r="I47" s="87"/>
      <c r="J47" s="87">
        <f>+'MMW Output'!E40</f>
        <v>121109.625</v>
      </c>
      <c r="K47" s="87" t="e">
        <f>+'MMW Output'!#REF!</f>
        <v>#REF!</v>
      </c>
      <c r="L47" s="87"/>
      <c r="M47" s="87">
        <f>+'MMW Output'!F40</f>
        <v>67820.949000000008</v>
      </c>
    </row>
    <row r="48" spans="1:28" ht="16.5" thickBot="1" x14ac:dyDescent="0.3">
      <c r="B48" s="88" t="s">
        <v>57</v>
      </c>
      <c r="C48" s="87" t="str">
        <f>+'MMW Output'!C41</f>
        <v xml:space="preserve"> </v>
      </c>
      <c r="D48" s="87" t="e">
        <f>+'MMW Output'!#REF!</f>
        <v>#REF!</v>
      </c>
      <c r="E48" s="87" t="e">
        <f>+'MMW Output'!#REF!</f>
        <v>#REF!</v>
      </c>
      <c r="F48" s="87"/>
      <c r="G48" s="87">
        <f>+'MMW Output'!D41</f>
        <v>0</v>
      </c>
      <c r="H48" s="87" t="e">
        <f>+'MMW Output'!#REF!</f>
        <v>#REF!</v>
      </c>
      <c r="I48" s="87"/>
      <c r="J48" s="87">
        <f>+'MMW Output'!E41</f>
        <v>10658.308499999999</v>
      </c>
      <c r="K48" s="87" t="e">
        <f>+'MMW Output'!#REF!</f>
        <v>#REF!</v>
      </c>
      <c r="L48" s="87"/>
      <c r="M48" s="87">
        <f>+'MMW Output'!F41</f>
        <v>0</v>
      </c>
    </row>
    <row r="49" spans="2:17" ht="18" x14ac:dyDescent="0.25">
      <c r="B49" s="89"/>
      <c r="C49" s="9"/>
      <c r="D49" s="9"/>
      <c r="E49" s="9"/>
      <c r="F49" s="9"/>
      <c r="G49" s="9"/>
      <c r="H49" s="9"/>
      <c r="I49" s="9"/>
      <c r="J49" s="9"/>
      <c r="K49" s="9"/>
      <c r="L49" s="9"/>
      <c r="M49" s="9"/>
    </row>
    <row r="50" spans="2:17" x14ac:dyDescent="0.25">
      <c r="P50" s="7"/>
      <c r="Q50" s="8"/>
    </row>
    <row r="51" spans="2:17" ht="18" x14ac:dyDescent="0.25">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H36"/>
  <sheetViews>
    <sheetView zoomScale="80" zoomScaleNormal="80" workbookViewId="0">
      <pane ySplit="5" topLeftCell="A19" activePane="bottomLeft" state="frozen"/>
      <selection pane="bottomLeft" activeCell="D43" sqref="D43"/>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5.75" x14ac:dyDescent="0.25">
      <c r="A1" s="92" t="s">
        <v>7</v>
      </c>
      <c r="B1" s="92"/>
      <c r="C1" s="122"/>
    </row>
    <row r="2" spans="1:8" x14ac:dyDescent="0.2">
      <c r="A2" s="91" t="str">
        <f>CONCATENATE("Watershed: ",'MMW Output'!B2)</f>
        <v>Watershed: SampleShed</v>
      </c>
    </row>
    <row r="3" spans="1:8" x14ac:dyDescent="0.2">
      <c r="A3" s="91" t="str">
        <f>CONCATENATE("Year: ",'MMW Output'!C14)</f>
        <v>Year: 2018</v>
      </c>
    </row>
    <row r="5" spans="1:8" ht="15.75" x14ac:dyDescent="0.25">
      <c r="A5" s="571" t="s">
        <v>128</v>
      </c>
      <c r="B5" s="571"/>
      <c r="C5" s="571"/>
      <c r="D5" s="571"/>
      <c r="E5" s="571"/>
      <c r="F5" s="571"/>
      <c r="G5" s="123"/>
    </row>
    <row r="6" spans="1:8" x14ac:dyDescent="0.2">
      <c r="A6" s="572" t="s">
        <v>129</v>
      </c>
      <c r="B6" s="572"/>
      <c r="C6" s="572"/>
      <c r="D6" s="572"/>
      <c r="E6" s="572"/>
      <c r="F6" s="572"/>
      <c r="G6" s="572"/>
      <c r="H6" s="572"/>
    </row>
    <row r="9" spans="1:8" s="496" customFormat="1" ht="27.95" customHeight="1" x14ac:dyDescent="0.2">
      <c r="A9" s="570" t="s">
        <v>130</v>
      </c>
      <c r="B9" s="570"/>
      <c r="C9" s="570"/>
      <c r="D9" s="570"/>
      <c r="E9" s="570"/>
      <c r="F9" s="570"/>
      <c r="G9" s="570"/>
      <c r="H9" s="570"/>
    </row>
    <row r="11" spans="1:8" x14ac:dyDescent="0.2">
      <c r="B11" s="94"/>
    </row>
    <row r="12" spans="1:8" ht="25.5" x14ac:dyDescent="0.2">
      <c r="B12" s="125" t="s">
        <v>131</v>
      </c>
      <c r="C12" s="126"/>
      <c r="D12" s="127" t="s">
        <v>19</v>
      </c>
      <c r="E12" s="127" t="s">
        <v>21</v>
      </c>
    </row>
    <row r="13" spans="1:8" x14ac:dyDescent="0.2">
      <c r="C13" s="128" t="s">
        <v>132</v>
      </c>
      <c r="D13" s="129">
        <f>+'MMW Output'!E36</f>
        <v>4895.7615000000005</v>
      </c>
      <c r="E13" s="129">
        <f>+'MMW Output'!F36</f>
        <v>1294.1144999999999</v>
      </c>
      <c r="F13" s="130" t="s">
        <v>133</v>
      </c>
      <c r="G13" s="573" t="s">
        <v>610</v>
      </c>
      <c r="H13" s="574"/>
    </row>
    <row r="14" spans="1:8" x14ac:dyDescent="0.2">
      <c r="F14" s="131"/>
      <c r="G14" s="575"/>
      <c r="H14" s="576"/>
    </row>
    <row r="15" spans="1:8" x14ac:dyDescent="0.2">
      <c r="B15" s="94" t="s">
        <v>134</v>
      </c>
      <c r="F15" s="131"/>
      <c r="G15" s="577"/>
      <c r="H15" s="578"/>
    </row>
    <row r="16" spans="1:8" x14ac:dyDescent="0.2">
      <c r="C16" s="132" t="s">
        <v>13</v>
      </c>
      <c r="D16" s="133" t="s">
        <v>135</v>
      </c>
      <c r="F16" s="131"/>
      <c r="G16" s="134"/>
      <c r="H16" s="134"/>
    </row>
    <row r="17" spans="1:8" x14ac:dyDescent="0.2">
      <c r="B17" s="135"/>
      <c r="C17" s="128" t="s">
        <v>99</v>
      </c>
      <c r="D17" s="129">
        <f>+'MMW Output'!C20</f>
        <v>1666.6666666666665</v>
      </c>
      <c r="G17" s="136"/>
      <c r="H17" s="136"/>
    </row>
    <row r="18" spans="1:8" x14ac:dyDescent="0.2">
      <c r="B18" s="135"/>
      <c r="C18" s="137" t="s">
        <v>36</v>
      </c>
      <c r="D18" s="138">
        <f>+'MMW Output'!C21</f>
        <v>491.35802469135797</v>
      </c>
    </row>
    <row r="19" spans="1:8" x14ac:dyDescent="0.2">
      <c r="B19" s="579" t="s">
        <v>136</v>
      </c>
      <c r="C19" s="579"/>
      <c r="D19" s="579"/>
      <c r="E19" s="579"/>
      <c r="F19" s="579"/>
      <c r="G19" s="579"/>
    </row>
    <row r="20" spans="1:8" x14ac:dyDescent="0.2">
      <c r="D20" s="139"/>
    </row>
    <row r="22" spans="1:8" ht="27.95" customHeight="1" x14ac:dyDescent="0.2">
      <c r="A22" s="580" t="s">
        <v>137</v>
      </c>
      <c r="B22" s="580"/>
      <c r="C22" s="580"/>
      <c r="D22" s="580"/>
      <c r="E22" s="580"/>
      <c r="F22" s="580"/>
      <c r="G22" s="580"/>
      <c r="H22" s="580"/>
    </row>
    <row r="23" spans="1:8" x14ac:dyDescent="0.2">
      <c r="C23" s="140"/>
      <c r="D23" s="141"/>
      <c r="E23" s="142"/>
    </row>
    <row r="24" spans="1:8" x14ac:dyDescent="0.2">
      <c r="C24" s="143" t="s">
        <v>138</v>
      </c>
      <c r="D24" s="144">
        <f>+D17+D18</f>
        <v>2158.0246913580245</v>
      </c>
      <c r="E24" s="145" t="s">
        <v>139</v>
      </c>
      <c r="F24" s="91" t="str">
        <f>CONCATENATE("[ ",ROUND(D17,2)," acres + ",ROUND(D18,2)," acres"," ]")</f>
        <v>[ 1666.67 acres + 491.36 acres ]</v>
      </c>
    </row>
    <row r="25" spans="1:8" x14ac:dyDescent="0.2">
      <c r="C25" s="140"/>
      <c r="D25" s="141"/>
      <c r="E25" s="142"/>
    </row>
    <row r="26" spans="1:8" x14ac:dyDescent="0.2">
      <c r="C26" s="140"/>
      <c r="D26" s="141"/>
      <c r="E26" s="142"/>
    </row>
    <row r="27" spans="1:8" ht="27.95" customHeight="1" x14ac:dyDescent="0.2">
      <c r="A27" s="570" t="s">
        <v>140</v>
      </c>
      <c r="B27" s="570"/>
      <c r="C27" s="570"/>
      <c r="D27" s="570"/>
      <c r="E27" s="570"/>
      <c r="F27" s="570"/>
      <c r="G27" s="570"/>
      <c r="H27" s="570"/>
    </row>
    <row r="28" spans="1:8" x14ac:dyDescent="0.2">
      <c r="D28" s="139"/>
    </row>
    <row r="29" spans="1:8" ht="25.5" x14ac:dyDescent="0.2">
      <c r="C29" s="146"/>
      <c r="D29" s="127" t="s">
        <v>19</v>
      </c>
      <c r="E29" s="127" t="s">
        <v>21</v>
      </c>
    </row>
    <row r="30" spans="1:8" x14ac:dyDescent="0.2">
      <c r="C30" s="147" t="s">
        <v>132</v>
      </c>
      <c r="D30" s="129">
        <f>+D13</f>
        <v>4895.7615000000005</v>
      </c>
      <c r="E30" s="129">
        <f>+E13</f>
        <v>1294.1144999999999</v>
      </c>
      <c r="F30" s="148" t="s">
        <v>141</v>
      </c>
      <c r="G30" s="149"/>
      <c r="H30" s="150"/>
    </row>
    <row r="31" spans="1:8" x14ac:dyDescent="0.2">
      <c r="C31" s="151" t="s">
        <v>142</v>
      </c>
      <c r="D31" s="152">
        <f>+D24</f>
        <v>2158.0246913580245</v>
      </c>
      <c r="E31" s="152">
        <f>+D24</f>
        <v>2158.0246913580245</v>
      </c>
      <c r="F31" s="153" t="s">
        <v>143</v>
      </c>
      <c r="G31" s="154"/>
      <c r="H31" s="150"/>
    </row>
    <row r="32" spans="1:8" x14ac:dyDescent="0.2">
      <c r="C32" s="151"/>
      <c r="D32" s="155"/>
      <c r="E32" s="152"/>
      <c r="F32" s="156"/>
      <c r="G32" s="157"/>
      <c r="H32" s="150"/>
    </row>
    <row r="33" spans="1:8" x14ac:dyDescent="0.2">
      <c r="C33" s="147" t="s">
        <v>144</v>
      </c>
      <c r="D33" s="158">
        <f>+D30/D31</f>
        <v>2.268630901029749</v>
      </c>
      <c r="E33" s="158">
        <f>+E30/E31</f>
        <v>0.59967548340961097</v>
      </c>
      <c r="F33" s="159" t="s">
        <v>145</v>
      </c>
      <c r="G33" s="149"/>
      <c r="H33" s="150"/>
    </row>
    <row r="34" spans="1:8" x14ac:dyDescent="0.2">
      <c r="C34" s="160"/>
      <c r="D34" s="161"/>
      <c r="E34" s="162"/>
      <c r="F34" s="163"/>
    </row>
    <row r="35" spans="1:8" x14ac:dyDescent="0.2">
      <c r="C35" s="164"/>
    </row>
    <row r="36" spans="1:8" s="496" customFormat="1" ht="42" customHeight="1" x14ac:dyDescent="0.2">
      <c r="A36" s="570" t="s">
        <v>146</v>
      </c>
      <c r="B36" s="570"/>
      <c r="C36" s="570"/>
      <c r="D36" s="570"/>
      <c r="E36" s="570"/>
      <c r="F36" s="570"/>
      <c r="G36" s="570"/>
      <c r="H36" s="570"/>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8"/>
  <sheetViews>
    <sheetView zoomScale="80" zoomScaleNormal="80" zoomScaleSheetLayoutView="80" workbookViewId="0">
      <pane ySplit="5" topLeftCell="A6" activePane="bottomLeft" state="frozen"/>
      <selection pane="bottomLeft" activeCell="C167" sqref="C167"/>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10.5" style="91" customWidth="1"/>
    <col min="9" max="9" width="2.625" style="488" customWidth="1"/>
    <col min="10" max="10" width="25" style="91" customWidth="1"/>
    <col min="11" max="11" width="16.375" style="91" customWidth="1"/>
    <col min="12" max="12" width="9.875" style="91" customWidth="1"/>
    <col min="13" max="13" width="9.5" style="91" customWidth="1"/>
    <col min="14" max="14" width="9.875" style="91" customWidth="1"/>
    <col min="15" max="15" width="16.5" style="91" customWidth="1"/>
    <col min="16" max="17" width="8.875" style="91"/>
    <col min="18" max="18" width="2.625" style="488" customWidth="1"/>
    <col min="19" max="19" width="25" style="91" customWidth="1"/>
    <col min="20" max="20" width="16.375" style="91" customWidth="1"/>
    <col min="21" max="21" width="9.875" style="91" customWidth="1"/>
    <col min="22" max="22" width="9.5" style="91" customWidth="1"/>
    <col min="23" max="23" width="9.875" style="91" customWidth="1"/>
    <col min="24" max="24" width="16.5" style="91" customWidth="1"/>
    <col min="25" max="25" width="8.875" style="488"/>
    <col min="26" max="16384" width="8.875" style="91"/>
  </cols>
  <sheetData>
    <row r="1" spans="1:25" ht="15.75" x14ac:dyDescent="0.25">
      <c r="A1" s="92" t="s">
        <v>7</v>
      </c>
      <c r="B1" s="122"/>
      <c r="I1" s="487" t="s">
        <v>7</v>
      </c>
      <c r="J1" s="122"/>
      <c r="R1" s="487" t="s">
        <v>7</v>
      </c>
      <c r="S1" s="122"/>
    </row>
    <row r="2" spans="1:25" x14ac:dyDescent="0.2">
      <c r="A2" s="91" t="str">
        <f>CONCATENATE("Watershed: ",'MMW Output'!$B$2)</f>
        <v>Watershed: SampleShed</v>
      </c>
      <c r="I2" s="488" t="str">
        <f>CONCATENATE("Watershed: ",'MMW Output'!$B$2)</f>
        <v>Watershed: SampleShed</v>
      </c>
      <c r="R2" s="488" t="str">
        <f>CONCATENATE("Watershed: ",'MMW Output'!$B$2)</f>
        <v>Watershed: SampleShed</v>
      </c>
    </row>
    <row r="3" spans="1:25" x14ac:dyDescent="0.2">
      <c r="A3" s="91" t="str">
        <f>CONCATENATE("Year: ",'MMW Output'!$C$14)</f>
        <v>Year: 2018</v>
      </c>
      <c r="I3" s="488" t="str">
        <f>CONCATENATE("Year: ",'MMW Output'!$C$14)</f>
        <v>Year: 2018</v>
      </c>
      <c r="R3" s="488" t="str">
        <f>CONCATENATE("Year: ",'MMW Output'!$C$14)</f>
        <v>Year: 2018</v>
      </c>
    </row>
    <row r="5" spans="1:25" ht="15" x14ac:dyDescent="0.2">
      <c r="A5" s="571" t="s">
        <v>513</v>
      </c>
      <c r="B5" s="571"/>
      <c r="C5" s="571"/>
      <c r="D5" s="571"/>
      <c r="E5" s="571"/>
      <c r="F5" s="571"/>
      <c r="I5" s="571" t="s">
        <v>514</v>
      </c>
      <c r="J5" s="571"/>
      <c r="K5" s="571"/>
      <c r="L5" s="571"/>
      <c r="M5" s="571"/>
      <c r="N5" s="571"/>
      <c r="R5" s="571" t="s">
        <v>515</v>
      </c>
      <c r="S5" s="571"/>
      <c r="T5" s="571"/>
      <c r="U5" s="571"/>
      <c r="V5" s="571"/>
      <c r="W5" s="571"/>
    </row>
    <row r="6" spans="1:25" x14ac:dyDescent="0.2">
      <c r="A6" s="572" t="s">
        <v>147</v>
      </c>
      <c r="B6" s="572"/>
      <c r="C6" s="572"/>
      <c r="D6" s="572"/>
      <c r="E6" s="572"/>
      <c r="F6" s="572"/>
      <c r="G6" s="572"/>
      <c r="I6" s="572" t="s">
        <v>214</v>
      </c>
      <c r="J6" s="572"/>
      <c r="K6" s="572"/>
      <c r="L6" s="572"/>
      <c r="M6" s="572"/>
      <c r="N6" s="572"/>
      <c r="O6" s="572"/>
      <c r="R6" s="572" t="s">
        <v>237</v>
      </c>
      <c r="S6" s="572"/>
      <c r="T6" s="572"/>
      <c r="U6" s="572"/>
      <c r="V6" s="572"/>
      <c r="W6" s="572"/>
      <c r="X6" s="572"/>
    </row>
    <row r="9" spans="1:25" s="494" customFormat="1" ht="27.95" customHeight="1" x14ac:dyDescent="0.25">
      <c r="A9" s="580" t="s">
        <v>516</v>
      </c>
      <c r="B9" s="580"/>
      <c r="C9" s="580"/>
      <c r="D9" s="580"/>
      <c r="E9" s="580"/>
      <c r="F9" s="580"/>
      <c r="G9" s="580"/>
      <c r="H9" s="492"/>
      <c r="I9" s="581" t="s">
        <v>215</v>
      </c>
      <c r="J9" s="580"/>
      <c r="K9" s="580"/>
      <c r="L9" s="580"/>
      <c r="M9" s="580"/>
      <c r="N9" s="580"/>
      <c r="O9" s="580"/>
      <c r="P9" s="492"/>
      <c r="Q9" s="492"/>
      <c r="R9" s="581" t="s">
        <v>215</v>
      </c>
      <c r="S9" s="580"/>
      <c r="T9" s="580"/>
      <c r="U9" s="580"/>
      <c r="V9" s="580"/>
      <c r="W9" s="580"/>
      <c r="X9" s="580"/>
      <c r="Y9" s="493"/>
    </row>
    <row r="10" spans="1:25" x14ac:dyDescent="0.2">
      <c r="I10" s="489"/>
      <c r="J10" s="483"/>
      <c r="K10" s="483"/>
      <c r="L10" s="483"/>
      <c r="M10" s="483"/>
      <c r="N10" s="483"/>
      <c r="O10" s="483"/>
      <c r="R10" s="489"/>
      <c r="S10" s="483"/>
      <c r="T10" s="483"/>
      <c r="U10" s="483"/>
      <c r="V10" s="483"/>
      <c r="W10" s="483"/>
      <c r="X10" s="483"/>
    </row>
    <row r="11" spans="1:25" x14ac:dyDescent="0.2">
      <c r="B11" s="165"/>
      <c r="C11" s="166" t="s">
        <v>17</v>
      </c>
      <c r="D11" s="166"/>
      <c r="I11" s="489"/>
      <c r="J11" s="483"/>
      <c r="K11" s="483"/>
      <c r="L11" s="483"/>
      <c r="M11" s="483"/>
      <c r="N11" s="483"/>
      <c r="O11" s="483"/>
      <c r="R11" s="489"/>
      <c r="S11" s="483"/>
      <c r="T11" s="483"/>
      <c r="U11" s="483"/>
      <c r="V11" s="483"/>
      <c r="W11" s="483"/>
      <c r="X11" s="483"/>
    </row>
    <row r="12" spans="1:25" x14ac:dyDescent="0.2">
      <c r="B12" s="167" t="s">
        <v>84</v>
      </c>
      <c r="C12" s="168">
        <f>ROUND('MMW Output'!D38,2)</f>
        <v>26700.07</v>
      </c>
      <c r="D12" s="167" t="s">
        <v>148</v>
      </c>
      <c r="E12" s="591" t="s">
        <v>611</v>
      </c>
      <c r="F12" s="592"/>
      <c r="G12" s="593"/>
      <c r="I12" s="489"/>
      <c r="J12" s="483"/>
      <c r="K12" s="483"/>
      <c r="L12" s="483"/>
      <c r="M12" s="483"/>
      <c r="N12" s="483"/>
      <c r="O12" s="483"/>
      <c r="R12" s="489"/>
      <c r="S12" s="483"/>
      <c r="T12" s="483"/>
      <c r="U12" s="483"/>
      <c r="V12" s="483"/>
      <c r="W12" s="483"/>
      <c r="X12" s="483"/>
    </row>
    <row r="13" spans="1:25" x14ac:dyDescent="0.2">
      <c r="E13" s="594"/>
      <c r="F13" s="595"/>
      <c r="G13" s="596"/>
    </row>
    <row r="14" spans="1:25" x14ac:dyDescent="0.2">
      <c r="B14" s="132" t="s">
        <v>13</v>
      </c>
      <c r="C14" s="133" t="s">
        <v>135</v>
      </c>
      <c r="E14" s="597"/>
      <c r="F14" s="598"/>
      <c r="G14" s="599"/>
      <c r="J14" s="132" t="s">
        <v>13</v>
      </c>
      <c r="K14" s="133" t="s">
        <v>135</v>
      </c>
      <c r="M14" s="243"/>
      <c r="N14" s="243"/>
      <c r="O14" s="243"/>
      <c r="S14" s="132" t="s">
        <v>13</v>
      </c>
      <c r="T14" s="133" t="s">
        <v>135</v>
      </c>
      <c r="V14" s="243"/>
      <c r="W14" s="243"/>
      <c r="X14" s="243"/>
    </row>
    <row r="15" spans="1:25" x14ac:dyDescent="0.2">
      <c r="A15" s="600" t="s">
        <v>149</v>
      </c>
      <c r="B15" s="169" t="s">
        <v>99</v>
      </c>
      <c r="C15" s="170">
        <f>+'MMW Output'!C20</f>
        <v>1666.6666666666665</v>
      </c>
      <c r="I15" s="582" t="s">
        <v>149</v>
      </c>
      <c r="J15" s="169" t="s">
        <v>99</v>
      </c>
      <c r="K15" s="170">
        <f>+'MMW Output'!C20</f>
        <v>1666.6666666666665</v>
      </c>
      <c r="R15" s="582" t="s">
        <v>149</v>
      </c>
      <c r="S15" s="169" t="s">
        <v>99</v>
      </c>
      <c r="T15" s="170">
        <f>+'MMW Output'!C20</f>
        <v>1666.6666666666665</v>
      </c>
    </row>
    <row r="16" spans="1:25" x14ac:dyDescent="0.2">
      <c r="A16" s="601"/>
      <c r="B16" s="171" t="s">
        <v>36</v>
      </c>
      <c r="C16" s="172">
        <f>+'MMW Output'!C21</f>
        <v>491.35802469135797</v>
      </c>
      <c r="I16" s="583"/>
      <c r="J16" s="171" t="s">
        <v>36</v>
      </c>
      <c r="K16" s="172">
        <f>+'MMW Output'!C21</f>
        <v>491.35802469135797</v>
      </c>
      <c r="R16" s="583"/>
      <c r="S16" s="171" t="s">
        <v>36</v>
      </c>
      <c r="T16" s="172">
        <f>+'MMW Output'!C21</f>
        <v>491.35802469135797</v>
      </c>
    </row>
    <row r="17" spans="1:20" x14ac:dyDescent="0.2">
      <c r="A17" s="601"/>
      <c r="B17" s="173" t="s">
        <v>37</v>
      </c>
      <c r="C17" s="174">
        <f>+'MMW Output'!C22</f>
        <v>9730.8641975308637</v>
      </c>
      <c r="I17" s="583"/>
      <c r="J17" s="173" t="s">
        <v>37</v>
      </c>
      <c r="K17" s="174">
        <f>+'MMW Output'!C22</f>
        <v>9730.8641975308637</v>
      </c>
      <c r="R17" s="583"/>
      <c r="S17" s="173" t="s">
        <v>37</v>
      </c>
      <c r="T17" s="174">
        <f>+'MMW Output'!C22</f>
        <v>9730.8641975308637</v>
      </c>
    </row>
    <row r="18" spans="1:20" x14ac:dyDescent="0.2">
      <c r="A18" s="601"/>
      <c r="B18" s="171" t="s">
        <v>39</v>
      </c>
      <c r="C18" s="172">
        <f>+'MMW Output'!C23</f>
        <v>656.79012345679007</v>
      </c>
      <c r="I18" s="583"/>
      <c r="J18" s="171" t="s">
        <v>39</v>
      </c>
      <c r="K18" s="172">
        <f>+'MMW Output'!C23</f>
        <v>656.79012345679007</v>
      </c>
      <c r="R18" s="583"/>
      <c r="S18" s="171" t="s">
        <v>39</v>
      </c>
      <c r="T18" s="172">
        <f>+'MMW Output'!C23</f>
        <v>656.79012345679007</v>
      </c>
    </row>
    <row r="19" spans="1:20" x14ac:dyDescent="0.2">
      <c r="A19" s="601"/>
      <c r="B19" s="173" t="s">
        <v>40</v>
      </c>
      <c r="C19" s="174">
        <f>+'MMW Output'!C24</f>
        <v>0</v>
      </c>
      <c r="I19" s="583"/>
      <c r="J19" s="173" t="s">
        <v>40</v>
      </c>
      <c r="K19" s="174">
        <f>+'MMW Output'!C24</f>
        <v>0</v>
      </c>
      <c r="R19" s="583"/>
      <c r="S19" s="173" t="s">
        <v>40</v>
      </c>
      <c r="T19" s="174">
        <f>+'MMW Output'!C24</f>
        <v>0</v>
      </c>
    </row>
    <row r="20" spans="1:20" x14ac:dyDescent="0.2">
      <c r="A20" s="601"/>
      <c r="B20" s="171" t="s">
        <v>41</v>
      </c>
      <c r="C20" s="172">
        <f>+'MMW Output'!C25</f>
        <v>0</v>
      </c>
      <c r="I20" s="583"/>
      <c r="J20" s="171" t="s">
        <v>41</v>
      </c>
      <c r="K20" s="172">
        <f>+'MMW Output'!C25</f>
        <v>0</v>
      </c>
      <c r="R20" s="583"/>
      <c r="S20" s="171" t="s">
        <v>41</v>
      </c>
      <c r="T20" s="172">
        <f>+'MMW Output'!C25</f>
        <v>0</v>
      </c>
    </row>
    <row r="21" spans="1:20" x14ac:dyDescent="0.2">
      <c r="A21" s="601"/>
      <c r="B21" s="173" t="s">
        <v>42</v>
      </c>
      <c r="C21" s="174">
        <f>+'MMW Output'!C26</f>
        <v>66.666666666666657</v>
      </c>
      <c r="I21" s="583"/>
      <c r="J21" s="173" t="s">
        <v>42</v>
      </c>
      <c r="K21" s="174">
        <f>+'MMW Output'!C26</f>
        <v>66.666666666666657</v>
      </c>
      <c r="R21" s="583"/>
      <c r="S21" s="173" t="s">
        <v>42</v>
      </c>
      <c r="T21" s="174">
        <f>+'MMW Output'!C26</f>
        <v>66.666666666666657</v>
      </c>
    </row>
    <row r="22" spans="1:20" x14ac:dyDescent="0.2">
      <c r="A22" s="601"/>
      <c r="B22" s="171" t="s">
        <v>43</v>
      </c>
      <c r="C22" s="172">
        <f>+'MMW Output'!C27</f>
        <v>222.2222222222222</v>
      </c>
      <c r="I22" s="583"/>
      <c r="J22" s="171" t="s">
        <v>43</v>
      </c>
      <c r="K22" s="172">
        <f>+'MMW Output'!C27</f>
        <v>222.2222222222222</v>
      </c>
      <c r="R22" s="583"/>
      <c r="S22" s="171" t="s">
        <v>43</v>
      </c>
      <c r="T22" s="172">
        <f>+'MMW Output'!C27</f>
        <v>222.2222222222222</v>
      </c>
    </row>
    <row r="23" spans="1:20" x14ac:dyDescent="0.2">
      <c r="A23" s="601"/>
      <c r="B23" s="173" t="s">
        <v>44</v>
      </c>
      <c r="C23" s="174">
        <f>+'MMW Output'!C28</f>
        <v>0</v>
      </c>
      <c r="I23" s="583"/>
      <c r="J23" s="173" t="s">
        <v>44</v>
      </c>
      <c r="K23" s="174">
        <f>+'MMW Output'!C28</f>
        <v>0</v>
      </c>
      <c r="R23" s="583"/>
      <c r="S23" s="173" t="s">
        <v>44</v>
      </c>
      <c r="T23" s="174">
        <f>+'MMW Output'!C28</f>
        <v>0</v>
      </c>
    </row>
    <row r="24" spans="1:20" x14ac:dyDescent="0.2">
      <c r="A24" s="601"/>
      <c r="B24" s="171" t="s">
        <v>45</v>
      </c>
      <c r="C24" s="172">
        <f>+'MMW Output'!C29</f>
        <v>0</v>
      </c>
      <c r="I24" s="583"/>
      <c r="J24" s="171" t="s">
        <v>45</v>
      </c>
      <c r="K24" s="172">
        <f>+'MMW Output'!C29</f>
        <v>0</v>
      </c>
      <c r="R24" s="583"/>
      <c r="S24" s="171" t="s">
        <v>45</v>
      </c>
      <c r="T24" s="172">
        <f>+'MMW Output'!C29</f>
        <v>0</v>
      </c>
    </row>
    <row r="25" spans="1:20" x14ac:dyDescent="0.2">
      <c r="A25" s="601"/>
      <c r="B25" s="173" t="s">
        <v>46</v>
      </c>
      <c r="C25" s="174">
        <f>+'MMW Output'!C30</f>
        <v>23372.839506172837</v>
      </c>
      <c r="I25" s="583"/>
      <c r="J25" s="173" t="s">
        <v>46</v>
      </c>
      <c r="K25" s="174">
        <f>+'MMW Output'!C30</f>
        <v>23372.839506172837</v>
      </c>
      <c r="R25" s="583"/>
      <c r="S25" s="173" t="s">
        <v>46</v>
      </c>
      <c r="T25" s="174">
        <f>+'MMW Output'!C30</f>
        <v>23372.839506172837</v>
      </c>
    </row>
    <row r="26" spans="1:20" x14ac:dyDescent="0.2">
      <c r="A26" s="601"/>
      <c r="B26" s="171" t="s">
        <v>47</v>
      </c>
      <c r="C26" s="172">
        <f>+'MMW Output'!C31</f>
        <v>3395.0617283950614</v>
      </c>
      <c r="I26" s="583"/>
      <c r="J26" s="171" t="s">
        <v>47</v>
      </c>
      <c r="K26" s="172">
        <f>+'MMW Output'!C31</f>
        <v>3395.0617283950614</v>
      </c>
      <c r="R26" s="583"/>
      <c r="S26" s="171" t="s">
        <v>47</v>
      </c>
      <c r="T26" s="172">
        <f>+'MMW Output'!C31</f>
        <v>3395.0617283950614</v>
      </c>
    </row>
    <row r="27" spans="1:20" x14ac:dyDescent="0.2">
      <c r="A27" s="601"/>
      <c r="B27" s="173" t="s">
        <v>48</v>
      </c>
      <c r="C27" s="174">
        <f>+'MMW Output'!C32</f>
        <v>965.43209876543199</v>
      </c>
      <c r="I27" s="583"/>
      <c r="J27" s="173" t="s">
        <v>48</v>
      </c>
      <c r="K27" s="174">
        <f>+'MMW Output'!C32</f>
        <v>965.43209876543199</v>
      </c>
      <c r="R27" s="583"/>
      <c r="S27" s="173" t="s">
        <v>48</v>
      </c>
      <c r="T27" s="174">
        <f>+'MMW Output'!C32</f>
        <v>965.43209876543199</v>
      </c>
    </row>
    <row r="28" spans="1:20" x14ac:dyDescent="0.2">
      <c r="A28" s="601"/>
      <c r="B28" s="171" t="s">
        <v>49</v>
      </c>
      <c r="C28" s="172">
        <f>+'MMW Output'!C33</f>
        <v>0</v>
      </c>
      <c r="I28" s="583"/>
      <c r="J28" s="171" t="s">
        <v>49</v>
      </c>
      <c r="K28" s="172">
        <f>+'MMW Output'!C33</f>
        <v>0</v>
      </c>
      <c r="R28" s="583"/>
      <c r="S28" s="171" t="s">
        <v>49</v>
      </c>
      <c r="T28" s="172">
        <f>+'MMW Output'!C33</f>
        <v>0</v>
      </c>
    </row>
    <row r="29" spans="1:20" x14ac:dyDescent="0.2">
      <c r="A29" s="601"/>
      <c r="B29" s="173" t="s">
        <v>50</v>
      </c>
      <c r="C29" s="174">
        <f>+'MMW Output'!C34</f>
        <v>0</v>
      </c>
      <c r="I29" s="583"/>
      <c r="J29" s="173" t="s">
        <v>50</v>
      </c>
      <c r="K29" s="174">
        <f>+'MMW Output'!C34</f>
        <v>0</v>
      </c>
      <c r="R29" s="583"/>
      <c r="S29" s="173" t="s">
        <v>50</v>
      </c>
      <c r="T29" s="174">
        <f>+'MMW Output'!C34</f>
        <v>0</v>
      </c>
    </row>
    <row r="30" spans="1:20" x14ac:dyDescent="0.2">
      <c r="A30" s="602"/>
      <c r="B30" s="175" t="s">
        <v>51</v>
      </c>
      <c r="C30" s="176">
        <f>+'MMW Output'!C35</f>
        <v>0</v>
      </c>
      <c r="I30" s="584"/>
      <c r="J30" s="175" t="s">
        <v>51</v>
      </c>
      <c r="K30" s="176">
        <f>+'MMW Output'!C35</f>
        <v>0</v>
      </c>
      <c r="R30" s="584"/>
      <c r="S30" s="175" t="s">
        <v>51</v>
      </c>
      <c r="T30" s="176">
        <f>+'MMW Output'!C35</f>
        <v>0</v>
      </c>
    </row>
    <row r="31" spans="1:20" x14ac:dyDescent="0.2">
      <c r="C31" s="177"/>
      <c r="K31" s="177"/>
      <c r="T31" s="177"/>
    </row>
    <row r="32" spans="1:20" x14ac:dyDescent="0.2">
      <c r="B32" s="94" t="s">
        <v>150</v>
      </c>
      <c r="C32" s="178">
        <f>SUM(C15:C31)</f>
        <v>40567.9012345679</v>
      </c>
      <c r="J32" s="94" t="s">
        <v>150</v>
      </c>
      <c r="K32" s="178">
        <f>SUM(K15:K31)</f>
        <v>40567.9012345679</v>
      </c>
      <c r="S32" s="94" t="s">
        <v>150</v>
      </c>
      <c r="T32" s="178">
        <f>SUM(T15:T31)</f>
        <v>40567.9012345679</v>
      </c>
    </row>
    <row r="34" spans="1:25" s="494" customFormat="1" ht="27.95" customHeight="1" x14ac:dyDescent="0.25">
      <c r="A34" s="580" t="s">
        <v>151</v>
      </c>
      <c r="B34" s="580"/>
      <c r="C34" s="580"/>
      <c r="D34" s="580"/>
      <c r="E34" s="580"/>
      <c r="F34" s="580"/>
      <c r="G34" s="580"/>
      <c r="H34" s="492"/>
      <c r="I34" s="581" t="s">
        <v>216</v>
      </c>
      <c r="J34" s="580"/>
      <c r="K34" s="580"/>
      <c r="L34" s="580"/>
      <c r="M34" s="580"/>
      <c r="N34" s="580"/>
      <c r="O34" s="580"/>
      <c r="P34" s="492"/>
      <c r="Q34" s="492"/>
      <c r="R34" s="581" t="s">
        <v>238</v>
      </c>
      <c r="S34" s="580"/>
      <c r="T34" s="580"/>
      <c r="U34" s="580"/>
      <c r="V34" s="580"/>
      <c r="W34" s="580"/>
      <c r="X34" s="580"/>
      <c r="Y34" s="493"/>
    </row>
    <row r="35" spans="1:25" x14ac:dyDescent="0.2">
      <c r="B35" s="140"/>
      <c r="C35" s="141"/>
      <c r="D35" s="142"/>
      <c r="J35" s="140"/>
      <c r="K35" s="141"/>
      <c r="L35" s="142"/>
      <c r="S35" s="140"/>
      <c r="T35" s="141"/>
      <c r="U35" s="142"/>
    </row>
    <row r="36" spans="1:25" x14ac:dyDescent="0.2">
      <c r="B36" s="165"/>
      <c r="C36" s="166" t="s">
        <v>152</v>
      </c>
      <c r="D36" s="166"/>
      <c r="J36" s="165"/>
      <c r="K36" s="166" t="s">
        <v>217</v>
      </c>
      <c r="L36" s="166"/>
      <c r="S36" s="165"/>
      <c r="T36" s="166" t="s">
        <v>239</v>
      </c>
      <c r="U36" s="166"/>
    </row>
    <row r="37" spans="1:25" x14ac:dyDescent="0.2">
      <c r="B37" s="167" t="s">
        <v>84</v>
      </c>
      <c r="C37" s="167">
        <f>+C12*2000</f>
        <v>53400140</v>
      </c>
      <c r="D37" s="167" t="s">
        <v>133</v>
      </c>
      <c r="E37" s="91" t="str">
        <f>CONCATENATE("= [ ",ROUND(C12,2)," tons x 2,000 pounds per ton]")</f>
        <v>= [ 26700.07 tons x 2,000 pounds per ton]</v>
      </c>
      <c r="J37" s="167" t="s">
        <v>84</v>
      </c>
      <c r="K37" s="167">
        <f>+'MMW Output'!E38</f>
        <v>33246.99</v>
      </c>
      <c r="L37" s="167" t="s">
        <v>133</v>
      </c>
      <c r="S37" s="167" t="s">
        <v>84</v>
      </c>
      <c r="T37" s="167">
        <f>+'MMW Output'!F38</f>
        <v>13291.74</v>
      </c>
      <c r="U37" s="167" t="s">
        <v>133</v>
      </c>
    </row>
    <row r="38" spans="1:25" x14ac:dyDescent="0.2">
      <c r="B38" s="140"/>
      <c r="D38" s="142"/>
      <c r="J38" s="140"/>
      <c r="L38" s="142"/>
      <c r="S38" s="140"/>
      <c r="U38" s="142"/>
    </row>
    <row r="39" spans="1:25" x14ac:dyDescent="0.2">
      <c r="B39" s="140"/>
      <c r="C39" s="141"/>
      <c r="D39" s="142"/>
      <c r="J39" s="140"/>
      <c r="K39" s="141"/>
      <c r="L39" s="142"/>
      <c r="S39" s="140"/>
      <c r="T39" s="141"/>
      <c r="U39" s="142"/>
    </row>
    <row r="40" spans="1:25" s="494" customFormat="1" ht="27.95" customHeight="1" x14ac:dyDescent="0.25">
      <c r="A40" s="580" t="str">
        <f>CONCATENATE("Step 3. Sum the total acres in the ", 'MMW Output'!C13," watershed.")</f>
        <v>Step 3. Sum the total acres in the SampleShed watershed.</v>
      </c>
      <c r="B40" s="580"/>
      <c r="C40" s="580"/>
      <c r="D40" s="580"/>
      <c r="E40" s="580"/>
      <c r="F40" s="580"/>
      <c r="G40" s="580"/>
      <c r="H40" s="492"/>
      <c r="I40" s="581" t="str">
        <f>CONCATENATE("Step 3. Sum the total acres in the ", 'MMW Output'!C13," watershed.")</f>
        <v>Step 3. Sum the total acres in the SampleShed watershed.</v>
      </c>
      <c r="J40" s="580"/>
      <c r="K40" s="580"/>
      <c r="L40" s="580"/>
      <c r="M40" s="580"/>
      <c r="N40" s="580"/>
      <c r="O40" s="580"/>
      <c r="P40" s="492"/>
      <c r="Q40" s="492"/>
      <c r="R40" s="581" t="str">
        <f>CONCATENATE("Step 3. Sum the total acres in the ", 'MMW Output'!C13," watershed.")</f>
        <v>Step 3. Sum the total acres in the SampleShed watershed.</v>
      </c>
      <c r="S40" s="580"/>
      <c r="T40" s="580"/>
      <c r="U40" s="580"/>
      <c r="V40" s="580"/>
      <c r="W40" s="580"/>
      <c r="X40" s="580"/>
      <c r="Y40" s="493"/>
    </row>
    <row r="41" spans="1:25" x14ac:dyDescent="0.2">
      <c r="A41" s="179"/>
      <c r="B41" s="179"/>
      <c r="C41" s="179"/>
      <c r="D41" s="179"/>
      <c r="E41" s="179"/>
      <c r="F41" s="179"/>
      <c r="G41" s="179"/>
      <c r="I41" s="489"/>
      <c r="J41" s="179"/>
      <c r="K41" s="179"/>
      <c r="L41" s="179"/>
      <c r="M41" s="179"/>
      <c r="N41" s="179"/>
      <c r="O41" s="179"/>
      <c r="R41" s="489"/>
      <c r="S41" s="179"/>
      <c r="T41" s="179"/>
      <c r="U41" s="179"/>
      <c r="V41" s="179"/>
      <c r="W41" s="179"/>
      <c r="X41" s="179"/>
    </row>
    <row r="42" spans="1:25" x14ac:dyDescent="0.2">
      <c r="B42" s="180" t="s">
        <v>153</v>
      </c>
      <c r="C42" s="144">
        <f>SUM(C15:C31)</f>
        <v>40567.9012345679</v>
      </c>
      <c r="D42" s="160" t="s">
        <v>81</v>
      </c>
      <c r="J42" s="180" t="s">
        <v>153</v>
      </c>
      <c r="K42" s="144">
        <f>SUM(K15:K31)</f>
        <v>40567.9012345679</v>
      </c>
      <c r="L42" s="160" t="s">
        <v>81</v>
      </c>
      <c r="S42" s="180" t="s">
        <v>153</v>
      </c>
      <c r="T42" s="144">
        <f>SUM(T15:T31)</f>
        <v>40567.9012345679</v>
      </c>
      <c r="U42" s="160" t="s">
        <v>81</v>
      </c>
    </row>
    <row r="43" spans="1:25" x14ac:dyDescent="0.2">
      <c r="B43" s="140"/>
      <c r="C43" s="141"/>
      <c r="D43" s="142"/>
      <c r="J43" s="140"/>
      <c r="K43" s="141"/>
      <c r="L43" s="142"/>
      <c r="S43" s="140"/>
      <c r="T43" s="141"/>
      <c r="U43" s="142"/>
    </row>
    <row r="44" spans="1:25" x14ac:dyDescent="0.2">
      <c r="B44" s="140"/>
      <c r="C44" s="141"/>
      <c r="D44" s="142"/>
      <c r="J44" s="140"/>
      <c r="K44" s="141"/>
      <c r="L44" s="142"/>
      <c r="S44" s="140"/>
      <c r="T44" s="141"/>
      <c r="U44" s="142"/>
    </row>
    <row r="45" spans="1:25" s="494" customFormat="1" ht="57.95" customHeight="1" x14ac:dyDescent="0.25">
      <c r="A45" s="580" t="s">
        <v>154</v>
      </c>
      <c r="B45" s="580"/>
      <c r="C45" s="580"/>
      <c r="D45" s="580"/>
      <c r="E45" s="580"/>
      <c r="F45" s="580"/>
      <c r="G45" s="580"/>
      <c r="H45" s="492"/>
      <c r="I45" s="581" t="s">
        <v>218</v>
      </c>
      <c r="J45" s="580"/>
      <c r="K45" s="580"/>
      <c r="L45" s="580"/>
      <c r="M45" s="580"/>
      <c r="N45" s="580"/>
      <c r="O45" s="580"/>
      <c r="P45" s="492"/>
      <c r="Q45" s="492"/>
      <c r="R45" s="581" t="s">
        <v>218</v>
      </c>
      <c r="S45" s="580"/>
      <c r="T45" s="580"/>
      <c r="U45" s="580"/>
      <c r="V45" s="580"/>
      <c r="W45" s="580"/>
      <c r="X45" s="580"/>
      <c r="Y45" s="493"/>
    </row>
    <row r="46" spans="1:25" x14ac:dyDescent="0.2">
      <c r="C46" s="139"/>
      <c r="K46" s="139"/>
      <c r="T46" s="139"/>
    </row>
    <row r="47" spans="1:25" x14ac:dyDescent="0.2">
      <c r="B47" s="146" t="s">
        <v>155</v>
      </c>
      <c r="C47" s="181" t="s">
        <v>81</v>
      </c>
      <c r="D47" s="181" t="s">
        <v>156</v>
      </c>
      <c r="J47" s="146" t="s">
        <v>155</v>
      </c>
      <c r="K47" s="181" t="s">
        <v>81</v>
      </c>
      <c r="L47" s="181" t="s">
        <v>156</v>
      </c>
      <c r="S47" s="146" t="s">
        <v>155</v>
      </c>
      <c r="T47" s="181" t="s">
        <v>81</v>
      </c>
      <c r="U47" s="181" t="s">
        <v>156</v>
      </c>
    </row>
    <row r="48" spans="1:25" x14ac:dyDescent="0.2">
      <c r="B48" s="182" t="s">
        <v>157</v>
      </c>
      <c r="C48" s="183">
        <f>+C25+C28</f>
        <v>23372.839506172837</v>
      </c>
      <c r="D48" s="184">
        <f>+C48/C$51</f>
        <v>0.8427706552706552</v>
      </c>
      <c r="E48" s="185" t="s">
        <v>158</v>
      </c>
      <c r="F48" s="167"/>
      <c r="G48" s="186"/>
      <c r="J48" s="182" t="s">
        <v>157</v>
      </c>
      <c r="K48" s="183">
        <f>+K25+K28</f>
        <v>23372.839506172837</v>
      </c>
      <c r="L48" s="184">
        <f>+K48/K$51</f>
        <v>0.8427706552706552</v>
      </c>
      <c r="M48" s="185" t="s">
        <v>158</v>
      </c>
      <c r="N48" s="167"/>
      <c r="O48" s="186"/>
      <c r="S48" s="182" t="s">
        <v>157</v>
      </c>
      <c r="T48" s="183">
        <f>+T25+T28</f>
        <v>23372.839506172837</v>
      </c>
      <c r="U48" s="184">
        <f>+T48/T$51</f>
        <v>0.8427706552706552</v>
      </c>
      <c r="V48" s="185" t="s">
        <v>158</v>
      </c>
      <c r="W48" s="167"/>
      <c r="X48" s="186"/>
    </row>
    <row r="49" spans="1:25" x14ac:dyDescent="0.2">
      <c r="B49" s="187" t="s">
        <v>159</v>
      </c>
      <c r="C49" s="188">
        <f>+C26+C29</f>
        <v>3395.0617283950614</v>
      </c>
      <c r="D49" s="189">
        <f>+C49/C$51</f>
        <v>0.12241809116809116</v>
      </c>
      <c r="E49" s="190" t="s">
        <v>160</v>
      </c>
      <c r="F49" s="191"/>
      <c r="G49" s="192"/>
      <c r="J49" s="187" t="s">
        <v>159</v>
      </c>
      <c r="K49" s="188">
        <f>+K26+K29</f>
        <v>3395.0617283950614</v>
      </c>
      <c r="L49" s="189">
        <f>+K49/K$51</f>
        <v>0.12241809116809116</v>
      </c>
      <c r="M49" s="190" t="s">
        <v>160</v>
      </c>
      <c r="N49" s="191"/>
      <c r="O49" s="192"/>
      <c r="S49" s="187" t="s">
        <v>159</v>
      </c>
      <c r="T49" s="188">
        <f>+T26+T29</f>
        <v>3395.0617283950614</v>
      </c>
      <c r="U49" s="189">
        <f>+T49/T$51</f>
        <v>0.12241809116809116</v>
      </c>
      <c r="V49" s="190" t="s">
        <v>160</v>
      </c>
      <c r="W49" s="191"/>
      <c r="X49" s="192"/>
    </row>
    <row r="50" spans="1:25" ht="13.5" thickBot="1" x14ac:dyDescent="0.25">
      <c r="B50" s="193" t="s">
        <v>161</v>
      </c>
      <c r="C50" s="194">
        <f>+C27+C30</f>
        <v>965.43209876543199</v>
      </c>
      <c r="D50" s="195">
        <f>+C50/C$51</f>
        <v>3.4811253561253558E-2</v>
      </c>
      <c r="E50" s="185" t="s">
        <v>162</v>
      </c>
      <c r="F50" s="167"/>
      <c r="G50" s="186"/>
      <c r="J50" s="193" t="s">
        <v>161</v>
      </c>
      <c r="K50" s="194">
        <f>+K27+K30</f>
        <v>965.43209876543199</v>
      </c>
      <c r="L50" s="195">
        <f>+K50/K$51</f>
        <v>3.4811253561253558E-2</v>
      </c>
      <c r="M50" s="185" t="s">
        <v>162</v>
      </c>
      <c r="N50" s="167"/>
      <c r="O50" s="186"/>
      <c r="S50" s="193" t="s">
        <v>161</v>
      </c>
      <c r="T50" s="194">
        <f>+T27+T30</f>
        <v>965.43209876543199</v>
      </c>
      <c r="U50" s="195">
        <f>+T50/T$51</f>
        <v>3.4811253561253558E-2</v>
      </c>
      <c r="V50" s="185" t="s">
        <v>162</v>
      </c>
      <c r="W50" s="167"/>
      <c r="X50" s="186"/>
    </row>
    <row r="51" spans="1:25" x14ac:dyDescent="0.2">
      <c r="B51" s="160" t="s">
        <v>163</v>
      </c>
      <c r="C51" s="196">
        <f>+C48+C49+C50</f>
        <v>27733.333333333332</v>
      </c>
      <c r="D51" s="197">
        <f>+C51/C$51</f>
        <v>1</v>
      </c>
      <c r="E51" s="163" t="s">
        <v>164</v>
      </c>
      <c r="J51" s="160" t="s">
        <v>163</v>
      </c>
      <c r="K51" s="196">
        <f>+K48+K49+K50</f>
        <v>27733.333333333332</v>
      </c>
      <c r="L51" s="197">
        <f>+K51/K$51</f>
        <v>1</v>
      </c>
      <c r="M51" s="163" t="s">
        <v>164</v>
      </c>
      <c r="S51" s="160" t="s">
        <v>163</v>
      </c>
      <c r="T51" s="196">
        <f>+T48+T49+T50</f>
        <v>27733.333333333332</v>
      </c>
      <c r="U51" s="197">
        <f>+T51/T$51</f>
        <v>1</v>
      </c>
      <c r="V51" s="163" t="s">
        <v>164</v>
      </c>
    </row>
    <row r="54" spans="1:25" s="494" customFormat="1" ht="27.95" customHeight="1" x14ac:dyDescent="0.25">
      <c r="A54" s="580" t="s">
        <v>165</v>
      </c>
      <c r="B54" s="580"/>
      <c r="C54" s="580"/>
      <c r="D54" s="580"/>
      <c r="E54" s="580"/>
      <c r="F54" s="580"/>
      <c r="G54" s="580"/>
      <c r="H54" s="492"/>
      <c r="I54" s="581" t="s">
        <v>219</v>
      </c>
      <c r="J54" s="580"/>
      <c r="K54" s="580"/>
      <c r="L54" s="580"/>
      <c r="M54" s="580"/>
      <c r="N54" s="580"/>
      <c r="O54" s="580"/>
      <c r="P54" s="492"/>
      <c r="Q54" s="492"/>
      <c r="R54" s="581" t="s">
        <v>240</v>
      </c>
      <c r="S54" s="580"/>
      <c r="T54" s="580"/>
      <c r="U54" s="580"/>
      <c r="V54" s="580"/>
      <c r="W54" s="580"/>
      <c r="X54" s="580"/>
      <c r="Y54" s="493"/>
    </row>
    <row r="55" spans="1:25" x14ac:dyDescent="0.2">
      <c r="B55" s="91" t="s">
        <v>166</v>
      </c>
      <c r="J55" s="91" t="s">
        <v>220</v>
      </c>
      <c r="S55" s="91" t="s">
        <v>241</v>
      </c>
    </row>
    <row r="56" spans="1:25" x14ac:dyDescent="0.2">
      <c r="B56" s="91" t="s">
        <v>167</v>
      </c>
      <c r="J56" s="91" t="s">
        <v>221</v>
      </c>
      <c r="S56" s="91" t="s">
        <v>242</v>
      </c>
    </row>
    <row r="58" spans="1:25" x14ac:dyDescent="0.2">
      <c r="B58" s="91" t="s">
        <v>168</v>
      </c>
      <c r="C58" s="198">
        <f>C37</f>
        <v>53400140</v>
      </c>
      <c r="D58" s="91" t="s">
        <v>133</v>
      </c>
      <c r="E58" s="163" t="s">
        <v>169</v>
      </c>
      <c r="J58" s="91" t="s">
        <v>222</v>
      </c>
      <c r="K58" s="198">
        <f>K37</f>
        <v>33246.99</v>
      </c>
      <c r="L58" s="91" t="s">
        <v>133</v>
      </c>
      <c r="M58" s="163" t="s">
        <v>169</v>
      </c>
      <c r="S58" s="91" t="s">
        <v>243</v>
      </c>
      <c r="T58" s="198">
        <f>T37</f>
        <v>13291.74</v>
      </c>
      <c r="U58" s="91" t="s">
        <v>133</v>
      </c>
      <c r="V58" s="163" t="s">
        <v>169</v>
      </c>
    </row>
    <row r="59" spans="1:25" x14ac:dyDescent="0.2">
      <c r="B59" s="91" t="s">
        <v>170</v>
      </c>
      <c r="C59" s="199">
        <f>+C51</f>
        <v>27733.333333333332</v>
      </c>
      <c r="D59" s="91" t="s">
        <v>81</v>
      </c>
      <c r="E59" s="163" t="s">
        <v>171</v>
      </c>
      <c r="J59" s="91" t="s">
        <v>170</v>
      </c>
      <c r="K59" s="199">
        <f>+K51</f>
        <v>27733.333333333332</v>
      </c>
      <c r="L59" s="91" t="s">
        <v>81</v>
      </c>
      <c r="M59" s="163" t="s">
        <v>171</v>
      </c>
      <c r="S59" s="91" t="s">
        <v>170</v>
      </c>
      <c r="T59" s="199">
        <f>+T51</f>
        <v>27733.333333333332</v>
      </c>
      <c r="U59" s="91" t="s">
        <v>81</v>
      </c>
      <c r="V59" s="163" t="s">
        <v>171</v>
      </c>
    </row>
    <row r="60" spans="1:25" x14ac:dyDescent="0.2">
      <c r="B60" s="91" t="s">
        <v>153</v>
      </c>
      <c r="C60" s="199">
        <f>+C42</f>
        <v>40567.9012345679</v>
      </c>
      <c r="D60" s="91" t="s">
        <v>81</v>
      </c>
      <c r="E60" s="163" t="s">
        <v>172</v>
      </c>
      <c r="J60" s="91" t="s">
        <v>153</v>
      </c>
      <c r="K60" s="199">
        <f>+K42</f>
        <v>40567.9012345679</v>
      </c>
      <c r="L60" s="91" t="s">
        <v>81</v>
      </c>
      <c r="M60" s="163" t="s">
        <v>172</v>
      </c>
      <c r="S60" s="91" t="s">
        <v>153</v>
      </c>
      <c r="T60" s="199">
        <f>+T42</f>
        <v>40567.9012345679</v>
      </c>
      <c r="U60" s="91" t="s">
        <v>81</v>
      </c>
      <c r="V60" s="163" t="s">
        <v>172</v>
      </c>
    </row>
    <row r="61" spans="1:25" ht="25.5" x14ac:dyDescent="0.2">
      <c r="B61" s="200" t="s">
        <v>173</v>
      </c>
      <c r="C61" s="201">
        <f>+C59/C60</f>
        <v>0.68362751065124772</v>
      </c>
      <c r="D61" s="163" t="s">
        <v>174</v>
      </c>
      <c r="E61" s="91" t="str">
        <f>CONCATENATE("[ ",ROUND(C59,2)," acres / ",ROUND(C60,2)," acres ]")</f>
        <v>[ 27733.33 acres / 40567.9 acres ]</v>
      </c>
      <c r="J61" s="200" t="s">
        <v>173</v>
      </c>
      <c r="K61" s="201">
        <f>+K59/K60</f>
        <v>0.68362751065124772</v>
      </c>
      <c r="L61" s="163" t="s">
        <v>174</v>
      </c>
      <c r="M61" s="91" t="str">
        <f>CONCATENATE("[ ",ROUND(K59,2)," acres / ",ROUND(K60,2)," acres ]")</f>
        <v>[ 27733.33 acres / 40567.9 acres ]</v>
      </c>
      <c r="S61" s="200" t="s">
        <v>173</v>
      </c>
      <c r="T61" s="201">
        <f>+T59/T60</f>
        <v>0.68362751065124772</v>
      </c>
      <c r="U61" s="163" t="s">
        <v>174</v>
      </c>
      <c r="V61" s="91" t="str">
        <f>CONCATENATE("[ ",ROUND(T59,2)," acres / ",ROUND(T60,2)," acres ]")</f>
        <v>[ 27733.33 acres / 40567.9 acres ]</v>
      </c>
    </row>
    <row r="62" spans="1:25" s="124" customFormat="1" x14ac:dyDescent="0.2">
      <c r="I62" s="488"/>
      <c r="J62" s="91"/>
      <c r="K62" s="91"/>
      <c r="L62" s="91"/>
      <c r="M62" s="91"/>
      <c r="N62" s="91"/>
      <c r="O62" s="91"/>
      <c r="P62" s="91"/>
      <c r="Q62" s="91"/>
      <c r="R62" s="488"/>
      <c r="S62" s="91"/>
      <c r="T62" s="91"/>
      <c r="U62" s="91"/>
      <c r="V62" s="91"/>
      <c r="W62" s="91"/>
      <c r="X62" s="91"/>
      <c r="Y62" s="491"/>
    </row>
    <row r="63" spans="1:25" ht="38.25" x14ac:dyDescent="0.2">
      <c r="A63" s="202"/>
      <c r="B63" s="124" t="s">
        <v>175</v>
      </c>
      <c r="C63" s="203">
        <f>+C58*(C51/C60)*0.75</f>
        <v>27379353.582471091</v>
      </c>
      <c r="D63" s="91" t="s">
        <v>176</v>
      </c>
      <c r="E63" s="91" t="str">
        <f>CONCATENATE("[ 75% x ",ROUND(C58,2)," pounds x ",ROUND(C61*100,0),"% ]")</f>
        <v>[ 75% x 53400140 pounds x 68% ]</v>
      </c>
      <c r="I63" s="490"/>
      <c r="J63" s="124" t="s">
        <v>223</v>
      </c>
      <c r="K63" s="203">
        <f>+K58*K61*0.75</f>
        <v>17046.417757760195</v>
      </c>
      <c r="L63" s="91" t="s">
        <v>176</v>
      </c>
      <c r="M63" s="91" t="str">
        <f>CONCATENATE("[ 75% x ",ROUND(K58,2)," pounds x ",ROUND(K61*100,0),"% ]")</f>
        <v>[ 75% x 33246.99 pounds x 68% ]</v>
      </c>
      <c r="R63" s="490"/>
      <c r="S63" s="124" t="s">
        <v>244</v>
      </c>
      <c r="T63" s="203">
        <f>+T58*T61*0.75</f>
        <v>6814.9493463177114</v>
      </c>
      <c r="U63" s="91" t="s">
        <v>176</v>
      </c>
      <c r="V63" s="91" t="str">
        <f>CONCATENATE("[ 75% x ",ROUND(T58,2)," pounds x ",ROUND(T61*100,0),"% ]")</f>
        <v>[ 75% x 13291.74 pounds x 68% ]</v>
      </c>
    </row>
    <row r="64" spans="1:25" ht="26.25" thickBot="1" x14ac:dyDescent="0.25">
      <c r="A64" s="202"/>
      <c r="B64" s="204" t="s">
        <v>177</v>
      </c>
      <c r="C64" s="205">
        <f>+C58*0.25</f>
        <v>13350035</v>
      </c>
      <c r="D64" s="206" t="s">
        <v>176</v>
      </c>
      <c r="E64" s="91" t="str">
        <f>CONCATENATE("[ 25% x ",ROUND(C58,2)," pounds ]")</f>
        <v>[ 25% x 53400140 pounds ]</v>
      </c>
      <c r="I64" s="490"/>
      <c r="J64" s="204" t="s">
        <v>224</v>
      </c>
      <c r="K64" s="205">
        <f>+K58*0.25</f>
        <v>8311.7474999999995</v>
      </c>
      <c r="L64" s="206" t="s">
        <v>176</v>
      </c>
      <c r="M64" s="91" t="str">
        <f>CONCATENATE("[ 25% x ",ROUND(K58,2)," pounds ]")</f>
        <v>[ 25% x 33246.99 pounds ]</v>
      </c>
      <c r="R64" s="490"/>
      <c r="S64" s="204" t="s">
        <v>245</v>
      </c>
      <c r="T64" s="205">
        <f>+T58*0.25</f>
        <v>3322.9349999999999</v>
      </c>
      <c r="U64" s="206" t="s">
        <v>176</v>
      </c>
      <c r="V64" s="91" t="str">
        <f>CONCATENATE("[ 25% x ",ROUND(T58,2)," pounds ]")</f>
        <v>[ 25% x 13291.74 pounds ]</v>
      </c>
    </row>
    <row r="65" spans="1:25" ht="25.5" x14ac:dyDescent="0.2">
      <c r="B65" s="207" t="s">
        <v>178</v>
      </c>
      <c r="C65" s="208">
        <f>+C64+C63</f>
        <v>40729388.582471088</v>
      </c>
      <c r="D65" s="209" t="s">
        <v>133</v>
      </c>
      <c r="J65" s="207" t="s">
        <v>178</v>
      </c>
      <c r="K65" s="208">
        <f>+K64+K63</f>
        <v>25358.165257760193</v>
      </c>
      <c r="L65" s="209" t="s">
        <v>133</v>
      </c>
      <c r="P65" s="124"/>
      <c r="Q65" s="124"/>
      <c r="S65" s="207" t="s">
        <v>178</v>
      </c>
      <c r="T65" s="208">
        <f>+T64+T63</f>
        <v>10137.884346317711</v>
      </c>
      <c r="U65" s="209" t="s">
        <v>133</v>
      </c>
    </row>
    <row r="68" spans="1:25" s="494" customFormat="1" ht="27.95" customHeight="1" x14ac:dyDescent="0.25">
      <c r="A68" s="580" t="s">
        <v>179</v>
      </c>
      <c r="B68" s="580"/>
      <c r="C68" s="580"/>
      <c r="D68" s="580"/>
      <c r="E68" s="580"/>
      <c r="F68" s="580"/>
      <c r="G68" s="580"/>
      <c r="H68" s="492"/>
      <c r="I68" s="581" t="s">
        <v>225</v>
      </c>
      <c r="J68" s="580"/>
      <c r="K68" s="580"/>
      <c r="L68" s="580"/>
      <c r="M68" s="580"/>
      <c r="N68" s="580"/>
      <c r="O68" s="580"/>
      <c r="P68" s="492"/>
      <c r="Q68" s="492"/>
      <c r="R68" s="581" t="s">
        <v>246</v>
      </c>
      <c r="S68" s="580"/>
      <c r="T68" s="580"/>
      <c r="U68" s="580"/>
      <c r="V68" s="580"/>
      <c r="W68" s="580"/>
      <c r="X68" s="580"/>
      <c r="Y68" s="493"/>
    </row>
    <row r="70" spans="1:25" x14ac:dyDescent="0.2">
      <c r="B70" s="94" t="s">
        <v>180</v>
      </c>
      <c r="J70" s="94" t="s">
        <v>180</v>
      </c>
      <c r="S70" s="94" t="s">
        <v>180</v>
      </c>
    </row>
    <row r="71" spans="1:25" x14ac:dyDescent="0.2">
      <c r="B71" s="182" t="s">
        <v>157</v>
      </c>
      <c r="C71" s="210">
        <f>+TechDocs!E16</f>
        <v>0.15</v>
      </c>
      <c r="J71" s="182" t="s">
        <v>157</v>
      </c>
      <c r="K71" s="210">
        <f>+TechDocs!E16</f>
        <v>0.15</v>
      </c>
      <c r="S71" s="182" t="s">
        <v>157</v>
      </c>
      <c r="T71" s="210">
        <f>+TechDocs!E16</f>
        <v>0.15</v>
      </c>
    </row>
    <row r="72" spans="1:25" x14ac:dyDescent="0.2">
      <c r="B72" s="187" t="s">
        <v>159</v>
      </c>
      <c r="C72" s="210">
        <f>+TechDocs!E17</f>
        <v>0.52</v>
      </c>
      <c r="J72" s="187" t="s">
        <v>159</v>
      </c>
      <c r="K72" s="210">
        <f>+TechDocs!E17</f>
        <v>0.52</v>
      </c>
      <c r="S72" s="187" t="s">
        <v>159</v>
      </c>
      <c r="T72" s="210">
        <f>+TechDocs!E17</f>
        <v>0.52</v>
      </c>
    </row>
    <row r="73" spans="1:25" x14ac:dyDescent="0.2">
      <c r="B73" s="182" t="s">
        <v>161</v>
      </c>
      <c r="C73" s="210">
        <f>+TechDocs!E18</f>
        <v>0.87</v>
      </c>
      <c r="J73" s="182" t="s">
        <v>161</v>
      </c>
      <c r="K73" s="210">
        <f>+TechDocs!E18</f>
        <v>0.87</v>
      </c>
      <c r="S73" s="182" t="s">
        <v>161</v>
      </c>
      <c r="T73" s="210">
        <f>+TechDocs!E18</f>
        <v>0.87</v>
      </c>
    </row>
    <row r="76" spans="1:25" s="494" customFormat="1" ht="27.95" customHeight="1" x14ac:dyDescent="0.25">
      <c r="A76" s="580" t="s">
        <v>181</v>
      </c>
      <c r="B76" s="580"/>
      <c r="C76" s="580"/>
      <c r="D76" s="580"/>
      <c r="E76" s="580"/>
      <c r="F76" s="580"/>
      <c r="G76" s="580"/>
      <c r="H76" s="492"/>
      <c r="I76" s="581" t="s">
        <v>181</v>
      </c>
      <c r="J76" s="580"/>
      <c r="K76" s="580"/>
      <c r="L76" s="580"/>
      <c r="M76" s="580"/>
      <c r="N76" s="580"/>
      <c r="O76" s="580"/>
      <c r="P76" s="492"/>
      <c r="Q76" s="492"/>
      <c r="R76" s="581" t="s">
        <v>181</v>
      </c>
      <c r="S76" s="580"/>
      <c r="T76" s="580"/>
      <c r="U76" s="580"/>
      <c r="V76" s="580"/>
      <c r="W76" s="580"/>
      <c r="X76" s="580"/>
      <c r="Y76" s="493"/>
    </row>
    <row r="78" spans="1:25" x14ac:dyDescent="0.2">
      <c r="B78" s="94" t="s">
        <v>182</v>
      </c>
      <c r="J78" s="94" t="s">
        <v>182</v>
      </c>
      <c r="S78" s="94" t="s">
        <v>182</v>
      </c>
    </row>
    <row r="79" spans="1:25" x14ac:dyDescent="0.2">
      <c r="B79" s="212" t="s">
        <v>157</v>
      </c>
      <c r="C79" s="183">
        <f>+C48*C71</f>
        <v>3505.9259259259256</v>
      </c>
      <c r="D79" s="167" t="s">
        <v>183</v>
      </c>
      <c r="E79" s="213" t="str">
        <f>CONCATENATE(" [ ",ROUND(C48,2)," acres x ",C71*100," percent ]")</f>
        <v xml:space="preserve"> [ 23372.84 acres x 15 percent ]</v>
      </c>
      <c r="F79" s="167"/>
      <c r="G79" s="186"/>
      <c r="J79" s="212" t="s">
        <v>157</v>
      </c>
      <c r="K79" s="183">
        <f>+K48*K71</f>
        <v>3505.9259259259256</v>
      </c>
      <c r="L79" s="167" t="s">
        <v>183</v>
      </c>
      <c r="M79" s="213" t="str">
        <f>CONCATENATE(" [ ",ROUND(K48,2)," acres x ",K71*100," percent ]")</f>
        <v xml:space="preserve"> [ 23372.84 acres x 15 percent ]</v>
      </c>
      <c r="N79" s="167"/>
      <c r="O79" s="186"/>
      <c r="S79" s="212" t="s">
        <v>157</v>
      </c>
      <c r="T79" s="183">
        <f>+T48*T71</f>
        <v>3505.9259259259256</v>
      </c>
      <c r="U79" s="167" t="s">
        <v>183</v>
      </c>
      <c r="V79" s="213" t="str">
        <f>CONCATENATE(" [ ",ROUND(T48,2)," acres x ",T71*100," percent ]")</f>
        <v xml:space="preserve"> [ 23372.84 acres x 15 percent ]</v>
      </c>
      <c r="W79" s="167"/>
      <c r="X79" s="186"/>
    </row>
    <row r="80" spans="1:25" x14ac:dyDescent="0.2">
      <c r="B80" s="214" t="s">
        <v>159</v>
      </c>
      <c r="C80" s="188">
        <f>+C49*C72</f>
        <v>1765.4320987654321</v>
      </c>
      <c r="D80" s="191" t="s">
        <v>183</v>
      </c>
      <c r="E80" s="215" t="str">
        <f>CONCATENATE(" [ ",ROUND(C49,2)," acres x ",C72*100," percent ]")</f>
        <v xml:space="preserve"> [ 3395.06 acres x 52 percent ]</v>
      </c>
      <c r="F80" s="191"/>
      <c r="G80" s="192"/>
      <c r="J80" s="214" t="s">
        <v>159</v>
      </c>
      <c r="K80" s="188">
        <f>+K49*K72</f>
        <v>1765.4320987654321</v>
      </c>
      <c r="L80" s="191" t="s">
        <v>183</v>
      </c>
      <c r="M80" s="215" t="str">
        <f>CONCATENATE(" [ ",ROUND(K49,2)," acres x ",K72*100," percent ]")</f>
        <v xml:space="preserve"> [ 3395.06 acres x 52 percent ]</v>
      </c>
      <c r="N80" s="191"/>
      <c r="O80" s="192"/>
      <c r="S80" s="214" t="s">
        <v>159</v>
      </c>
      <c r="T80" s="188">
        <f>+T49*T72</f>
        <v>1765.4320987654321</v>
      </c>
      <c r="U80" s="191" t="s">
        <v>183</v>
      </c>
      <c r="V80" s="215" t="str">
        <f>CONCATENATE(" [ ",ROUND(T49,2)," acres x ",T72*100," percent ]")</f>
        <v xml:space="preserve"> [ 3395.06 acres x 52 percent ]</v>
      </c>
      <c r="W80" s="191"/>
      <c r="X80" s="192"/>
    </row>
    <row r="81" spans="1:25" ht="13.5" thickBot="1" x14ac:dyDescent="0.25">
      <c r="B81" s="216" t="s">
        <v>161</v>
      </c>
      <c r="C81" s="194">
        <f>+C50*C73</f>
        <v>839.92592592592587</v>
      </c>
      <c r="D81" s="217" t="s">
        <v>183</v>
      </c>
      <c r="E81" s="213" t="str">
        <f>CONCATENATE(" [ ",ROUND(C50,2)," acres x ",C73*100," percent ]")</f>
        <v xml:space="preserve"> [ 965.43 acres x 87 percent ]</v>
      </c>
      <c r="F81" s="167"/>
      <c r="G81" s="186"/>
      <c r="J81" s="216" t="s">
        <v>161</v>
      </c>
      <c r="K81" s="194">
        <f>+K50*K73</f>
        <v>839.92592592592587</v>
      </c>
      <c r="L81" s="217" t="s">
        <v>183</v>
      </c>
      <c r="M81" s="213" t="str">
        <f>CONCATENATE(" [ ",ROUND(K50,2)," acres x ",K73*100," percent ]")</f>
        <v xml:space="preserve"> [ 965.43 acres x 87 percent ]</v>
      </c>
      <c r="N81" s="167"/>
      <c r="O81" s="186"/>
      <c r="S81" s="216" t="s">
        <v>161</v>
      </c>
      <c r="T81" s="194">
        <f>+T50*T73</f>
        <v>839.92592592592587</v>
      </c>
      <c r="U81" s="217" t="s">
        <v>183</v>
      </c>
      <c r="V81" s="213" t="str">
        <f>CONCATENATE(" [ ",ROUND(T50,2)," acres x ",T73*100," percent ]")</f>
        <v xml:space="preserve"> [ 965.43 acres x 87 percent ]</v>
      </c>
      <c r="W81" s="167"/>
      <c r="X81" s="186"/>
    </row>
    <row r="82" spans="1:25" ht="25.5" x14ac:dyDescent="0.2">
      <c r="B82" s="218" t="s">
        <v>184</v>
      </c>
      <c r="C82" s="219">
        <f>+C79+C80+C81</f>
        <v>6111.2839506172841</v>
      </c>
      <c r="D82" s="91" t="s">
        <v>81</v>
      </c>
      <c r="J82" s="218" t="s">
        <v>184</v>
      </c>
      <c r="K82" s="219">
        <f>+K79+K80+K81</f>
        <v>6111.2839506172841</v>
      </c>
      <c r="L82" s="91" t="s">
        <v>81</v>
      </c>
      <c r="S82" s="218" t="s">
        <v>184</v>
      </c>
      <c r="T82" s="219">
        <f>+T79+T80+T81</f>
        <v>6111.2839506172841</v>
      </c>
      <c r="U82" s="91" t="s">
        <v>81</v>
      </c>
    </row>
    <row r="85" spans="1:25" s="494" customFormat="1" ht="27.95" customHeight="1" x14ac:dyDescent="0.25">
      <c r="A85" s="580" t="s">
        <v>185</v>
      </c>
      <c r="B85" s="580"/>
      <c r="C85" s="580"/>
      <c r="D85" s="580"/>
      <c r="E85" s="580"/>
      <c r="F85" s="580"/>
      <c r="G85" s="580"/>
      <c r="H85" s="492"/>
      <c r="I85" s="581" t="s">
        <v>185</v>
      </c>
      <c r="J85" s="580"/>
      <c r="K85" s="580"/>
      <c r="L85" s="580"/>
      <c r="M85" s="580"/>
      <c r="N85" s="580"/>
      <c r="O85" s="580"/>
      <c r="P85" s="492"/>
      <c r="Q85" s="492"/>
      <c r="R85" s="581" t="s">
        <v>185</v>
      </c>
      <c r="S85" s="580"/>
      <c r="T85" s="580"/>
      <c r="U85" s="580"/>
      <c r="V85" s="580"/>
      <c r="W85" s="580"/>
      <c r="X85" s="580"/>
      <c r="Y85" s="493"/>
    </row>
    <row r="87" spans="1:25" x14ac:dyDescent="0.2">
      <c r="B87" s="94" t="s">
        <v>186</v>
      </c>
      <c r="J87" s="94" t="s">
        <v>186</v>
      </c>
      <c r="S87" s="94" t="s">
        <v>186</v>
      </c>
    </row>
    <row r="88" spans="1:25" x14ac:dyDescent="0.2">
      <c r="B88" s="182" t="s">
        <v>157</v>
      </c>
      <c r="C88" s="210">
        <f>+C79/(C$79+C$80+C$81)</f>
        <v>0.57368074438298711</v>
      </c>
      <c r="D88" s="220" t="s">
        <v>187</v>
      </c>
      <c r="E88" s="213" t="str">
        <f>CONCATENATE(" [ ",ROUND(C79,2)," acres / ",ROUND(C82,2)," acres ]")</f>
        <v xml:space="preserve"> [ 3505.93 acres / 6111.28 acres ]</v>
      </c>
      <c r="F88" s="167"/>
      <c r="G88" s="186"/>
      <c r="J88" s="182" t="s">
        <v>157</v>
      </c>
      <c r="K88" s="210">
        <f>+K79/(K$79+K$80+K$81)</f>
        <v>0.57368074438298711</v>
      </c>
      <c r="L88" s="220" t="s">
        <v>187</v>
      </c>
      <c r="M88" s="213" t="str">
        <f>CONCATENATE(" [ ",ROUND(K79,2)," acres / ",ROUND(K82,2)," acres ]")</f>
        <v xml:space="preserve"> [ 3505.93 acres / 6111.28 acres ]</v>
      </c>
      <c r="N88" s="167"/>
      <c r="O88" s="186"/>
      <c r="S88" s="182" t="s">
        <v>157</v>
      </c>
      <c r="T88" s="210">
        <f>+T79/(T$79+T$80+T$81)</f>
        <v>0.57368074438298711</v>
      </c>
      <c r="U88" s="220" t="s">
        <v>187</v>
      </c>
      <c r="V88" s="213" t="str">
        <f>CONCATENATE(" [ ",ROUND(T79,2)," acres / ",ROUND(T82,2)," acres ]")</f>
        <v xml:space="preserve"> [ 3505.93 acres / 6111.28 acres ]</v>
      </c>
      <c r="W88" s="167"/>
      <c r="X88" s="186"/>
    </row>
    <row r="89" spans="1:25" x14ac:dyDescent="0.2">
      <c r="B89" s="187" t="s">
        <v>159</v>
      </c>
      <c r="C89" s="211">
        <f>+C80/(C$79+C$80+C$81)</f>
        <v>0.28888071852513264</v>
      </c>
      <c r="D89" s="221" t="s">
        <v>187</v>
      </c>
      <c r="E89" s="215" t="str">
        <f>CONCATENATE(" [ ",ROUND(C80,2)," acres / ",ROUND(C82,2)," acres ]")</f>
        <v xml:space="preserve"> [ 1765.43 acres / 6111.28 acres ]</v>
      </c>
      <c r="F89" s="191"/>
      <c r="G89" s="192"/>
      <c r="J89" s="187" t="s">
        <v>159</v>
      </c>
      <c r="K89" s="211">
        <f>+K80/(K$79+K$80+K$81)</f>
        <v>0.28888071852513264</v>
      </c>
      <c r="L89" s="221" t="s">
        <v>187</v>
      </c>
      <c r="M89" s="215" t="str">
        <f>CONCATENATE(" [ ",ROUND(K80,2)," acres / ",ROUND(K82,2)," acres ]")</f>
        <v xml:space="preserve"> [ 1765.43 acres / 6111.28 acres ]</v>
      </c>
      <c r="N89" s="191"/>
      <c r="O89" s="192"/>
      <c r="S89" s="187" t="s">
        <v>159</v>
      </c>
      <c r="T89" s="211">
        <f>+T80/(T$79+T$80+T$81)</f>
        <v>0.28888071852513264</v>
      </c>
      <c r="U89" s="221" t="s">
        <v>187</v>
      </c>
      <c r="V89" s="215" t="str">
        <f>CONCATENATE(" [ ",ROUND(T80,2)," acres / ",ROUND(T82,2)," acres ]")</f>
        <v xml:space="preserve"> [ 1765.43 acres / 6111.28 acres ]</v>
      </c>
      <c r="W89" s="191"/>
      <c r="X89" s="192"/>
    </row>
    <row r="90" spans="1:25" ht="13.5" thickBot="1" x14ac:dyDescent="0.25">
      <c r="B90" s="193" t="s">
        <v>161</v>
      </c>
      <c r="C90" s="222">
        <f>+C81/(C$79+C$80+C$81)</f>
        <v>0.13743853709188023</v>
      </c>
      <c r="D90" s="220" t="s">
        <v>187</v>
      </c>
      <c r="E90" s="213" t="str">
        <f>CONCATENATE(" [ ",ROUND(C81,2)," acres / ",ROUND(C82,2)," acres ]")</f>
        <v xml:space="preserve"> [ 839.93 acres / 6111.28 acres ]</v>
      </c>
      <c r="F90" s="167"/>
      <c r="G90" s="186"/>
      <c r="J90" s="193" t="s">
        <v>161</v>
      </c>
      <c r="K90" s="222">
        <f>+K81/(K$79+K$80+K$81)</f>
        <v>0.13743853709188023</v>
      </c>
      <c r="L90" s="220" t="s">
        <v>187</v>
      </c>
      <c r="M90" s="213" t="str">
        <f>CONCATENATE(" [ ",ROUND(K81,2)," acres / ",ROUND(K82,2)," acres ]")</f>
        <v xml:space="preserve"> [ 839.93 acres / 6111.28 acres ]</v>
      </c>
      <c r="N90" s="167"/>
      <c r="O90" s="186"/>
      <c r="S90" s="193" t="s">
        <v>161</v>
      </c>
      <c r="T90" s="222">
        <f>+T81/(T$79+T$80+T$81)</f>
        <v>0.13743853709188023</v>
      </c>
      <c r="U90" s="220" t="s">
        <v>187</v>
      </c>
      <c r="V90" s="213" t="str">
        <f>CONCATENATE(" [ ",ROUND(T81,2)," acres / ",ROUND(T82,2)," acres ]")</f>
        <v xml:space="preserve"> [ 839.93 acres / 6111.28 acres ]</v>
      </c>
      <c r="W90" s="167"/>
      <c r="X90" s="186"/>
    </row>
    <row r="91" spans="1:25" x14ac:dyDescent="0.2">
      <c r="B91" s="91" t="s">
        <v>163</v>
      </c>
      <c r="C91" s="223">
        <f>+C88+C89+C90</f>
        <v>1</v>
      </c>
      <c r="J91" s="91" t="s">
        <v>163</v>
      </c>
      <c r="K91" s="223">
        <f>+K88+K89+K90</f>
        <v>1</v>
      </c>
      <c r="S91" s="91" t="s">
        <v>163</v>
      </c>
      <c r="T91" s="223">
        <f>+T88+T89+T90</f>
        <v>1</v>
      </c>
    </row>
    <row r="94" spans="1:25" s="494" customFormat="1" ht="27.95" customHeight="1" x14ac:dyDescent="0.25">
      <c r="A94" s="580" t="s">
        <v>188</v>
      </c>
      <c r="B94" s="580"/>
      <c r="C94" s="580"/>
      <c r="D94" s="580"/>
      <c r="E94" s="580"/>
      <c r="F94" s="580"/>
      <c r="G94" s="580"/>
      <c r="H94" s="492"/>
      <c r="I94" s="581" t="s">
        <v>226</v>
      </c>
      <c r="J94" s="580"/>
      <c r="K94" s="580"/>
      <c r="L94" s="580"/>
      <c r="M94" s="580"/>
      <c r="N94" s="580"/>
      <c r="O94" s="580"/>
      <c r="P94" s="492"/>
      <c r="Q94" s="492"/>
      <c r="R94" s="581" t="s">
        <v>247</v>
      </c>
      <c r="S94" s="580"/>
      <c r="T94" s="580"/>
      <c r="U94" s="580"/>
      <c r="V94" s="580"/>
      <c r="W94" s="580"/>
      <c r="X94" s="580"/>
      <c r="Y94" s="493"/>
    </row>
    <row r="96" spans="1:25" ht="25.5" x14ac:dyDescent="0.2">
      <c r="B96" s="224" t="s">
        <v>178</v>
      </c>
      <c r="C96" s="112">
        <f>+C65</f>
        <v>40729388.582471088</v>
      </c>
      <c r="D96" s="91" t="s">
        <v>189</v>
      </c>
      <c r="E96" s="163" t="s">
        <v>190</v>
      </c>
      <c r="J96" s="224" t="s">
        <v>178</v>
      </c>
      <c r="K96" s="112">
        <f>+K65</f>
        <v>25358.165257760193</v>
      </c>
      <c r="L96" s="91" t="s">
        <v>189</v>
      </c>
      <c r="M96" s="163" t="s">
        <v>190</v>
      </c>
      <c r="S96" s="224" t="s">
        <v>178</v>
      </c>
      <c r="T96" s="112">
        <f>+T65</f>
        <v>10137.884346317711</v>
      </c>
      <c r="U96" s="91" t="s">
        <v>189</v>
      </c>
      <c r="V96" s="163" t="s">
        <v>190</v>
      </c>
    </row>
    <row r="97" spans="1:25" ht="25.5" x14ac:dyDescent="0.2">
      <c r="B97" s="179" t="s">
        <v>191</v>
      </c>
      <c r="C97" s="203">
        <f>+C63</f>
        <v>27379353.582471091</v>
      </c>
      <c r="D97" s="91" t="s">
        <v>189</v>
      </c>
      <c r="E97" s="163" t="s">
        <v>190</v>
      </c>
      <c r="J97" s="179" t="s">
        <v>227</v>
      </c>
      <c r="K97" s="203">
        <f>+K63</f>
        <v>17046.417757760195</v>
      </c>
      <c r="L97" s="91" t="s">
        <v>189</v>
      </c>
      <c r="M97" s="163" t="s">
        <v>190</v>
      </c>
      <c r="S97" s="179" t="s">
        <v>191</v>
      </c>
      <c r="T97" s="203">
        <f>+T63</f>
        <v>6814.9493463177114</v>
      </c>
      <c r="U97" s="91" t="s">
        <v>189</v>
      </c>
      <c r="V97" s="163" t="s">
        <v>190</v>
      </c>
    </row>
    <row r="98" spans="1:25" ht="25.5" x14ac:dyDescent="0.2">
      <c r="B98" s="179" t="s">
        <v>192</v>
      </c>
      <c r="C98" s="203">
        <f>+C64</f>
        <v>13350035</v>
      </c>
      <c r="D98" s="91" t="s">
        <v>189</v>
      </c>
      <c r="E98" s="163" t="s">
        <v>190</v>
      </c>
      <c r="J98" s="179" t="s">
        <v>228</v>
      </c>
      <c r="K98" s="203">
        <f>+K64</f>
        <v>8311.7474999999995</v>
      </c>
      <c r="L98" s="91" t="s">
        <v>189</v>
      </c>
      <c r="M98" s="163" t="s">
        <v>190</v>
      </c>
      <c r="S98" s="179" t="s">
        <v>248</v>
      </c>
      <c r="T98" s="203">
        <f>+T64</f>
        <v>3322.9349999999999</v>
      </c>
      <c r="U98" s="91" t="s">
        <v>189</v>
      </c>
      <c r="V98" s="163" t="s">
        <v>190</v>
      </c>
    </row>
    <row r="101" spans="1:25" s="494" customFormat="1" ht="27.95" customHeight="1" x14ac:dyDescent="0.25">
      <c r="A101" s="580" t="s">
        <v>193</v>
      </c>
      <c r="B101" s="580"/>
      <c r="C101" s="580"/>
      <c r="D101" s="580"/>
      <c r="E101" s="580"/>
      <c r="F101" s="580"/>
      <c r="G101" s="580"/>
      <c r="H101" s="492"/>
      <c r="I101" s="581" t="s">
        <v>193</v>
      </c>
      <c r="J101" s="580"/>
      <c r="K101" s="580"/>
      <c r="L101" s="580"/>
      <c r="M101" s="580"/>
      <c r="N101" s="580"/>
      <c r="O101" s="580"/>
      <c r="P101" s="492"/>
      <c r="Q101" s="492"/>
      <c r="R101" s="581" t="s">
        <v>193</v>
      </c>
      <c r="S101" s="580"/>
      <c r="T101" s="580"/>
      <c r="U101" s="580"/>
      <c r="V101" s="580"/>
      <c r="W101" s="580"/>
      <c r="X101" s="580"/>
      <c r="Y101" s="493"/>
    </row>
    <row r="102" spans="1:25" x14ac:dyDescent="0.2">
      <c r="A102" s="572" t="str">
        <f>CONCATENATE("multiplying the 'Percent of Total Impervious Surfaces' (Step 8) by ",ROUND(C98,2)," pounds (calculated in Step 9):")</f>
        <v>multiplying the 'Percent of Total Impervious Surfaces' (Step 8) by 13350035 pounds (calculated in Step 9):</v>
      </c>
      <c r="B102" s="572"/>
      <c r="C102" s="572"/>
      <c r="D102" s="572"/>
      <c r="E102" s="572"/>
      <c r="F102" s="572"/>
      <c r="G102" s="572"/>
      <c r="I102" s="572" t="str">
        <f>CONCATENATE("multiplying the 'Percent of Total Impervious Surfaces' (Step 8) by ",ROUND(K98,2)," pounds (calculated in Step 9):")</f>
        <v>multiplying the 'Percent of Total Impervious Surfaces' (Step 8) by 8311.75 pounds (calculated in Step 9):</v>
      </c>
      <c r="J102" s="572"/>
      <c r="K102" s="572"/>
      <c r="L102" s="572"/>
      <c r="M102" s="572"/>
      <c r="N102" s="572"/>
      <c r="O102" s="572"/>
      <c r="R102" s="572" t="str">
        <f>CONCATENATE("multiplying the 'Percent of Total Impervious Surfaces' (Step 8) by ",ROUND(T98,2)," pounds (calculated in Step 9):")</f>
        <v>multiplying the 'Percent of Total Impervious Surfaces' (Step 8) by 3322.94 pounds (calculated in Step 9):</v>
      </c>
      <c r="S102" s="572"/>
      <c r="T102" s="572"/>
      <c r="U102" s="572"/>
      <c r="V102" s="572"/>
      <c r="W102" s="572"/>
      <c r="X102" s="572"/>
    </row>
    <row r="103" spans="1:25" x14ac:dyDescent="0.2">
      <c r="A103" s="179"/>
      <c r="B103" s="179"/>
      <c r="C103" s="179"/>
      <c r="D103" s="179"/>
      <c r="E103" s="179"/>
      <c r="F103" s="179"/>
      <c r="G103" s="179"/>
      <c r="I103" s="489"/>
      <c r="J103" s="179"/>
      <c r="K103" s="179"/>
      <c r="L103" s="179"/>
      <c r="M103" s="179"/>
      <c r="N103" s="179"/>
      <c r="O103" s="179"/>
      <c r="R103" s="489"/>
      <c r="S103" s="179"/>
      <c r="T103" s="179"/>
      <c r="U103" s="179"/>
      <c r="V103" s="179"/>
      <c r="W103" s="179"/>
      <c r="X103" s="179"/>
    </row>
    <row r="104" spans="1:25" x14ac:dyDescent="0.2">
      <c r="B104" s="94" t="s">
        <v>194</v>
      </c>
      <c r="C104" s="218"/>
      <c r="D104" s="218"/>
      <c r="E104" s="218"/>
      <c r="F104" s="124"/>
      <c r="J104" s="94" t="s">
        <v>229</v>
      </c>
      <c r="K104" s="218"/>
      <c r="L104" s="218"/>
      <c r="M104" s="218"/>
      <c r="N104" s="124"/>
      <c r="S104" s="94" t="s">
        <v>249</v>
      </c>
      <c r="T104" s="218"/>
      <c r="U104" s="218"/>
      <c r="V104" s="218"/>
      <c r="W104" s="124"/>
    </row>
    <row r="105" spans="1:25" x14ac:dyDescent="0.2">
      <c r="B105" s="182" t="s">
        <v>157</v>
      </c>
      <c r="C105" s="168">
        <f>C88*C$98</f>
        <v>7658658.0163389314</v>
      </c>
      <c r="D105" s="585" t="str">
        <f>CONCATENATE("=   [ ",ROUND(C88*100,0)," % x ",ROUND(C$98,2)," pounds ]")</f>
        <v>=   [ 57 % x 13350035 pounds ]</v>
      </c>
      <c r="E105" s="586"/>
      <c r="F105" s="586"/>
      <c r="G105" s="586"/>
      <c r="J105" s="182" t="s">
        <v>157</v>
      </c>
      <c r="K105" s="168">
        <f>K88*K$97</f>
        <v>9779.2016283352386</v>
      </c>
      <c r="L105" s="585" t="str">
        <f>CONCATENATE("=   [ ",ROUND(K88*100,0)," % x ",ROUND(K$98,2)," pounds ]")</f>
        <v>=   [ 57 % x 8311.75 pounds ]</v>
      </c>
      <c r="M105" s="586"/>
      <c r="N105" s="586"/>
      <c r="O105" s="586"/>
      <c r="S105" s="182" t="s">
        <v>157</v>
      </c>
      <c r="T105" s="168">
        <f>T88*T$98</f>
        <v>1906.3038243362812</v>
      </c>
      <c r="U105" s="585" t="str">
        <f>CONCATENATE("=   [ ",ROUND(T88*100,0)," % x ",ROUND(T$98,2)," pounds ]")</f>
        <v>=   [ 57 % x 3322.94 pounds ]</v>
      </c>
      <c r="V105" s="586"/>
      <c r="W105" s="586"/>
      <c r="X105" s="586"/>
    </row>
    <row r="106" spans="1:25" x14ac:dyDescent="0.2">
      <c r="B106" s="187" t="s">
        <v>159</v>
      </c>
      <c r="C106" s="225">
        <f>C89*C$98</f>
        <v>3856567.7031356692</v>
      </c>
      <c r="D106" s="587" t="str">
        <f>CONCATENATE("=   [ ",ROUND(C89*100,0)," % x ",ROUND(C$98,2)," pounds ]")</f>
        <v>=   [ 29 % x 13350035 pounds ]</v>
      </c>
      <c r="E106" s="588"/>
      <c r="F106" s="588"/>
      <c r="G106" s="588"/>
      <c r="J106" s="187" t="s">
        <v>159</v>
      </c>
      <c r="K106" s="225">
        <f>K89*K$97</f>
        <v>4924.3814101413454</v>
      </c>
      <c r="L106" s="587" t="str">
        <f>CONCATENATE("=   [ ",ROUND(K89*100,0)," % x ",ROUND(K$98,2)," pounds ]")</f>
        <v>=   [ 29 % x 8311.75 pounds ]</v>
      </c>
      <c r="M106" s="588"/>
      <c r="N106" s="588"/>
      <c r="O106" s="588"/>
      <c r="S106" s="187" t="s">
        <v>159</v>
      </c>
      <c r="T106" s="225">
        <f>T89*T$98</f>
        <v>959.93185041231163</v>
      </c>
      <c r="U106" s="587" t="str">
        <f>CONCATENATE("=   [ ",ROUND(T89*100,0)," % x ",ROUND(T$98,2)," pounds ]")</f>
        <v>=   [ 29 % x 3322.94 pounds ]</v>
      </c>
      <c r="V106" s="588"/>
      <c r="W106" s="588"/>
      <c r="X106" s="588"/>
    </row>
    <row r="107" spans="1:25" x14ac:dyDescent="0.2">
      <c r="B107" s="182" t="s">
        <v>161</v>
      </c>
      <c r="C107" s="168">
        <f>C90*C$98</f>
        <v>1834809.2805253991</v>
      </c>
      <c r="D107" s="585" t="str">
        <f>CONCATENATE("=   [ ",ROUND(C90*100,0)," % x ",ROUND(C$98,2)," pounds ]")</f>
        <v>=   [ 14 % x 13350035 pounds ]</v>
      </c>
      <c r="E107" s="586"/>
      <c r="F107" s="586"/>
      <c r="G107" s="586"/>
      <c r="J107" s="182" t="s">
        <v>161</v>
      </c>
      <c r="K107" s="168">
        <f>K90*K$97</f>
        <v>2342.8347192836104</v>
      </c>
      <c r="L107" s="585" t="str">
        <f>CONCATENATE("=   [ ",ROUND(K90*100,0)," % x ",ROUND(K$98,2)," pounds ]")</f>
        <v>=   [ 14 % x 8311.75 pounds ]</v>
      </c>
      <c r="M107" s="586"/>
      <c r="N107" s="586"/>
      <c r="O107" s="586"/>
      <c r="S107" s="182" t="s">
        <v>161</v>
      </c>
      <c r="T107" s="168">
        <f>T90*T$98</f>
        <v>456.699325251407</v>
      </c>
      <c r="U107" s="585" t="str">
        <f>CONCATENATE("=   [ ",ROUND(T90*100,0)," % x ",ROUND(T$98,2)," pounds ]")</f>
        <v>=   [ 14 % x 3322.94 pounds ]</v>
      </c>
      <c r="V107" s="586"/>
      <c r="W107" s="586"/>
      <c r="X107" s="586"/>
    </row>
    <row r="108" spans="1:25" x14ac:dyDescent="0.2">
      <c r="C108" s="226"/>
      <c r="K108" s="226"/>
      <c r="T108" s="226"/>
    </row>
    <row r="110" spans="1:25" s="494" customFormat="1" ht="27.95" customHeight="1" x14ac:dyDescent="0.25">
      <c r="A110" s="580" t="s">
        <v>195</v>
      </c>
      <c r="B110" s="580"/>
      <c r="C110" s="580"/>
      <c r="D110" s="580"/>
      <c r="E110" s="580"/>
      <c r="F110" s="580"/>
      <c r="G110" s="580"/>
      <c r="H110" s="492"/>
      <c r="I110" s="581" t="s">
        <v>195</v>
      </c>
      <c r="J110" s="580"/>
      <c r="K110" s="580"/>
      <c r="L110" s="580"/>
      <c r="M110" s="580"/>
      <c r="N110" s="580"/>
      <c r="O110" s="580"/>
      <c r="P110" s="492"/>
      <c r="Q110" s="492"/>
      <c r="R110" s="581" t="s">
        <v>195</v>
      </c>
      <c r="S110" s="580"/>
      <c r="T110" s="580"/>
      <c r="U110" s="580"/>
      <c r="V110" s="580"/>
      <c r="W110" s="580"/>
      <c r="X110" s="580"/>
      <c r="Y110" s="493"/>
    </row>
    <row r="111" spans="1:25" x14ac:dyDescent="0.2">
      <c r="A111" s="572" t="str">
        <f>CONCATENATE("the 'Percent of Area of Developed Lands' (from Step 4) by ",ROUND(C97,2)," pounds (calculated in Step 9):")</f>
        <v>the 'Percent of Area of Developed Lands' (from Step 4) by 27379353.58 pounds (calculated in Step 9):</v>
      </c>
      <c r="B111" s="572"/>
      <c r="C111" s="572"/>
      <c r="D111" s="572"/>
      <c r="E111" s="572"/>
      <c r="F111" s="572"/>
      <c r="G111" s="572"/>
      <c r="I111" s="572" t="str">
        <f>CONCATENATE("the 'Percent of Area of Developed Lands' (from Step 4) by ",ROUND(K97,2)," pounds (calculated in Step 9):")</f>
        <v>the 'Percent of Area of Developed Lands' (from Step 4) by 17046.42 pounds (calculated in Step 9):</v>
      </c>
      <c r="J111" s="572"/>
      <c r="K111" s="572"/>
      <c r="L111" s="572"/>
      <c r="M111" s="572"/>
      <c r="N111" s="572"/>
      <c r="O111" s="572"/>
      <c r="R111" s="572" t="str">
        <f>CONCATENATE("the 'Percent of Area of Developed Lands' (from Step 4) by ",ROUND(T97,2)," pounds (calculated in Step 9):")</f>
        <v>the 'Percent of Area of Developed Lands' (from Step 4) by 6814.95 pounds (calculated in Step 9):</v>
      </c>
      <c r="S111" s="572"/>
      <c r="T111" s="572"/>
      <c r="U111" s="572"/>
      <c r="V111" s="572"/>
      <c r="W111" s="572"/>
      <c r="X111" s="572"/>
    </row>
    <row r="113" spans="1:25" x14ac:dyDescent="0.2">
      <c r="B113" s="94" t="s">
        <v>196</v>
      </c>
      <c r="C113" s="218"/>
      <c r="D113" s="218"/>
      <c r="E113" s="218"/>
      <c r="J113" s="94" t="s">
        <v>230</v>
      </c>
      <c r="K113" s="218"/>
      <c r="L113" s="218"/>
      <c r="M113" s="218"/>
      <c r="S113" s="94" t="s">
        <v>250</v>
      </c>
      <c r="T113" s="218"/>
      <c r="U113" s="218"/>
      <c r="V113" s="218"/>
    </row>
    <row r="114" spans="1:25" x14ac:dyDescent="0.2">
      <c r="B114" s="182" t="s">
        <v>157</v>
      </c>
      <c r="C114" s="168">
        <f>(C48/C$51)*C$97</f>
        <v>23074515.759586122</v>
      </c>
      <c r="D114" s="585" t="str">
        <f>CONCATENATE("=   [ ",ROUND(D48*100,0)," % x ",ROUND(C$97,2)," pounds ]")</f>
        <v>=   [ 84 % x 27379353.58 pounds ]</v>
      </c>
      <c r="E114" s="586"/>
      <c r="F114" s="586"/>
      <c r="G114" s="586"/>
      <c r="J114" s="182" t="s">
        <v>157</v>
      </c>
      <c r="K114" s="168">
        <f>K48/K$51*K$98</f>
        <v>7004.8968870192293</v>
      </c>
      <c r="L114" s="585" t="str">
        <f>CONCATENATE("=   [ ",ROUND(L48*100,0)," % x ",ROUND(K$97,2)," pounds ]")</f>
        <v>=   [ 84 % x 17046.42 pounds ]</v>
      </c>
      <c r="M114" s="586"/>
      <c r="N114" s="586"/>
      <c r="O114" s="586"/>
      <c r="S114" s="182" t="s">
        <v>157</v>
      </c>
      <c r="T114" s="168">
        <f>T48/T$51*T$97</f>
        <v>5743.4393262325011</v>
      </c>
      <c r="U114" s="585" t="str">
        <f>CONCATENATE("=   [ ",ROUND(U48*100,0)," % x ",ROUND(T$97,2)," pounds ]")</f>
        <v>=   [ 84 % x 6814.95 pounds ]</v>
      </c>
      <c r="V114" s="586"/>
      <c r="W114" s="586"/>
      <c r="X114" s="586"/>
    </row>
    <row r="115" spans="1:25" x14ac:dyDescent="0.2">
      <c r="B115" s="187" t="s">
        <v>159</v>
      </c>
      <c r="C115" s="225">
        <f>(C49/C$51)*C$97</f>
        <v>3351728.2029823493</v>
      </c>
      <c r="D115" s="587" t="str">
        <f>CONCATENATE("=   [ ",ROUND(D49*100,0)," % x ",ROUND(C$97,2)," pounds ]")</f>
        <v>=   [ 12 % x 27379353.58 pounds ]</v>
      </c>
      <c r="E115" s="588"/>
      <c r="F115" s="588"/>
      <c r="G115" s="588"/>
      <c r="J115" s="187" t="s">
        <v>159</v>
      </c>
      <c r="K115" s="225">
        <f>K49/K$51*K$98</f>
        <v>1017.5082632211537</v>
      </c>
      <c r="L115" s="587" t="str">
        <f>CONCATENATE("=   [ ",ROUND(L49*100,0)," % x ",ROUND(K$97,2)," pounds ]")</f>
        <v>=   [ 12 % x 17046.42 pounds ]</v>
      </c>
      <c r="M115" s="588"/>
      <c r="N115" s="588"/>
      <c r="O115" s="588"/>
      <c r="S115" s="187" t="s">
        <v>159</v>
      </c>
      <c r="T115" s="225">
        <f>T49/T$51*T$97</f>
        <v>834.27309038344481</v>
      </c>
      <c r="U115" s="587" t="str">
        <f>CONCATENATE("=   [ ",ROUND(U49*100,0)," % x ",ROUND(T$97,2)," pounds ]")</f>
        <v>=   [ 12 % x 6814.95 pounds ]</v>
      </c>
      <c r="V115" s="588"/>
      <c r="W115" s="588"/>
      <c r="X115" s="588"/>
    </row>
    <row r="116" spans="1:25" x14ac:dyDescent="0.2">
      <c r="B116" s="182" t="s">
        <v>161</v>
      </c>
      <c r="C116" s="168">
        <f>(C50/C$51)*C$97</f>
        <v>953109.61990261718</v>
      </c>
      <c r="D116" s="585" t="str">
        <f>CONCATENATE("=   [ ",ROUND(D50*100,0)," % x ",ROUND(C$97,2)," pounds ] ")</f>
        <v xml:space="preserve">=   [ 3 % x 27379353.58 pounds ] </v>
      </c>
      <c r="E116" s="586"/>
      <c r="F116" s="586"/>
      <c r="G116" s="586"/>
      <c r="J116" s="182" t="s">
        <v>161</v>
      </c>
      <c r="K116" s="168">
        <f>K50/K$51*K$98</f>
        <v>289.34234975961533</v>
      </c>
      <c r="L116" s="585" t="str">
        <f>CONCATENATE("=   [ ",ROUND(L50*100,0)," % x ",ROUND(K$97,2)," pounds ]  ")</f>
        <v xml:space="preserve">=   [ 3 % x 17046.42 pounds ]  </v>
      </c>
      <c r="M116" s="586"/>
      <c r="N116" s="586"/>
      <c r="O116" s="586"/>
      <c r="S116" s="182" t="s">
        <v>161</v>
      </c>
      <c r="T116" s="168">
        <f>T50/T$51*T$97</f>
        <v>237.23692970176504</v>
      </c>
      <c r="U116" s="585" t="str">
        <f>CONCATENATE("=   [ ",ROUND(U50*100,0)," % x ",ROUND(T$97,2)," pounds ]  ")</f>
        <v xml:space="preserve">=   [ 3 % x 6814.95 pounds ]  </v>
      </c>
      <c r="V116" s="586"/>
      <c r="W116" s="586"/>
      <c r="X116" s="586"/>
    </row>
    <row r="119" spans="1:25" s="494" customFormat="1" ht="27.95" customHeight="1" x14ac:dyDescent="0.25">
      <c r="A119" s="580" t="s">
        <v>197</v>
      </c>
      <c r="B119" s="580"/>
      <c r="C119" s="580"/>
      <c r="D119" s="580"/>
      <c r="E119" s="580"/>
      <c r="F119" s="580"/>
      <c r="G119" s="580"/>
      <c r="H119" s="492"/>
      <c r="I119" s="581" t="s">
        <v>197</v>
      </c>
      <c r="J119" s="580"/>
      <c r="K119" s="580"/>
      <c r="L119" s="580"/>
      <c r="M119" s="580"/>
      <c r="N119" s="580"/>
      <c r="O119" s="580"/>
      <c r="P119" s="492"/>
      <c r="Q119" s="492"/>
      <c r="R119" s="581" t="s">
        <v>197</v>
      </c>
      <c r="S119" s="580"/>
      <c r="T119" s="580"/>
      <c r="U119" s="580"/>
      <c r="V119" s="580"/>
      <c r="W119" s="580"/>
      <c r="X119" s="580"/>
      <c r="Y119" s="493"/>
    </row>
    <row r="121" spans="1:25" x14ac:dyDescent="0.2">
      <c r="B121" s="94" t="s">
        <v>198</v>
      </c>
      <c r="C121" s="227"/>
      <c r="D121" s="227"/>
      <c r="E121" s="218"/>
      <c r="F121" s="218"/>
      <c r="G121" s="218"/>
      <c r="H121" s="218"/>
      <c r="J121" s="94" t="s">
        <v>231</v>
      </c>
      <c r="K121" s="227"/>
      <c r="L121" s="227"/>
      <c r="M121" s="218"/>
      <c r="N121" s="218"/>
      <c r="O121" s="218"/>
      <c r="S121" s="94" t="s">
        <v>251</v>
      </c>
      <c r="T121" s="227"/>
      <c r="U121" s="227"/>
      <c r="V121" s="218"/>
      <c r="W121" s="218"/>
      <c r="X121" s="218"/>
    </row>
    <row r="122" spans="1:25" x14ac:dyDescent="0.2">
      <c r="B122" s="182" t="s">
        <v>157</v>
      </c>
      <c r="C122" s="167">
        <f>+C105+C114</f>
        <v>30733173.775925055</v>
      </c>
      <c r="D122" s="212" t="str">
        <f>CONCATENATE("   =   [ ",ROUND(C105,2)," pounds + ",ROUND(C114,2)," pounds ]")</f>
        <v xml:space="preserve">   =   [ 7658658.02 pounds + 23074515.76 pounds ]</v>
      </c>
      <c r="E122" s="186"/>
      <c r="F122" s="167"/>
      <c r="G122" s="186"/>
      <c r="H122" s="228"/>
      <c r="J122" s="182" t="s">
        <v>157</v>
      </c>
      <c r="K122" s="167">
        <f>+K105+K114</f>
        <v>16784.098515354468</v>
      </c>
      <c r="L122" s="212" t="str">
        <f>CONCATENATE("   =   [ ",ROUND(K105,2)," pounds + ",ROUND(K114,2)," pounds ]")</f>
        <v xml:space="preserve">   =   [ 9779.2 pounds + 7004.9 pounds ]</v>
      </c>
      <c r="M122" s="186"/>
      <c r="N122" s="167"/>
      <c r="O122" s="186"/>
      <c r="S122" s="182" t="s">
        <v>157</v>
      </c>
      <c r="T122" s="167">
        <f>+T105+T114</f>
        <v>7649.7431505687819</v>
      </c>
      <c r="U122" s="212" t="str">
        <f>CONCATENATE("   =   [ ",ROUND(T105,2)," pounds + ",ROUND(T114,2)," pounds ]")</f>
        <v xml:space="preserve">   =   [ 1906.3 pounds + 5743.44 pounds ]</v>
      </c>
      <c r="V122" s="186"/>
      <c r="W122" s="167"/>
      <c r="X122" s="186"/>
    </row>
    <row r="123" spans="1:25" x14ac:dyDescent="0.2">
      <c r="B123" s="187" t="s">
        <v>159</v>
      </c>
      <c r="C123" s="191">
        <f>+C106+C115</f>
        <v>7208295.9061180186</v>
      </c>
      <c r="D123" s="214" t="str">
        <f>CONCATENATE("   =   [ ",ROUND(C106,2)," pounds + ",ROUND(C115,2)," pounds ]")</f>
        <v xml:space="preserve">   =   [ 3856567.7 pounds + 3351728.2 pounds ]</v>
      </c>
      <c r="E123" s="192"/>
      <c r="F123" s="191"/>
      <c r="G123" s="192"/>
      <c r="H123" s="228"/>
      <c r="J123" s="187" t="s">
        <v>159</v>
      </c>
      <c r="K123" s="191">
        <f>+K106+K115</f>
        <v>5941.8896733624988</v>
      </c>
      <c r="L123" s="214" t="str">
        <f>CONCATENATE("   =   [ ",ROUND(K106,2)," pounds + ",ROUND(K115,2)," pounds ]")</f>
        <v xml:space="preserve">   =   [ 4924.38 pounds + 1017.51 pounds ]</v>
      </c>
      <c r="M123" s="192"/>
      <c r="N123" s="191"/>
      <c r="O123" s="192"/>
      <c r="S123" s="187" t="s">
        <v>159</v>
      </c>
      <c r="T123" s="191">
        <f>+T106+T115</f>
        <v>1794.2049407957566</v>
      </c>
      <c r="U123" s="214" t="str">
        <f>CONCATENATE("   =   [ ",ROUND(T106,2)," pounds + ",ROUND(T115,2)," pounds ]")</f>
        <v xml:space="preserve">   =   [ 959.93 pounds + 834.27 pounds ]</v>
      </c>
      <c r="V123" s="192"/>
      <c r="W123" s="191"/>
      <c r="X123" s="192"/>
    </row>
    <row r="124" spans="1:25" x14ac:dyDescent="0.2">
      <c r="B124" s="182" t="s">
        <v>161</v>
      </c>
      <c r="C124" s="167">
        <f>+C107+C116</f>
        <v>2787918.9004280162</v>
      </c>
      <c r="D124" s="212" t="str">
        <f>CONCATENATE("   =   [ ",ROUND(C107,2)," pounds + ",ROUND(C116,2)," pounds ]")</f>
        <v xml:space="preserve">   =   [ 1834809.28 pounds + 953109.62 pounds ]</v>
      </c>
      <c r="E124" s="186"/>
      <c r="F124" s="167"/>
      <c r="G124" s="186"/>
      <c r="H124" s="228"/>
      <c r="J124" s="182" t="s">
        <v>161</v>
      </c>
      <c r="K124" s="167">
        <f>+K107+K116</f>
        <v>2632.1770690432259</v>
      </c>
      <c r="L124" s="212" t="str">
        <f>CONCATENATE("   =   [ ",ROUND(K107,2)," pounds + ",ROUND(K116,2)," pounds ]")</f>
        <v xml:space="preserve">   =   [ 2342.83 pounds + 289.34 pounds ]</v>
      </c>
      <c r="M124" s="186"/>
      <c r="N124" s="167"/>
      <c r="O124" s="186"/>
      <c r="S124" s="182" t="s">
        <v>161</v>
      </c>
      <c r="T124" s="167">
        <f>+T107+T116</f>
        <v>693.93625495317201</v>
      </c>
      <c r="U124" s="212" t="str">
        <f>CONCATENATE("   =   [ ",ROUND(T107,2)," pounds + ",ROUND(T116,2)," pounds ]")</f>
        <v xml:space="preserve">   =   [ 456.7 pounds + 237.24 pounds ]</v>
      </c>
      <c r="V124" s="186"/>
      <c r="W124" s="167"/>
      <c r="X124" s="186"/>
    </row>
    <row r="128" spans="1:25" s="494" customFormat="1" ht="27.95" customHeight="1" x14ac:dyDescent="0.25">
      <c r="A128" s="580" t="s">
        <v>199</v>
      </c>
      <c r="B128" s="580"/>
      <c r="C128" s="580"/>
      <c r="D128" s="580"/>
      <c r="E128" s="580"/>
      <c r="F128" s="580"/>
      <c r="G128" s="580"/>
      <c r="H128" s="492"/>
      <c r="I128" s="581" t="s">
        <v>199</v>
      </c>
      <c r="J128" s="580"/>
      <c r="K128" s="580"/>
      <c r="L128" s="580"/>
      <c r="M128" s="580"/>
      <c r="N128" s="580"/>
      <c r="O128" s="580"/>
      <c r="P128" s="492"/>
      <c r="Q128" s="492"/>
      <c r="R128" s="581" t="s">
        <v>199</v>
      </c>
      <c r="S128" s="580"/>
      <c r="T128" s="580"/>
      <c r="U128" s="580"/>
      <c r="V128" s="580"/>
      <c r="W128" s="580"/>
      <c r="X128" s="580"/>
      <c r="Y128" s="493"/>
    </row>
    <row r="130" spans="1:25" ht="25.5" x14ac:dyDescent="0.2">
      <c r="A130" s="589" t="s">
        <v>200</v>
      </c>
      <c r="B130" s="589"/>
      <c r="C130" s="229" t="s">
        <v>133</v>
      </c>
      <c r="D130" s="230" t="s">
        <v>201</v>
      </c>
      <c r="E130" s="590" t="s">
        <v>202</v>
      </c>
      <c r="F130" s="590"/>
      <c r="I130" s="589" t="s">
        <v>232</v>
      </c>
      <c r="J130" s="589"/>
      <c r="K130" s="229" t="s">
        <v>133</v>
      </c>
      <c r="L130" s="230" t="s">
        <v>201</v>
      </c>
      <c r="M130" s="590" t="s">
        <v>233</v>
      </c>
      <c r="N130" s="590"/>
      <c r="R130" s="589" t="s">
        <v>252</v>
      </c>
      <c r="S130" s="589"/>
      <c r="T130" s="229" t="s">
        <v>133</v>
      </c>
      <c r="U130" s="230" t="s">
        <v>201</v>
      </c>
      <c r="V130" s="590" t="s">
        <v>253</v>
      </c>
      <c r="W130" s="590"/>
    </row>
    <row r="131" spans="1:25" x14ac:dyDescent="0.2">
      <c r="B131" s="231" t="s">
        <v>157</v>
      </c>
      <c r="C131" s="167">
        <f>+C122</f>
        <v>30733173.775925055</v>
      </c>
      <c r="D131" s="167">
        <f>+C48</f>
        <v>23372.839506172837</v>
      </c>
      <c r="E131" s="232">
        <f>+C131/D131</f>
        <v>1314.9097168022024</v>
      </c>
      <c r="F131" s="233" t="str">
        <f>CONCATENATE("= [",ROUND(C131,2)," lbs / ",(ROUND(D131,2))," acres ]")</f>
        <v>= [30733173.78 lbs / 23372.84 acres ]</v>
      </c>
      <c r="G131" s="186"/>
      <c r="J131" s="231" t="s">
        <v>157</v>
      </c>
      <c r="K131" s="167">
        <f>+K122</f>
        <v>16784.098515354468</v>
      </c>
      <c r="L131" s="167">
        <f>+K48</f>
        <v>23372.839506172837</v>
      </c>
      <c r="M131" s="232">
        <f>+K131/L131</f>
        <v>0.71810267258805838</v>
      </c>
      <c r="N131" s="212" t="str">
        <f>CONCATENATE("= [",ROUND(K131,2)," lbs / ",(ROUND(L131,2))," acres ]")</f>
        <v>= [16784.1 lbs / 23372.84 acres ]</v>
      </c>
      <c r="O131" s="186"/>
      <c r="S131" s="231" t="s">
        <v>157</v>
      </c>
      <c r="T131" s="167">
        <f>+T122</f>
        <v>7649.7431505687819</v>
      </c>
      <c r="U131" s="167">
        <f>+T48</f>
        <v>23372.839506172837</v>
      </c>
      <c r="V131" s="232">
        <f>+T131/U131</f>
        <v>0.32729198985636565</v>
      </c>
      <c r="W131" s="212" t="str">
        <f>CONCATENATE("= [",ROUND(T131,2)," lbs / ",(ROUND(U131,2))," acres ]")</f>
        <v>= [7649.74 lbs / 23372.84 acres ]</v>
      </c>
      <c r="X131" s="186"/>
    </row>
    <row r="132" spans="1:25" x14ac:dyDescent="0.2">
      <c r="B132" s="234" t="s">
        <v>159</v>
      </c>
      <c r="C132" s="191">
        <f>+C123</f>
        <v>7208295.9061180186</v>
      </c>
      <c r="D132" s="191">
        <f>+C49</f>
        <v>3395.0617283950614</v>
      </c>
      <c r="E132" s="235">
        <f>+C132/D132</f>
        <v>2123.1707941656709</v>
      </c>
      <c r="F132" s="236" t="str">
        <f>CONCATENATE("= [",ROUND(C132,2)," lbs / ",(ROUND(D132,2))," acres ]")</f>
        <v>= [7208295.91 lbs / 3395.06 acres ]</v>
      </c>
      <c r="G132" s="192"/>
      <c r="J132" s="234" t="s">
        <v>159</v>
      </c>
      <c r="K132" s="191">
        <f>+K123</f>
        <v>5941.8896733624988</v>
      </c>
      <c r="L132" s="191">
        <f>+K49</f>
        <v>3395.0617283950614</v>
      </c>
      <c r="M132" s="235">
        <f>+K132/L132</f>
        <v>1.7501565946994997</v>
      </c>
      <c r="N132" s="214" t="str">
        <f>CONCATENATE("= [",ROUND(K132,2)," lbs / ",(ROUND(L132,2))," acres ]")</f>
        <v>= [5941.89 lbs / 3395.06 acres ]</v>
      </c>
      <c r="O132" s="192"/>
      <c r="S132" s="234" t="s">
        <v>159</v>
      </c>
      <c r="T132" s="191">
        <f>+T123</f>
        <v>1794.2049407957566</v>
      </c>
      <c r="U132" s="191">
        <f>+T49</f>
        <v>3395.0617283950614</v>
      </c>
      <c r="V132" s="235">
        <f>+T132/U132</f>
        <v>0.5284749098343865</v>
      </c>
      <c r="W132" s="214" t="str">
        <f>CONCATENATE("= [",ROUND(T132,2)," lbs / ",(ROUND(U132,2))," acres ]")</f>
        <v>= [1794.2 lbs / 3395.06 acres ]</v>
      </c>
      <c r="X132" s="192"/>
    </row>
    <row r="133" spans="1:25" x14ac:dyDescent="0.2">
      <c r="B133" s="231" t="s">
        <v>161</v>
      </c>
      <c r="C133" s="167">
        <f>+C124</f>
        <v>2787918.9004280162</v>
      </c>
      <c r="D133" s="167">
        <f>+C50</f>
        <v>965.43209876543199</v>
      </c>
      <c r="E133" s="232">
        <f>+C133/D133</f>
        <v>2887.7420835635467</v>
      </c>
      <c r="F133" s="233" t="str">
        <f>CONCATENATE("= [",ROUND(C133,2)," lbs / ",(ROUND(D133,2))," acres ]")</f>
        <v>= [2787918.9 lbs / 965.43 acres ]</v>
      </c>
      <c r="G133" s="186"/>
      <c r="J133" s="231" t="s">
        <v>161</v>
      </c>
      <c r="K133" s="167">
        <f>+K124</f>
        <v>2632.1770690432259</v>
      </c>
      <c r="L133" s="167">
        <f>+K50</f>
        <v>965.43209876543199</v>
      </c>
      <c r="M133" s="232">
        <f>+K133/L133</f>
        <v>2.7264238183184313</v>
      </c>
      <c r="N133" s="212" t="str">
        <f>CONCATENATE("= [",ROUND(K133,2)," lbs / ",(ROUND(L133,2))," acres ]")</f>
        <v>= [2632.18 lbs / 965.43 acres ]</v>
      </c>
      <c r="O133" s="186"/>
      <c r="S133" s="231" t="s">
        <v>161</v>
      </c>
      <c r="T133" s="167">
        <f>+T124</f>
        <v>693.93625495317201</v>
      </c>
      <c r="U133" s="167">
        <f>+T50</f>
        <v>965.43209876543199</v>
      </c>
      <c r="V133" s="232">
        <f>+T133/U133</f>
        <v>0.71878307738116287</v>
      </c>
      <c r="W133" s="212" t="str">
        <f>CONCATENATE("= [",ROUND(T133,2)," lbs / ",(ROUND(U133,2))," acres ]")</f>
        <v>= [693.94 lbs / 965.43 acres ]</v>
      </c>
      <c r="X133" s="186"/>
    </row>
    <row r="137" spans="1:25" s="494" customFormat="1" ht="27.95" customHeight="1" x14ac:dyDescent="0.25">
      <c r="A137" s="580" t="s">
        <v>203</v>
      </c>
      <c r="B137" s="580"/>
      <c r="C137" s="580"/>
      <c r="D137" s="580"/>
      <c r="E137" s="580"/>
      <c r="F137" s="580"/>
      <c r="G137" s="580"/>
      <c r="H137" s="492"/>
      <c r="I137" s="581" t="s">
        <v>203</v>
      </c>
      <c r="J137" s="580"/>
      <c r="K137" s="580"/>
      <c r="L137" s="580"/>
      <c r="M137" s="580"/>
      <c r="N137" s="580"/>
      <c r="O137" s="580"/>
      <c r="P137" s="492"/>
      <c r="Q137" s="492"/>
      <c r="R137" s="581" t="s">
        <v>203</v>
      </c>
      <c r="S137" s="580"/>
      <c r="T137" s="580"/>
      <c r="U137" s="580"/>
      <c r="V137" s="580"/>
      <c r="W137" s="580"/>
      <c r="X137" s="580"/>
      <c r="Y137" s="493"/>
    </row>
    <row r="139" spans="1:25" x14ac:dyDescent="0.2">
      <c r="B139" s="91" t="s">
        <v>204</v>
      </c>
      <c r="C139" s="203">
        <f>+C37</f>
        <v>53400140</v>
      </c>
      <c r="D139" s="91" t="s">
        <v>189</v>
      </c>
      <c r="E139" s="163" t="s">
        <v>205</v>
      </c>
      <c r="J139" s="91" t="s">
        <v>204</v>
      </c>
      <c r="K139" s="203">
        <f>+K37</f>
        <v>33246.99</v>
      </c>
      <c r="L139" s="91" t="s">
        <v>189</v>
      </c>
      <c r="M139" s="163" t="s">
        <v>205</v>
      </c>
      <c r="S139" s="91" t="s">
        <v>204</v>
      </c>
      <c r="T139" s="203">
        <f>+T37</f>
        <v>13291.74</v>
      </c>
      <c r="U139" s="91" t="s">
        <v>189</v>
      </c>
      <c r="V139" s="163" t="s">
        <v>205</v>
      </c>
    </row>
    <row r="140" spans="1:25" ht="25.5" x14ac:dyDescent="0.2">
      <c r="B140" s="237" t="s">
        <v>206</v>
      </c>
      <c r="C140" s="238">
        <f>+C65</f>
        <v>40729388.582471088</v>
      </c>
      <c r="D140" s="165" t="s">
        <v>189</v>
      </c>
      <c r="E140" s="163" t="s">
        <v>207</v>
      </c>
      <c r="J140" s="244" t="s">
        <v>234</v>
      </c>
      <c r="K140" s="238">
        <f>+K65</f>
        <v>25358.165257760193</v>
      </c>
      <c r="L140" s="165" t="s">
        <v>189</v>
      </c>
      <c r="M140" s="163" t="s">
        <v>207</v>
      </c>
      <c r="S140" s="244" t="s">
        <v>234</v>
      </c>
      <c r="T140" s="238">
        <f>+T65</f>
        <v>10137.884346317711</v>
      </c>
      <c r="U140" s="165" t="s">
        <v>189</v>
      </c>
      <c r="V140" s="163" t="s">
        <v>207</v>
      </c>
    </row>
    <row r="141" spans="1:25" ht="25.5" x14ac:dyDescent="0.2">
      <c r="B141" s="124" t="s">
        <v>208</v>
      </c>
      <c r="C141" s="112">
        <f>+C139-C140</f>
        <v>12670751.417528912</v>
      </c>
      <c r="D141" s="91" t="s">
        <v>189</v>
      </c>
      <c r="E141" s="239" t="str">
        <f>CONCATENATE("[ ",ROUND(C139,2)," pounds - ",ROUND(C140,2)," pounds ]")</f>
        <v>[ 53400140 pounds - 40729388.58 pounds ]</v>
      </c>
      <c r="J141" s="124" t="s">
        <v>208</v>
      </c>
      <c r="K141" s="112">
        <f>+K139-K140</f>
        <v>7888.8247422398053</v>
      </c>
      <c r="L141" s="91" t="s">
        <v>189</v>
      </c>
      <c r="M141" s="239" t="str">
        <f>CONCATENATE(" [ ",ROUND(K139,2)," pounds - ",ROUND(K140,2)," pounds ]")</f>
        <v xml:space="preserve"> [ 33246.99 pounds - 25358.17 pounds ]</v>
      </c>
      <c r="S141" s="124" t="s">
        <v>208</v>
      </c>
      <c r="T141" s="112">
        <f>+T139-T140</f>
        <v>3153.8556536822889</v>
      </c>
      <c r="U141" s="91" t="s">
        <v>189</v>
      </c>
      <c r="V141" s="239" t="str">
        <f>CONCATENATE(" [ ",ROUND(T139,2)," pounds - ",ROUND(T140,2)," pounds ]")</f>
        <v xml:space="preserve"> [ 13291.74 pounds - 10137.88 pounds ]</v>
      </c>
    </row>
    <row r="143" spans="1:25" x14ac:dyDescent="0.2">
      <c r="B143" s="91" t="s">
        <v>209</v>
      </c>
      <c r="C143" s="240">
        <f>+C42-C51</f>
        <v>12834.567901234568</v>
      </c>
      <c r="D143" s="91" t="s">
        <v>210</v>
      </c>
      <c r="E143" s="163" t="s">
        <v>211</v>
      </c>
      <c r="J143" s="91" t="s">
        <v>209</v>
      </c>
      <c r="K143" s="240">
        <f>+K42-K51</f>
        <v>12834.567901234568</v>
      </c>
      <c r="L143" s="91" t="s">
        <v>210</v>
      </c>
      <c r="M143" s="163" t="s">
        <v>211</v>
      </c>
      <c r="S143" s="91" t="s">
        <v>209</v>
      </c>
      <c r="T143" s="240">
        <f>+T42-T51</f>
        <v>12834.567901234568</v>
      </c>
      <c r="U143" s="91" t="s">
        <v>210</v>
      </c>
      <c r="V143" s="163" t="s">
        <v>211</v>
      </c>
    </row>
    <row r="145" spans="1:25" ht="38.25" x14ac:dyDescent="0.2">
      <c r="B145" s="241" t="s">
        <v>212</v>
      </c>
      <c r="C145" s="242">
        <f>+C141/C143</f>
        <v>987.23630706025574</v>
      </c>
      <c r="D145" s="241" t="s">
        <v>145</v>
      </c>
      <c r="E145" s="91" t="str">
        <f>CONCATENATE("=  [ ",ROUND(C141,2)," pounds / ",ROUND(C143,2)," acres ]")</f>
        <v>=  [ 12670751.42 pounds / 12834.57 acres ]</v>
      </c>
      <c r="J145" s="241" t="s">
        <v>235</v>
      </c>
      <c r="K145" s="242">
        <f>+K141/K143</f>
        <v>0.61465448645769938</v>
      </c>
      <c r="L145" s="241" t="s">
        <v>145</v>
      </c>
      <c r="M145" s="91" t="str">
        <f>CONCATENATE("=  [ ",ROUND(K141,2)," pounds / ",ROUND(K143,2)," acres ]")</f>
        <v>=  [ 7888.82 pounds / 12834.57 acres ]</v>
      </c>
      <c r="S145" s="241" t="s">
        <v>254</v>
      </c>
      <c r="T145" s="242">
        <f>+T141/T143</f>
        <v>0.24573134662203289</v>
      </c>
      <c r="U145" s="241" t="s">
        <v>145</v>
      </c>
      <c r="V145" s="91" t="str">
        <f>CONCATENATE("=  [ ",ROUND(T141,2)," pounds / ",ROUND(T143,2)," acres ]")</f>
        <v>=  [ 3153.86 pounds / 12834.57 acres ]</v>
      </c>
    </row>
    <row r="148" spans="1:25" s="494" customFormat="1" ht="27.95" customHeight="1" x14ac:dyDescent="0.25">
      <c r="A148" s="580" t="s">
        <v>213</v>
      </c>
      <c r="B148" s="580"/>
      <c r="C148" s="580"/>
      <c r="D148" s="580"/>
      <c r="E148" s="580"/>
      <c r="F148" s="580"/>
      <c r="G148" s="580"/>
      <c r="H148" s="492"/>
      <c r="I148" s="581" t="s">
        <v>236</v>
      </c>
      <c r="J148" s="580"/>
      <c r="K148" s="580"/>
      <c r="L148" s="580"/>
      <c r="M148" s="580"/>
      <c r="N148" s="580"/>
      <c r="O148" s="580"/>
      <c r="P148" s="492"/>
      <c r="Q148" s="492"/>
      <c r="R148" s="581" t="s">
        <v>255</v>
      </c>
      <c r="S148" s="580"/>
      <c r="T148" s="580"/>
      <c r="U148" s="580"/>
      <c r="V148" s="580"/>
      <c r="W148" s="580"/>
      <c r="X148" s="580"/>
      <c r="Y148" s="493"/>
    </row>
  </sheetData>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40"/>
  <sheetViews>
    <sheetView zoomScale="80" zoomScaleNormal="80" workbookViewId="0">
      <pane ySplit="1" topLeftCell="A2" activePane="bottomLeft" state="frozen"/>
      <selection pane="bottomLeft" activeCell="I27" sqref="I27"/>
    </sheetView>
  </sheetViews>
  <sheetFormatPr defaultColWidth="8.875" defaultRowHeight="15" x14ac:dyDescent="0.25"/>
  <cols>
    <col min="1" max="1" width="21.625" style="1" customWidth="1"/>
    <col min="2" max="2" width="29.875" style="1" customWidth="1"/>
    <col min="3" max="3" width="16.625" style="1" customWidth="1"/>
    <col min="4" max="4" width="13.625" style="1" customWidth="1"/>
    <col min="5" max="5" width="17.625" style="1" customWidth="1"/>
    <col min="6" max="6" width="28.125" style="1" customWidth="1"/>
    <col min="7" max="7" width="19.625" style="1" customWidth="1"/>
    <col min="8" max="8" width="21.125" style="1" customWidth="1"/>
    <col min="9" max="9" width="25.5" style="1" customWidth="1"/>
    <col min="10" max="10" width="23.125" style="1" customWidth="1"/>
    <col min="11" max="11" width="18.625" style="1" customWidth="1"/>
    <col min="12" max="12" width="21.625" style="1" customWidth="1"/>
    <col min="13" max="13" width="17.62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59" t="s">
        <v>395</v>
      </c>
    </row>
    <row r="2" spans="1:25" x14ac:dyDescent="0.25">
      <c r="A2" s="508" t="s">
        <v>520</v>
      </c>
    </row>
    <row r="3" spans="1:25" x14ac:dyDescent="0.25">
      <c r="A3" s="508" t="s">
        <v>521</v>
      </c>
    </row>
    <row r="4" spans="1:25" x14ac:dyDescent="0.25">
      <c r="A4" s="508" t="s">
        <v>523</v>
      </c>
    </row>
    <row r="5" spans="1:25" x14ac:dyDescent="0.25">
      <c r="A5" s="549" t="s">
        <v>612</v>
      </c>
    </row>
    <row r="6" spans="1:25" x14ac:dyDescent="0.25">
      <c r="A6" s="508" t="s">
        <v>522</v>
      </c>
    </row>
    <row r="8" spans="1:25" s="5" customFormat="1" ht="69" hidden="1" customHeight="1" x14ac:dyDescent="0.25">
      <c r="A8" s="5" t="s">
        <v>274</v>
      </c>
      <c r="B8" s="5" t="s">
        <v>275</v>
      </c>
      <c r="C8" s="5" t="s">
        <v>276</v>
      </c>
      <c r="D8" s="5" t="s">
        <v>277</v>
      </c>
      <c r="E8" s="5" t="s">
        <v>278</v>
      </c>
      <c r="F8" s="5" t="s">
        <v>279</v>
      </c>
      <c r="G8" s="5" t="s">
        <v>280</v>
      </c>
      <c r="H8" s="5" t="s">
        <v>281</v>
      </c>
      <c r="I8" s="5" t="s">
        <v>282</v>
      </c>
      <c r="J8" s="5" t="s">
        <v>283</v>
      </c>
      <c r="K8" s="5" t="s">
        <v>284</v>
      </c>
      <c r="L8" s="5" t="s">
        <v>285</v>
      </c>
      <c r="M8" s="5" t="s">
        <v>286</v>
      </c>
      <c r="N8" s="5" t="s">
        <v>287</v>
      </c>
      <c r="O8" s="5" t="s">
        <v>288</v>
      </c>
      <c r="P8" s="5" t="s">
        <v>289</v>
      </c>
      <c r="Q8" s="5" t="s">
        <v>290</v>
      </c>
      <c r="R8" s="5" t="s">
        <v>291</v>
      </c>
      <c r="S8" s="5" t="s">
        <v>292</v>
      </c>
      <c r="T8" s="5" t="s">
        <v>293</v>
      </c>
      <c r="U8" s="5" t="s">
        <v>294</v>
      </c>
      <c r="V8" s="5" t="s">
        <v>295</v>
      </c>
      <c r="W8" s="5" t="s">
        <v>296</v>
      </c>
      <c r="X8" s="5" t="s">
        <v>297</v>
      </c>
      <c r="Y8" s="5" t="s">
        <v>298</v>
      </c>
    </row>
    <row r="9" spans="1:25" s="270" customFormat="1" ht="60" x14ac:dyDescent="0.25">
      <c r="A9" s="266" t="s">
        <v>393</v>
      </c>
      <c r="B9" s="266" t="s">
        <v>394</v>
      </c>
      <c r="C9" s="267" t="s">
        <v>299</v>
      </c>
      <c r="D9" s="267" t="s">
        <v>504</v>
      </c>
      <c r="E9" s="268" t="s">
        <v>300</v>
      </c>
      <c r="F9" s="267" t="s">
        <v>301</v>
      </c>
      <c r="G9" s="267" t="s">
        <v>302</v>
      </c>
      <c r="H9" s="267" t="s">
        <v>303</v>
      </c>
      <c r="I9" s="267" t="s">
        <v>304</v>
      </c>
      <c r="J9" s="267" t="s">
        <v>305</v>
      </c>
      <c r="K9" s="267" t="s">
        <v>306</v>
      </c>
      <c r="L9" s="267" t="s">
        <v>307</v>
      </c>
      <c r="M9" s="267" t="s">
        <v>308</v>
      </c>
      <c r="N9" s="267" t="s">
        <v>309</v>
      </c>
      <c r="O9" s="267" t="s">
        <v>310</v>
      </c>
      <c r="P9" s="267" t="s">
        <v>311</v>
      </c>
      <c r="Q9" s="267" t="s">
        <v>312</v>
      </c>
      <c r="R9" s="267" t="s">
        <v>313</v>
      </c>
      <c r="S9" s="267" t="s">
        <v>314</v>
      </c>
      <c r="T9" s="267" t="s">
        <v>315</v>
      </c>
      <c r="U9" s="267" t="s">
        <v>316</v>
      </c>
      <c r="V9" s="267" t="s">
        <v>317</v>
      </c>
      <c r="W9" s="267" t="s">
        <v>318</v>
      </c>
      <c r="X9" s="267" t="s">
        <v>319</v>
      </c>
      <c r="Y9" s="269" t="s">
        <v>320</v>
      </c>
    </row>
    <row r="10" spans="1:25" s="261" customFormat="1" x14ac:dyDescent="0.25">
      <c r="A10" s="335" t="s">
        <v>274</v>
      </c>
      <c r="B10" s="336" t="s">
        <v>275</v>
      </c>
      <c r="C10" s="335" t="s">
        <v>321</v>
      </c>
      <c r="D10" s="335" t="s">
        <v>277</v>
      </c>
      <c r="E10" s="335" t="s">
        <v>503</v>
      </c>
      <c r="F10" s="335" t="s">
        <v>279</v>
      </c>
      <c r="G10" s="335" t="s">
        <v>280</v>
      </c>
      <c r="H10" s="335" t="s">
        <v>281</v>
      </c>
      <c r="I10" s="335" t="s">
        <v>282</v>
      </c>
      <c r="J10" s="335" t="s">
        <v>322</v>
      </c>
      <c r="K10" s="335" t="s">
        <v>284</v>
      </c>
      <c r="L10" s="335" t="s">
        <v>285</v>
      </c>
      <c r="M10" s="335" t="s">
        <v>286</v>
      </c>
      <c r="N10" s="335" t="s">
        <v>287</v>
      </c>
      <c r="O10" s="335" t="s">
        <v>288</v>
      </c>
      <c r="P10" s="335" t="s">
        <v>289</v>
      </c>
      <c r="Q10" s="335" t="s">
        <v>290</v>
      </c>
      <c r="R10" s="335" t="s">
        <v>291</v>
      </c>
      <c r="S10" s="335" t="s">
        <v>292</v>
      </c>
      <c r="T10" s="335" t="s">
        <v>293</v>
      </c>
      <c r="U10" s="335" t="s">
        <v>294</v>
      </c>
      <c r="V10" s="335" t="s">
        <v>295</v>
      </c>
      <c r="W10" s="335" t="s">
        <v>296</v>
      </c>
      <c r="X10" s="335" t="s">
        <v>297</v>
      </c>
      <c r="Y10" s="335" t="s">
        <v>298</v>
      </c>
    </row>
    <row r="11" spans="1:25" x14ac:dyDescent="0.25">
      <c r="A11" s="478" t="s">
        <v>497</v>
      </c>
      <c r="B11" s="479" t="s">
        <v>498</v>
      </c>
      <c r="C11" s="413" t="s">
        <v>506</v>
      </c>
      <c r="D11" s="413" t="s">
        <v>497</v>
      </c>
      <c r="E11" s="470">
        <v>1998</v>
      </c>
      <c r="F11" s="260" t="s">
        <v>48</v>
      </c>
      <c r="G11" s="260">
        <v>20</v>
      </c>
      <c r="H11" s="403">
        <v>1</v>
      </c>
      <c r="I11" s="407"/>
      <c r="J11" s="407"/>
      <c r="K11" s="262">
        <f>UrbanBMPs[[#This Row],[drainageArea_ac]]*UrbanBMPs[[#This Row],[impervFraction_percent]]</f>
        <v>17.399999999999999</v>
      </c>
      <c r="L11" s="262">
        <f>IFERROR(MIN(UrbanBMPs[[#This Row],[treatmentDepth_in]]*UrbanBMPs[[#This Row],[drainageArea_ac]]/UrbanBMPs[[#This Row],[impervArea_ac]],2.5),NA())</f>
        <v>1.149425287356322</v>
      </c>
      <c r="M11" s="417"/>
      <c r="N11" s="262">
        <f>IF(UrbanBMPs[[#This Row],[treatmentDepthNormalizedManual_inPerImpervAc]]&gt;0,UrbanBMPs[[#This Row],[treatmentDepthNormalizedManual_inPerImpervAc]],UrbanBMPs[[#This Row],[treatmentDepthNormalized_inPerImpervAc]])</f>
        <v>1.149425287356322</v>
      </c>
      <c r="O11" s="263">
        <f>IF(UrbanBMPs[[#This Row],[BMP_type]]="Stream Restoration",NA(),IFERROR(INDEX(Impervious[#All],MATCH(UrbanBMPs[[#This Row],[drainageLandCoverClass]],Impervious[[#All],[Source]],0),4),0))</f>
        <v>0.87</v>
      </c>
      <c r="P11"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59069.867804774767</v>
      </c>
      <c r="Q11"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17.2</v>
      </c>
      <c r="R11"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81.200000000000017</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0.77572438361161256</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0.72375926316856598</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0.61861661967934289</v>
      </c>
      <c r="V11"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45821.936792878347</v>
      </c>
      <c r="W11" s="264">
        <f>UrbanBMPs[[#This Row],[TSS_Reduction_lbPerY]]/2000</f>
        <v>22.910968396439173</v>
      </c>
      <c r="X11"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12.448659326499333</v>
      </c>
      <c r="Y11"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50.231669517962651</v>
      </c>
    </row>
    <row r="12" spans="1:25" x14ac:dyDescent="0.25">
      <c r="A12" s="478" t="s">
        <v>507</v>
      </c>
      <c r="B12" s="479" t="s">
        <v>509</v>
      </c>
      <c r="C12" s="413" t="s">
        <v>499</v>
      </c>
      <c r="D12" s="413" t="s">
        <v>501</v>
      </c>
      <c r="E12" s="471">
        <v>2020</v>
      </c>
      <c r="F12" s="260" t="s">
        <v>47</v>
      </c>
      <c r="G12" s="260">
        <v>50</v>
      </c>
      <c r="H12" s="403">
        <v>2</v>
      </c>
      <c r="I12" s="407"/>
      <c r="J12" s="407"/>
      <c r="K12" s="410">
        <f>UrbanBMPs[[#This Row],[drainageArea_ac]]*UrbanBMPs[[#This Row],[impervFraction_percent]]</f>
        <v>26</v>
      </c>
      <c r="L12" s="410">
        <f>IFERROR(MIN(UrbanBMPs[[#This Row],[treatmentDepth_in]]*UrbanBMPs[[#This Row],[drainageArea_ac]]/UrbanBMPs[[#This Row],[impervArea_ac]],2.5),NA())</f>
        <v>2.5</v>
      </c>
      <c r="M12" s="417"/>
      <c r="N12" s="410">
        <f>IF(UrbanBMPs[[#This Row],[treatmentDepthNormalizedManual_inPerImpervAc]]&gt;0,UrbanBMPs[[#This Row],[treatmentDepthNormalizedManual_inPerImpervAc]],UrbanBMPs[[#This Row],[treatmentDepthNormalized_inPerImpervAc]])</f>
        <v>2.5</v>
      </c>
      <c r="O12" s="263">
        <f>IF(UrbanBMPs[[#This Row],[BMP_type]]="Stream Restoration",NA(),IFERROR(INDEX(Impervious[#All],MATCH(UrbanBMPs[[#This Row],[drainageLandCoverClass]],Impervious[[#All],[Source]],0),4),0))</f>
        <v>0.52</v>
      </c>
      <c r="P12"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109445.09252901083</v>
      </c>
      <c r="Q12"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33.5</v>
      </c>
      <c r="R12"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154</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86255.729517598331</v>
      </c>
      <c r="W12" s="412">
        <f>UrbanBMPs[[#This Row],[TSS_Reduction_lbPerY]]/2000</f>
        <v>43.127864758799163</v>
      </c>
      <c r="X12"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20.769057812499991</v>
      </c>
      <c r="Y12"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60.545100000000112</v>
      </c>
    </row>
    <row r="13" spans="1:25" x14ac:dyDescent="0.25">
      <c r="A13" s="478" t="s">
        <v>507</v>
      </c>
      <c r="B13" s="479" t="s">
        <v>510</v>
      </c>
      <c r="C13" s="413" t="s">
        <v>499</v>
      </c>
      <c r="D13" s="413" t="s">
        <v>501</v>
      </c>
      <c r="E13" s="470">
        <v>2020</v>
      </c>
      <c r="F13" s="260" t="s">
        <v>46</v>
      </c>
      <c r="G13" s="260">
        <v>150</v>
      </c>
      <c r="H13" s="403">
        <v>2</v>
      </c>
      <c r="I13" s="407"/>
      <c r="J13" s="407"/>
      <c r="K13" s="262">
        <f>UrbanBMPs[[#This Row],[drainageArea_ac]]*UrbanBMPs[[#This Row],[impervFraction_percent]]</f>
        <v>22.5</v>
      </c>
      <c r="L13" s="262">
        <f>IFERROR(MIN(UrbanBMPs[[#This Row],[treatmentDepth_in]]*UrbanBMPs[[#This Row],[drainageArea_ac]]/UrbanBMPs[[#This Row],[impervArea_ac]],2.5),NA())</f>
        <v>2.5</v>
      </c>
      <c r="M13" s="417"/>
      <c r="N13" s="262">
        <f>IF(UrbanBMPs[[#This Row],[treatmentDepthNormalizedManual_inPerImpervAc]]&gt;0,UrbanBMPs[[#This Row],[treatmentDepthNormalizedManual_inPerImpervAc]],UrbanBMPs[[#This Row],[treatmentDepthNormalized_inPerImpervAc]])</f>
        <v>2.5</v>
      </c>
      <c r="O13" s="263">
        <f>IF(UrbanBMPs[[#This Row],[BMP_type]]="Stream Restoration",NA(),IFERROR(INDEX(Impervious[#All],MATCH(UrbanBMPs[[#This Row],[drainageLandCoverClass]],Impervious[[#All],[Source]],0),4),0))</f>
        <v>0.15</v>
      </c>
      <c r="P13"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197876.58691586438</v>
      </c>
      <c r="Q13"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51.000000000000007</v>
      </c>
      <c r="R13"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122.99999999999999</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3"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155950.24833439736</v>
      </c>
      <c r="W13" s="264">
        <f>UrbanBMPs[[#This Row],[TSS_Reduction_lbPerY]]/2000</f>
        <v>77.975124167198686</v>
      </c>
      <c r="X13"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31.618565624999992</v>
      </c>
      <c r="Y13"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48.357450000000085</v>
      </c>
    </row>
    <row r="14" spans="1:25" x14ac:dyDescent="0.25">
      <c r="A14" s="478" t="s">
        <v>508</v>
      </c>
      <c r="B14" s="510" t="s">
        <v>509</v>
      </c>
      <c r="C14" s="413" t="s">
        <v>499</v>
      </c>
      <c r="D14" s="413" t="s">
        <v>501</v>
      </c>
      <c r="E14" s="470">
        <v>2020</v>
      </c>
      <c r="F14" s="260" t="s">
        <v>47</v>
      </c>
      <c r="G14" s="260">
        <v>75</v>
      </c>
      <c r="H14" s="403">
        <v>2</v>
      </c>
      <c r="I14" s="407"/>
      <c r="J14" s="407"/>
      <c r="K14" s="410">
        <f>UrbanBMPs[[#This Row],[drainageArea_ac]]*UrbanBMPs[[#This Row],[impervFraction_percent]]</f>
        <v>39</v>
      </c>
      <c r="L14" s="410">
        <f>IFERROR(MIN(UrbanBMPs[[#This Row],[treatmentDepth_in]]*UrbanBMPs[[#This Row],[drainageArea_ac]]/UrbanBMPs[[#This Row],[impervArea_ac]],2.5),NA())</f>
        <v>2.5</v>
      </c>
      <c r="M14" s="417"/>
      <c r="N14" s="410">
        <f>IF(UrbanBMPs[[#This Row],[treatmentDepthNormalizedManual_inPerImpervAc]]&gt;0,UrbanBMPs[[#This Row],[treatmentDepthNormalizedManual_inPerImpervAc]],UrbanBMPs[[#This Row],[treatmentDepthNormalized_inPerImpervAc]])</f>
        <v>2.5</v>
      </c>
      <c r="O14" s="263">
        <f>IF(UrbanBMPs[[#This Row],[BMP_type]]="Stream Restoration",NA(),IFERROR(INDEX(Impervious[#All],MATCH(UrbanBMPs[[#This Row],[drainageLandCoverClass]],Impervious[[#All],[Source]],0),4),0))</f>
        <v>0.52</v>
      </c>
      <c r="P14"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164167.63879351623</v>
      </c>
      <c r="Q14"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50.25</v>
      </c>
      <c r="R14"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231</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4"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129383.5942763975</v>
      </c>
      <c r="W14" s="412">
        <f>UrbanBMPs[[#This Row],[TSS_Reduction_lbPerY]]/2000</f>
        <v>64.691797138198751</v>
      </c>
      <c r="X14"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31.153586718749985</v>
      </c>
      <c r="Y14"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90.817650000000171</v>
      </c>
    </row>
    <row r="15" spans="1:25" x14ac:dyDescent="0.25">
      <c r="A15" s="509" t="s">
        <v>508</v>
      </c>
      <c r="B15" s="510" t="s">
        <v>510</v>
      </c>
      <c r="C15" s="413" t="s">
        <v>499</v>
      </c>
      <c r="D15" s="413" t="s">
        <v>501</v>
      </c>
      <c r="E15" s="470">
        <v>2020</v>
      </c>
      <c r="F15" s="260" t="s">
        <v>36</v>
      </c>
      <c r="G15" s="260">
        <v>6</v>
      </c>
      <c r="H15" s="403"/>
      <c r="I15" s="407"/>
      <c r="J15" s="407"/>
      <c r="K15" s="262">
        <f>UrbanBMPs[[#This Row],[drainageArea_ac]]*UrbanBMPs[[#This Row],[impervFraction_percent]]</f>
        <v>0</v>
      </c>
      <c r="L15" s="262" t="e">
        <f>IFERROR(MIN(UrbanBMPs[[#This Row],[treatmentDepth_in]]*UrbanBMPs[[#This Row],[drainageArea_ac]]/UrbanBMPs[[#This Row],[impervArea_ac]],2.5),NA())</f>
        <v>#N/A</v>
      </c>
      <c r="M15" s="417">
        <v>1</v>
      </c>
      <c r="N15" s="262">
        <f>IF(UrbanBMPs[[#This Row],[treatmentDepthNormalizedManual_inPerImpervAc]]&gt;0,UrbanBMPs[[#This Row],[treatmentDepthNormalizedManual_inPerImpervAc]],UrbanBMPs[[#This Row],[treatmentDepthNormalized_inPerImpervAc]])</f>
        <v>1</v>
      </c>
      <c r="O15" s="263">
        <f>IF(UrbanBMPs[[#This Row],[BMP_type]]="Stream Restoration",NA(),IFERROR(INDEX(Impervious[#All],MATCH(UrbanBMPs[[#This Row],[drainageLandCoverClass]],Impervious[[#All],[Source]],0),4),0))</f>
        <v>0</v>
      </c>
      <c r="P15"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13650.734446959526</v>
      </c>
      <c r="Q15"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15.36</v>
      </c>
      <c r="R15"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56.400000000000006</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0.69900000000000007</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0.54920000000000002</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0.34950000000000003</v>
      </c>
      <c r="V15"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9541.8633784247104</v>
      </c>
      <c r="W15" s="264">
        <f>UrbanBMPs[[#This Row],[TSS_Reduction_lbPerY]]/2000</f>
        <v>4.7709316892123548</v>
      </c>
      <c r="X15"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8.4357120000000005</v>
      </c>
      <c r="Y15"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19.711800000000004</v>
      </c>
    </row>
    <row r="16" spans="1:25" x14ac:dyDescent="0.25">
      <c r="A16" s="478" t="s">
        <v>500</v>
      </c>
      <c r="B16" s="479" t="s">
        <v>363</v>
      </c>
      <c r="C16" s="413" t="s">
        <v>502</v>
      </c>
      <c r="D16" s="413" t="s">
        <v>501</v>
      </c>
      <c r="E16" s="470">
        <v>2021</v>
      </c>
      <c r="F16" s="260"/>
      <c r="G16" s="260"/>
      <c r="H16" s="403"/>
      <c r="I16" s="407">
        <v>800</v>
      </c>
      <c r="J16" s="407"/>
      <c r="K16" s="410" t="e">
        <f>UrbanBMPs[[#This Row],[drainageArea_ac]]*UrbanBMPs[[#This Row],[impervFraction_percent]]</f>
        <v>#N/A</v>
      </c>
      <c r="L16" s="410" t="e">
        <f>IFERROR(MIN(UrbanBMPs[[#This Row],[treatmentDepth_in]]*UrbanBMPs[[#This Row],[drainageArea_ac]]/UrbanBMPs[[#This Row],[impervArea_ac]],2.5),NA())</f>
        <v>#N/A</v>
      </c>
      <c r="M16" s="417"/>
      <c r="N16" s="410" t="e">
        <f>IF(UrbanBMPs[[#This Row],[treatmentDepthNormalizedManual_inPerImpervAc]]&gt;0,UrbanBMPs[[#This Row],[treatmentDepthNormalizedManual_inPerImpervAc]],UrbanBMPs[[#This Row],[treatmentDepthNormalized_inPerImpervAc]])</f>
        <v>#N/A</v>
      </c>
      <c r="O16" s="263" t="e">
        <f>IF(UrbanBMPs[[#This Row],[BMP_type]]="Stream Restoration",NA(),IFERROR(INDEX(Impervious[#All],MATCH(UrbanBMPs[[#This Row],[drainageLandCoverClass]],Impervious[[#All],[Source]],0),4),0))</f>
        <v>#N/A</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92000</v>
      </c>
      <c r="W16" s="412">
        <f>UrbanBMPs[[#This Row],[TSS_Reduction_lbPerY]]/2000</f>
        <v>46</v>
      </c>
      <c r="X16"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139.19999999999999</v>
      </c>
      <c r="Y16"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153.6</v>
      </c>
    </row>
    <row r="17" spans="1:25" x14ac:dyDescent="0.25">
      <c r="A17" s="468"/>
      <c r="B17" s="480"/>
      <c r="C17" s="413"/>
      <c r="D17" s="413"/>
      <c r="E17" s="470"/>
      <c r="F17" s="260"/>
      <c r="G17" s="260"/>
      <c r="H17" s="403"/>
      <c r="I17" s="407"/>
      <c r="J17" s="407"/>
      <c r="K17" s="410">
        <f>UrbanBMPs[[#This Row],[drainageArea_ac]]*UrbanBMPs[[#This Row],[impervFraction_percent]]</f>
        <v>0</v>
      </c>
      <c r="L17" s="410" t="e">
        <f>IFERROR(MIN(UrbanBMPs[[#This Row],[treatmentDepth_in]]*UrbanBMPs[[#This Row],[drainageArea_ac]]/UrbanBMPs[[#This Row],[impervArea_ac]],2.5),NA())</f>
        <v>#N/A</v>
      </c>
      <c r="M17" s="417"/>
      <c r="N17" s="410"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2"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x14ac:dyDescent="0.25">
      <c r="A18" s="413"/>
      <c r="B18" s="481"/>
      <c r="C18" s="413"/>
      <c r="D18" s="413"/>
      <c r="E18" s="470"/>
      <c r="F18" s="260"/>
      <c r="G18" s="260"/>
      <c r="H18" s="403"/>
      <c r="I18" s="407"/>
      <c r="J18" s="407"/>
      <c r="K18" s="410">
        <f>UrbanBMPs[[#This Row],[drainageArea_ac]]*UrbanBMPs[[#This Row],[impervFraction_percent]]</f>
        <v>0</v>
      </c>
      <c r="L18" s="410" t="e">
        <f>IFERROR(MIN(UrbanBMPs[[#This Row],[treatmentDepth_in]]*UrbanBMPs[[#This Row],[drainageArea_ac]]/UrbanBMPs[[#This Row],[impervArea_ac]],2.5),NA())</f>
        <v>#N/A</v>
      </c>
      <c r="M18" s="417"/>
      <c r="N18" s="410"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2"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x14ac:dyDescent="0.25">
      <c r="A19" s="413"/>
      <c r="B19" s="481"/>
      <c r="C19" s="413"/>
      <c r="D19" s="413"/>
      <c r="E19" s="470"/>
      <c r="F19" s="260"/>
      <c r="G19" s="260"/>
      <c r="H19" s="403"/>
      <c r="I19" s="407"/>
      <c r="J19" s="407"/>
      <c r="K19" s="410">
        <f>UrbanBMPs[[#This Row],[drainageArea_ac]]*UrbanBMPs[[#This Row],[impervFraction_percent]]</f>
        <v>0</v>
      </c>
      <c r="L19" s="410" t="e">
        <f>IFERROR(MIN(UrbanBMPs[[#This Row],[treatmentDepth_in]]*UrbanBMPs[[#This Row],[drainageArea_ac]]/UrbanBMPs[[#This Row],[impervArea_ac]],2.5),NA())</f>
        <v>#N/A</v>
      </c>
      <c r="M19" s="417"/>
      <c r="N19" s="410"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2"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413"/>
      <c r="B20" s="481"/>
      <c r="C20" s="413"/>
      <c r="D20" s="413"/>
      <c r="E20" s="470"/>
      <c r="F20" s="260"/>
      <c r="G20" s="260"/>
      <c r="H20" s="403"/>
      <c r="I20" s="407"/>
      <c r="J20" s="407"/>
      <c r="K20" s="410">
        <f>UrbanBMPs[[#This Row],[drainageArea_ac]]*UrbanBMPs[[#This Row],[impervFraction_percent]]</f>
        <v>0</v>
      </c>
      <c r="L20" s="410" t="e">
        <f>IFERROR(MIN(UrbanBMPs[[#This Row],[treatmentDepth_in]]*UrbanBMPs[[#This Row],[drainageArea_ac]]/UrbanBMPs[[#This Row],[impervArea_ac]],2.5),NA())</f>
        <v>#N/A</v>
      </c>
      <c r="M20" s="417"/>
      <c r="N20" s="410"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2"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413"/>
      <c r="B21" s="481"/>
      <c r="C21" s="413"/>
      <c r="D21" s="413"/>
      <c r="E21" s="470"/>
      <c r="F21" s="260"/>
      <c r="G21" s="260"/>
      <c r="H21" s="403"/>
      <c r="I21" s="407"/>
      <c r="J21" s="407"/>
      <c r="K21" s="410">
        <f>UrbanBMPs[[#This Row],[drainageArea_ac]]*UrbanBMPs[[#This Row],[impervFraction_percent]]</f>
        <v>0</v>
      </c>
      <c r="L21" s="410" t="e">
        <f>IFERROR(MIN(UrbanBMPs[[#This Row],[treatmentDepth_in]]*UrbanBMPs[[#This Row],[drainageArea_ac]]/UrbanBMPs[[#This Row],[impervArea_ac]],2.5),NA())</f>
        <v>#N/A</v>
      </c>
      <c r="M21" s="417"/>
      <c r="N21" s="410"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2"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413"/>
      <c r="B22" s="481"/>
      <c r="C22" s="413"/>
      <c r="D22" s="413"/>
      <c r="E22" s="470"/>
      <c r="F22" s="260"/>
      <c r="G22" s="260"/>
      <c r="H22" s="403"/>
      <c r="I22" s="407"/>
      <c r="J22" s="407"/>
      <c r="K22" s="410">
        <f>UrbanBMPs[[#This Row],[drainageArea_ac]]*UrbanBMPs[[#This Row],[impervFraction_percent]]</f>
        <v>0</v>
      </c>
      <c r="L22" s="410" t="e">
        <f>IFERROR(MIN(UrbanBMPs[[#This Row],[treatmentDepth_in]]*UrbanBMPs[[#This Row],[drainageArea_ac]]/UrbanBMPs[[#This Row],[impervArea_ac]],2.5),NA())</f>
        <v>#N/A</v>
      </c>
      <c r="M22" s="417"/>
      <c r="N22" s="410"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2"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414"/>
      <c r="B23" s="482"/>
      <c r="C23" s="414"/>
      <c r="D23" s="414"/>
      <c r="E23" s="472"/>
      <c r="F23" s="337"/>
      <c r="G23" s="337"/>
      <c r="H23" s="404"/>
      <c r="I23" s="408"/>
      <c r="J23" s="408"/>
      <c r="K23" s="410">
        <f>UrbanBMPs[[#This Row],[drainageArea_ac]]*UrbanBMPs[[#This Row],[impervFraction_percent]]</f>
        <v>0</v>
      </c>
      <c r="L23" s="410" t="e">
        <f>IFERROR(MIN(UrbanBMPs[[#This Row],[treatmentDepth_in]]*UrbanBMPs[[#This Row],[drainageArea_ac]]/UrbanBMPs[[#This Row],[impervArea_ac]],2.5),NA())</f>
        <v>#N/A</v>
      </c>
      <c r="M23" s="417"/>
      <c r="N23" s="410"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398</v>
      </c>
      <c r="C25" s="338" t="s">
        <v>397</v>
      </c>
    </row>
    <row r="26" spans="1:25" x14ac:dyDescent="0.25">
      <c r="A26" s="1" t="s">
        <v>399</v>
      </c>
      <c r="I26" s="4" t="s">
        <v>613</v>
      </c>
      <c r="J26" s="4"/>
      <c r="K26" s="4"/>
      <c r="U26" s="339" t="s">
        <v>374</v>
      </c>
      <c r="V26" s="340">
        <f>SUMIF(V$11:V$23, "&lt;&gt;#N/A")</f>
        <v>518953.37229969626</v>
      </c>
      <c r="W26" s="340">
        <f t="shared" ref="W26:Y26" si="0">SUMIF(W$11:W$23, "&lt;&gt;#N/A")</f>
        <v>259.47668614984809</v>
      </c>
      <c r="X26" s="340">
        <f t="shared" si="0"/>
        <v>243.62558148274928</v>
      </c>
      <c r="Y26" s="340">
        <f t="shared" si="0"/>
        <v>423.26366951796297</v>
      </c>
    </row>
    <row r="28" spans="1:25" x14ac:dyDescent="0.25">
      <c r="I28" s="91" t="s">
        <v>91</v>
      </c>
      <c r="J28" s="505" t="s">
        <v>90</v>
      </c>
    </row>
    <row r="29" spans="1:25" x14ac:dyDescent="0.25">
      <c r="A29" s="415"/>
      <c r="B29" s="406" t="s">
        <v>466</v>
      </c>
      <c r="I29" s="91" t="s">
        <v>99</v>
      </c>
      <c r="J29" s="506">
        <f>+'MMW Output'!F85</f>
        <v>1150.6172839506173</v>
      </c>
      <c r="U29" s="339" t="s">
        <v>400</v>
      </c>
      <c r="V29" s="340">
        <f>SUMIFS(V$11:V$23, V$11:V$23, "&lt;&gt;#N/A", $D$11:$D$23, "Existing")</f>
        <v>45821.936792878347</v>
      </c>
      <c r="W29" s="340">
        <f>SUMIFS(W$11:W$23, W$11:W$23, "&lt;&gt;#N/A", $D$11:$D$23, "Existing")</f>
        <v>22.910968396439173</v>
      </c>
      <c r="X29" s="340">
        <f>SUMIFS(X$11:X$23, X$11:X$23, "&lt;&gt;#N/A", $D$11:$D$23, "Existing")</f>
        <v>12.448659326499333</v>
      </c>
      <c r="Y29" s="340">
        <f>SUMIFS(Y$11:Y$23, Y$11:Y$23, "&lt;&gt;#N/A", $D$11:$D$23, "Existing")</f>
        <v>50.231669517962651</v>
      </c>
    </row>
    <row r="30" spans="1:25" x14ac:dyDescent="0.25">
      <c r="A30" s="405"/>
      <c r="B30" s="406" t="s">
        <v>463</v>
      </c>
      <c r="I30" s="91" t="s">
        <v>36</v>
      </c>
      <c r="J30" s="506">
        <f>+'MMW Output'!F86</f>
        <v>296.2962962962963</v>
      </c>
    </row>
    <row r="31" spans="1:25" x14ac:dyDescent="0.25">
      <c r="A31" s="409"/>
      <c r="B31" s="406" t="s">
        <v>464</v>
      </c>
      <c r="I31" s="91" t="s">
        <v>102</v>
      </c>
      <c r="J31" s="506">
        <f>+'MMW Output'!F80+'MMW Output'!F81+'MMW Output'!F82+'MMW Output'!F83</f>
        <v>560.49382716049377</v>
      </c>
      <c r="U31" s="339" t="s">
        <v>401</v>
      </c>
      <c r="V31" s="340">
        <f>SUMIFS(V$11:V$23, V$11:V$23, "&lt;&gt;#N/A", $D$11:$D$23, "Proposed")</f>
        <v>473131.43550681788</v>
      </c>
      <c r="W31" s="340">
        <f>SUMIFS(W$11:W$23, W$11:W$23, "&lt;&gt;#N/A", $D$11:$D$23, "Proposed")</f>
        <v>236.56571775340896</v>
      </c>
      <c r="X31" s="340">
        <f>SUMIFS(X$11:X$23, X$11:X$23, "&lt;&gt;#N/A", $D$11:$D$23, "Proposed")</f>
        <v>231.17692215624996</v>
      </c>
      <c r="Y31" s="340">
        <f>SUMIFS(Y$11:Y$23, Y$11:Y$23, "&lt;&gt;#N/A", $D$11:$D$23, "Proposed")</f>
        <v>373.03200000000038</v>
      </c>
    </row>
    <row r="32" spans="1:25" x14ac:dyDescent="0.25">
      <c r="A32" s="411"/>
      <c r="B32" s="406" t="s">
        <v>462</v>
      </c>
      <c r="I32" s="91" t="s">
        <v>104</v>
      </c>
      <c r="J32" s="506">
        <f>+'MMW Output'!F87+'MMW Output'!F88</f>
        <v>17.283950617283949</v>
      </c>
    </row>
    <row r="33" spans="1:25" x14ac:dyDescent="0.25">
      <c r="A33" s="416"/>
      <c r="B33" s="406" t="s">
        <v>465</v>
      </c>
      <c r="I33" s="91" t="s">
        <v>106</v>
      </c>
      <c r="J33" s="506">
        <f>+'MMW Output'!F84</f>
        <v>37.037037037037038</v>
      </c>
      <c r="T33" s="474" t="s">
        <v>393</v>
      </c>
    </row>
    <row r="34" spans="1:25" x14ac:dyDescent="0.25">
      <c r="A34" s="469"/>
      <c r="B34" s="473" t="s">
        <v>505</v>
      </c>
      <c r="I34" s="91" t="s">
        <v>108</v>
      </c>
      <c r="J34" s="506">
        <f>+'MMW Output'!F79</f>
        <v>0</v>
      </c>
      <c r="T34" s="475" t="s">
        <v>497</v>
      </c>
      <c r="U34" s="339" t="s">
        <v>402</v>
      </c>
      <c r="V34" s="340">
        <f t="shared" ref="V34:Y37" si="1">SUMIFS(V$11:V$23, V$11:V$23, "&lt;&gt;#N/A", $A$11:$A$23, $T34)</f>
        <v>45821.936792878347</v>
      </c>
      <c r="W34" s="340">
        <f t="shared" si="1"/>
        <v>22.910968396439173</v>
      </c>
      <c r="X34" s="340">
        <f t="shared" si="1"/>
        <v>12.448659326499333</v>
      </c>
      <c r="Y34" s="340">
        <f t="shared" si="1"/>
        <v>50.231669517962651</v>
      </c>
    </row>
    <row r="35" spans="1:25" x14ac:dyDescent="0.25">
      <c r="I35" s="91" t="s">
        <v>110</v>
      </c>
      <c r="J35" s="506">
        <f>+'MMW Output'!F75+'MMW Output'!F76</f>
        <v>1990.1234567901233</v>
      </c>
      <c r="T35" s="1" t="s">
        <v>507</v>
      </c>
      <c r="U35" s="339" t="s">
        <v>402</v>
      </c>
      <c r="V35" s="340">
        <f t="shared" si="1"/>
        <v>242205.97785199567</v>
      </c>
      <c r="W35" s="340">
        <f t="shared" si="1"/>
        <v>121.10298892599785</v>
      </c>
      <c r="X35" s="340">
        <f t="shared" si="1"/>
        <v>52.387623437499983</v>
      </c>
      <c r="Y35" s="340">
        <f t="shared" si="1"/>
        <v>108.90255000000019</v>
      </c>
    </row>
    <row r="36" spans="1:25" s="4" customFormat="1" x14ac:dyDescent="0.25">
      <c r="A36" s="464">
        <f>+'MMW Output'!M20</f>
        <v>340912.08439999999</v>
      </c>
      <c r="B36" s="334" t="s">
        <v>494</v>
      </c>
      <c r="C36" s="334"/>
      <c r="D36" s="334"/>
      <c r="I36" s="91" t="s">
        <v>112</v>
      </c>
      <c r="J36" s="506">
        <f>+'MMW Output'!F77</f>
        <v>207.40740740740739</v>
      </c>
      <c r="T36" s="465" t="s">
        <v>508</v>
      </c>
      <c r="U36" s="339" t="s">
        <v>402</v>
      </c>
      <c r="V36" s="340">
        <f t="shared" si="1"/>
        <v>138925.45765482221</v>
      </c>
      <c r="W36" s="340">
        <f t="shared" si="1"/>
        <v>69.462728827411112</v>
      </c>
      <c r="X36" s="340">
        <f t="shared" si="1"/>
        <v>39.589298718749987</v>
      </c>
      <c r="Y36" s="340">
        <f t="shared" si="1"/>
        <v>110.52945000000017</v>
      </c>
    </row>
    <row r="37" spans="1:25" x14ac:dyDescent="0.25">
      <c r="A37" s="464">
        <f>+'MMW Output'!O81</f>
        <v>56856.957199999997</v>
      </c>
      <c r="B37" s="334" t="s">
        <v>495</v>
      </c>
      <c r="I37" s="91" t="s">
        <v>114</v>
      </c>
      <c r="J37" s="506">
        <f>+'MMW Output'!F78</f>
        <v>49.382716049382715</v>
      </c>
      <c r="T37" s="1" t="s">
        <v>500</v>
      </c>
      <c r="U37" s="339" t="s">
        <v>402</v>
      </c>
      <c r="V37" s="340">
        <f t="shared" si="1"/>
        <v>92000</v>
      </c>
      <c r="W37" s="340">
        <f t="shared" si="1"/>
        <v>46</v>
      </c>
      <c r="X37" s="340">
        <f t="shared" si="1"/>
        <v>139.19999999999999</v>
      </c>
      <c r="Y37" s="340">
        <f t="shared" si="1"/>
        <v>153.6</v>
      </c>
    </row>
    <row r="39" spans="1:25" x14ac:dyDescent="0.25">
      <c r="B39" s="334" t="s">
        <v>524</v>
      </c>
      <c r="I39" s="505" t="s">
        <v>163</v>
      </c>
      <c r="J39" s="506">
        <f>SUM(J29:J37)</f>
        <v>4308.641975308642</v>
      </c>
    </row>
    <row r="40" spans="1:25" x14ac:dyDescent="0.25">
      <c r="B40" s="334" t="s">
        <v>525</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formula1>"Existing,Proposed"</formula1>
    </dataValidation>
    <dataValidation type="list" allowBlank="1" showInputMessage="1" showErrorMessage="1" sqref="C11:C23">
      <formula1>"RR,ST,Street Sweeping,Stream Restoration"</formula1>
    </dataValidation>
    <dataValidation type="list" allowBlank="1" showInputMessage="1" showErrorMessage="1" sqref="T34:T42">
      <formula1>$A$11:$A$23</formula1>
    </dataValidation>
  </dataValidations>
  <hyperlinks>
    <hyperlink ref="C25" r:id="rId1"/>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81"/>
  <sheetViews>
    <sheetView zoomScale="70" zoomScaleNormal="70" workbookViewId="0">
      <pane ySplit="1" topLeftCell="A2" activePane="bottomLeft" state="frozen"/>
      <selection pane="bottomLeft" activeCell="J106" sqref="J106"/>
    </sheetView>
  </sheetViews>
  <sheetFormatPr defaultColWidth="9.125" defaultRowHeight="15" x14ac:dyDescent="0.25"/>
  <cols>
    <col min="1" max="1" width="20.5" style="271" customWidth="1"/>
    <col min="2" max="2" width="13" style="272" customWidth="1"/>
    <col min="3" max="3" width="16" style="272" customWidth="1"/>
    <col min="4" max="4" width="13.875" style="272" customWidth="1"/>
    <col min="5" max="5" width="14.875" style="272" customWidth="1"/>
    <col min="6" max="6" width="4.125" style="271" customWidth="1"/>
    <col min="7" max="7" width="18.5" style="272" customWidth="1"/>
    <col min="8" max="8" width="2.875" style="418" customWidth="1"/>
    <col min="9" max="9" width="37.125" style="271" customWidth="1"/>
    <col min="10" max="10" width="14.625" style="271" customWidth="1"/>
    <col min="11" max="11" width="14.125" style="271" customWidth="1"/>
    <col min="12" max="12" width="12.5" style="271" customWidth="1"/>
    <col min="13" max="13" width="5" style="418" customWidth="1"/>
    <col min="14" max="14" width="36.625" style="418" customWidth="1"/>
    <col min="15" max="15" width="13.875" style="418" customWidth="1"/>
    <col min="16" max="18" width="12.5" style="418" customWidth="1"/>
    <col min="19" max="19" width="49.625" style="271" customWidth="1"/>
    <col min="20" max="20" width="12.875" style="271" customWidth="1"/>
    <col min="21" max="16384" width="9.125" style="271"/>
  </cols>
  <sheetData>
    <row r="1" spans="1:19" s="418" customFormat="1" ht="39" customHeight="1" thickBot="1" x14ac:dyDescent="0.4">
      <c r="B1" s="272"/>
      <c r="C1" s="272"/>
      <c r="D1" s="272"/>
      <c r="E1" s="272"/>
      <c r="G1" s="272"/>
      <c r="I1" s="427" t="s">
        <v>473</v>
      </c>
      <c r="J1" s="428" t="s">
        <v>17</v>
      </c>
      <c r="K1" s="428" t="s">
        <v>328</v>
      </c>
      <c r="L1" s="428" t="s">
        <v>329</v>
      </c>
      <c r="N1" s="427" t="s">
        <v>474</v>
      </c>
      <c r="O1" s="428" t="s">
        <v>17</v>
      </c>
      <c r="P1" s="428" t="s">
        <v>328</v>
      </c>
      <c r="Q1" s="428" t="s">
        <v>329</v>
      </c>
      <c r="S1" s="430" t="s">
        <v>475</v>
      </c>
    </row>
    <row r="2" spans="1:19" ht="15.75" customHeight="1" thickBot="1" x14ac:dyDescent="0.3">
      <c r="A2" s="603" t="s">
        <v>326</v>
      </c>
      <c r="B2" s="604"/>
      <c r="C2" s="604"/>
      <c r="D2" s="604"/>
      <c r="E2" s="605"/>
      <c r="I2" s="273" t="s">
        <v>327</v>
      </c>
      <c r="J2" s="426"/>
      <c r="K2" s="426"/>
      <c r="L2" s="426"/>
      <c r="N2" s="273" t="s">
        <v>327</v>
      </c>
      <c r="O2" s="426"/>
      <c r="P2" s="426"/>
      <c r="Q2" s="426"/>
    </row>
    <row r="3" spans="1:19" ht="34.5" customHeight="1" x14ac:dyDescent="0.25">
      <c r="A3" s="274" t="s">
        <v>13</v>
      </c>
      <c r="B3" s="275" t="s">
        <v>135</v>
      </c>
      <c r="C3" s="276" t="s">
        <v>330</v>
      </c>
      <c r="D3" s="275" t="s">
        <v>331</v>
      </c>
      <c r="E3" s="277" t="s">
        <v>332</v>
      </c>
      <c r="G3" s="278" t="s">
        <v>333</v>
      </c>
      <c r="I3" s="271" t="s">
        <v>334</v>
      </c>
      <c r="J3" s="286">
        <f>B5</f>
        <v>491.35802469135797</v>
      </c>
      <c r="K3" s="454"/>
      <c r="L3" s="454"/>
      <c r="M3" s="454"/>
      <c r="N3" s="454" t="s">
        <v>334</v>
      </c>
      <c r="O3" s="476">
        <f>B5-J4</f>
        <v>-8.6419753086420315</v>
      </c>
      <c r="S3" s="519" t="s">
        <v>562</v>
      </c>
    </row>
    <row r="4" spans="1:19" ht="17.25" customHeight="1" x14ac:dyDescent="0.25">
      <c r="A4" s="280" t="s">
        <v>35</v>
      </c>
      <c r="B4" s="281">
        <f>+'MMW Output'!C20</f>
        <v>1666.6666666666665</v>
      </c>
      <c r="C4" s="281">
        <f>+'MMW Output'!D20</f>
        <v>136.61540549999998</v>
      </c>
      <c r="D4" s="281">
        <f>+'MMW Output'!E20</f>
        <v>1861.4610000000002</v>
      </c>
      <c r="E4" s="282">
        <f>+'MMW Output'!F20</f>
        <v>687.51900000000001</v>
      </c>
      <c r="F4" s="283"/>
      <c r="G4" s="284">
        <f t="shared" ref="G4:G19" si="0">C4*2000</f>
        <v>273230.81099999999</v>
      </c>
      <c r="I4" s="271" t="s">
        <v>335</v>
      </c>
      <c r="J4" s="524">
        <v>500</v>
      </c>
      <c r="K4" s="454"/>
      <c r="L4" s="454"/>
      <c r="M4" s="454"/>
      <c r="N4" s="454" t="s">
        <v>335</v>
      </c>
      <c r="O4" s="527">
        <v>200</v>
      </c>
    </row>
    <row r="5" spans="1:19" x14ac:dyDescent="0.25">
      <c r="A5" s="285" t="s">
        <v>36</v>
      </c>
      <c r="B5" s="286">
        <f>+'MMW Output'!C21</f>
        <v>491.35802469135797</v>
      </c>
      <c r="C5" s="286">
        <f>+'MMW Output'!D21</f>
        <v>316.40658524999998</v>
      </c>
      <c r="D5" s="286">
        <f>+'MMW Output'!E21</f>
        <v>3203.424</v>
      </c>
      <c r="E5" s="287">
        <f>+'MMW Output'!F21</f>
        <v>838.12050000000011</v>
      </c>
      <c r="G5" s="288">
        <f t="shared" si="0"/>
        <v>632813.17050000001</v>
      </c>
      <c r="I5" s="271" t="s">
        <v>336</v>
      </c>
      <c r="J5" s="271">
        <v>0.35</v>
      </c>
      <c r="K5" s="271">
        <v>0.28999999999999998</v>
      </c>
      <c r="L5" s="271">
        <v>0.5</v>
      </c>
      <c r="N5" s="418" t="s">
        <v>336</v>
      </c>
      <c r="O5" s="418">
        <v>0.35</v>
      </c>
      <c r="P5" s="418">
        <v>0.28999999999999998</v>
      </c>
      <c r="Q5" s="418">
        <v>0.5</v>
      </c>
    </row>
    <row r="6" spans="1:19" x14ac:dyDescent="0.25">
      <c r="A6" s="285" t="s">
        <v>37</v>
      </c>
      <c r="B6" s="286">
        <f>+'MMW Output'!C22</f>
        <v>9730.8641975308637</v>
      </c>
      <c r="C6" s="286">
        <f>+'MMW Output'!D22</f>
        <v>7.9434022500000001</v>
      </c>
      <c r="D6" s="286">
        <f>+'MMW Output'!E22</f>
        <v>1136.8980000000001</v>
      </c>
      <c r="E6" s="287">
        <f>+'MMW Output'!F22</f>
        <v>73.647000000000006</v>
      </c>
      <c r="G6" s="288">
        <f t="shared" si="0"/>
        <v>15886.8045</v>
      </c>
      <c r="I6" s="279" t="s">
        <v>337</v>
      </c>
      <c r="J6" s="429">
        <f>(J4/J3)*G5*J5</f>
        <v>225380.06763410807</v>
      </c>
      <c r="K6" s="429">
        <f>(J4/J3)*D5*K5</f>
        <v>945.33203216080403</v>
      </c>
      <c r="L6" s="429">
        <f>(J4/J3)*E5*L5</f>
        <v>426.43065640703526</v>
      </c>
      <c r="M6" s="279"/>
      <c r="N6" s="279" t="s">
        <v>337</v>
      </c>
      <c r="O6" s="429">
        <f>(O4/J3)*G5*O5</f>
        <v>90152.027053643222</v>
      </c>
      <c r="P6" s="279">
        <f>(O4/J3)*D5*P5</f>
        <v>378.13281286432164</v>
      </c>
      <c r="Q6" s="429">
        <f>(O4/J3)*E5*Q5</f>
        <v>170.5722625628141</v>
      </c>
      <c r="R6" s="279"/>
    </row>
    <row r="7" spans="1:19" ht="18.75" customHeight="1" x14ac:dyDescent="0.25">
      <c r="A7" s="285" t="s">
        <v>39</v>
      </c>
      <c r="B7" s="286">
        <f>+'MMW Output'!C23</f>
        <v>656.79012345679007</v>
      </c>
      <c r="C7" s="286">
        <f>+'MMW Output'!D23</f>
        <v>0.72522449999999994</v>
      </c>
      <c r="D7" s="286">
        <f>+'MMW Output'!E23</f>
        <v>254.45700000000002</v>
      </c>
      <c r="E7" s="287">
        <f>+'MMW Output'!F23</f>
        <v>14.552999999999999</v>
      </c>
      <c r="G7" s="288">
        <f t="shared" si="0"/>
        <v>1450.4489999999998</v>
      </c>
    </row>
    <row r="8" spans="1:19" x14ac:dyDescent="0.25">
      <c r="A8" s="285" t="s">
        <v>40</v>
      </c>
      <c r="B8" s="286">
        <f>+'MMW Output'!C24</f>
        <v>0</v>
      </c>
      <c r="C8" s="286">
        <f>+'MMW Output'!D24</f>
        <v>0</v>
      </c>
      <c r="D8" s="286">
        <f>+'MMW Output'!E24</f>
        <v>0</v>
      </c>
      <c r="E8" s="287">
        <f>+'MMW Output'!F24</f>
        <v>0</v>
      </c>
      <c r="G8" s="288">
        <f t="shared" si="0"/>
        <v>0</v>
      </c>
      <c r="I8" s="273" t="s">
        <v>558</v>
      </c>
      <c r="N8" s="273" t="s">
        <v>558</v>
      </c>
    </row>
    <row r="9" spans="1:19" x14ac:dyDescent="0.25">
      <c r="A9" s="285" t="s">
        <v>41</v>
      </c>
      <c r="B9" s="286">
        <f>+'MMW Output'!C25</f>
        <v>0</v>
      </c>
      <c r="C9" s="286">
        <f>+'MMW Output'!D25</f>
        <v>0</v>
      </c>
      <c r="D9" s="286">
        <f>+'MMW Output'!E25</f>
        <v>0</v>
      </c>
      <c r="E9" s="287">
        <f>+'MMW Output'!F25</f>
        <v>0</v>
      </c>
      <c r="G9" s="288">
        <f t="shared" si="0"/>
        <v>0</v>
      </c>
    </row>
    <row r="10" spans="1:19" x14ac:dyDescent="0.25">
      <c r="A10" s="285" t="s">
        <v>42</v>
      </c>
      <c r="B10" s="286">
        <f>+'MMW Output'!C26</f>
        <v>66.666666666666657</v>
      </c>
      <c r="C10" s="286">
        <f>+'MMW Output'!D26</f>
        <v>1.7845065</v>
      </c>
      <c r="D10" s="286">
        <f>+'MMW Output'!E26</f>
        <v>67.6935</v>
      </c>
      <c r="E10" s="287">
        <f>+'MMW Output'!F26</f>
        <v>4.6305000000000005</v>
      </c>
      <c r="G10" s="288">
        <f t="shared" si="0"/>
        <v>3569.0129999999999</v>
      </c>
      <c r="I10" s="271" t="s">
        <v>334</v>
      </c>
      <c r="J10" s="286">
        <f>B5</f>
        <v>491.35802469135797</v>
      </c>
      <c r="K10" s="454"/>
      <c r="L10" s="454"/>
      <c r="M10" s="454"/>
      <c r="N10" s="454" t="s">
        <v>334</v>
      </c>
      <c r="O10" s="476">
        <f>B5-J11</f>
        <v>-8.6419753086420315</v>
      </c>
      <c r="S10" s="519" t="s">
        <v>563</v>
      </c>
    </row>
    <row r="11" spans="1:19" ht="15.75" customHeight="1" x14ac:dyDescent="0.25">
      <c r="A11" s="285" t="s">
        <v>43</v>
      </c>
      <c r="B11" s="286">
        <f>+'MMW Output'!C27</f>
        <v>222.2222222222222</v>
      </c>
      <c r="C11" s="286">
        <f>+'MMW Output'!D27</f>
        <v>5.4794250000000003E-2</v>
      </c>
      <c r="D11" s="286">
        <f>+'MMW Output'!E27</f>
        <v>117.08550000000001</v>
      </c>
      <c r="E11" s="287">
        <f>+'MMW Output'!F27</f>
        <v>3.9690000000000003</v>
      </c>
      <c r="G11" s="288">
        <f t="shared" si="0"/>
        <v>109.58850000000001</v>
      </c>
      <c r="I11" s="271" t="s">
        <v>335</v>
      </c>
      <c r="J11" s="524">
        <v>500</v>
      </c>
      <c r="K11" s="454"/>
      <c r="L11" s="454"/>
      <c r="M11" s="454"/>
      <c r="N11" s="454" t="s">
        <v>335</v>
      </c>
      <c r="O11" s="527">
        <v>500</v>
      </c>
    </row>
    <row r="12" spans="1:19" x14ac:dyDescent="0.25">
      <c r="A12" s="285" t="s">
        <v>44</v>
      </c>
      <c r="B12" s="286">
        <f>+'MMW Output'!C28</f>
        <v>0</v>
      </c>
      <c r="C12" s="286">
        <f>+'MMW Output'!D28</f>
        <v>0</v>
      </c>
      <c r="D12" s="286">
        <f>+'MMW Output'!E28</f>
        <v>0</v>
      </c>
      <c r="E12" s="287">
        <f>+'MMW Output'!F28</f>
        <v>0</v>
      </c>
      <c r="G12" s="288">
        <f t="shared" si="0"/>
        <v>0</v>
      </c>
      <c r="I12" s="271" t="s">
        <v>336</v>
      </c>
      <c r="J12" s="271">
        <v>0.3</v>
      </c>
      <c r="K12" s="271">
        <v>0.08</v>
      </c>
      <c r="L12" s="271">
        <v>0.22</v>
      </c>
      <c r="N12" s="418" t="s">
        <v>336</v>
      </c>
      <c r="O12" s="418">
        <v>0.3</v>
      </c>
      <c r="P12" s="418">
        <v>0.08</v>
      </c>
      <c r="Q12" s="418">
        <v>0.22</v>
      </c>
    </row>
    <row r="13" spans="1:19" x14ac:dyDescent="0.25">
      <c r="A13" s="289" t="s">
        <v>45</v>
      </c>
      <c r="B13" s="286">
        <f>+'MMW Output'!C29</f>
        <v>0</v>
      </c>
      <c r="C13" s="286">
        <f>+'MMW Output'!D29</f>
        <v>0</v>
      </c>
      <c r="D13" s="286">
        <f>+'MMW Output'!E29</f>
        <v>0</v>
      </c>
      <c r="E13" s="290">
        <f>+'MMW Output'!F29</f>
        <v>0</v>
      </c>
      <c r="F13" s="291"/>
      <c r="G13" s="292">
        <f t="shared" si="0"/>
        <v>0</v>
      </c>
      <c r="I13" s="279" t="s">
        <v>337</v>
      </c>
      <c r="J13" s="429">
        <f>(J11/J10)*G5*J12</f>
        <v>193182.91511494978</v>
      </c>
      <c r="K13" s="429">
        <f>(J11/J10)*D5*K12</f>
        <v>260.78125025125632</v>
      </c>
      <c r="L13" s="429">
        <f>(J11/J10)*E5*L12</f>
        <v>187.62948881909551</v>
      </c>
      <c r="M13" s="279"/>
      <c r="N13" s="279" t="s">
        <v>337</v>
      </c>
      <c r="O13" s="429">
        <f>(O11/J10)*G5*O12</f>
        <v>193182.91511494978</v>
      </c>
      <c r="P13" s="429">
        <f>(O11/J10)*D5*P12</f>
        <v>260.78125025125632</v>
      </c>
      <c r="Q13" s="429">
        <f>(O11/J10)*E5*Q12</f>
        <v>187.62948881909551</v>
      </c>
      <c r="R13" s="279"/>
    </row>
    <row r="14" spans="1:19" ht="19.5" customHeight="1" x14ac:dyDescent="0.25">
      <c r="A14" s="280" t="s">
        <v>46</v>
      </c>
      <c r="B14" s="281">
        <f>+'MMW Output'!C30</f>
        <v>23372.839506172837</v>
      </c>
      <c r="C14" s="281">
        <f>+'MMW Output'!D30</f>
        <v>49.872138749999998</v>
      </c>
      <c r="D14" s="281">
        <f>+'MMW Output'!E30</f>
        <v>2449.5345000000002</v>
      </c>
      <c r="E14" s="287">
        <f>+'MMW Output'!F30</f>
        <v>263.4975</v>
      </c>
      <c r="F14" s="283"/>
      <c r="G14" s="284">
        <f t="shared" si="0"/>
        <v>99744.277499999997</v>
      </c>
    </row>
    <row r="15" spans="1:19" ht="22.5" customHeight="1" x14ac:dyDescent="0.25">
      <c r="A15" s="285" t="s">
        <v>47</v>
      </c>
      <c r="B15" s="286">
        <f>+'MMW Output'!C31</f>
        <v>3395.0617283950614</v>
      </c>
      <c r="C15" s="286">
        <f>+'MMW Output'!D31</f>
        <v>111.58049700000001</v>
      </c>
      <c r="D15" s="286">
        <f>+'MMW Output'!E31</f>
        <v>4522.6755000000003</v>
      </c>
      <c r="E15" s="287">
        <f>+'MMW Output'!F31</f>
        <v>462.82950000000005</v>
      </c>
      <c r="G15" s="288">
        <f t="shared" si="0"/>
        <v>223160.99400000001</v>
      </c>
      <c r="I15" s="273" t="s">
        <v>557</v>
      </c>
      <c r="N15" s="273" t="s">
        <v>557</v>
      </c>
      <c r="S15" s="519" t="s">
        <v>561</v>
      </c>
    </row>
    <row r="16" spans="1:19" ht="15.75" customHeight="1" x14ac:dyDescent="0.25">
      <c r="A16" s="285" t="s">
        <v>48</v>
      </c>
      <c r="B16" s="286">
        <f>+'MMW Output'!C32</f>
        <v>965.43209876543199</v>
      </c>
      <c r="C16" s="286">
        <f>+'MMW Output'!D32</f>
        <v>31.739211000000005</v>
      </c>
      <c r="D16" s="286">
        <f>+'MMW Output'!E32</f>
        <v>1286.3969999999999</v>
      </c>
      <c r="E16" s="287">
        <f>+'MMW Output'!F32</f>
        <v>131.63850000000002</v>
      </c>
      <c r="G16" s="288">
        <f t="shared" si="0"/>
        <v>63478.422000000006</v>
      </c>
      <c r="I16" s="271" t="s">
        <v>334</v>
      </c>
      <c r="J16" s="466">
        <f>B5</f>
        <v>491.35802469135797</v>
      </c>
      <c r="K16" s="454"/>
      <c r="L16" s="454"/>
      <c r="M16" s="454"/>
      <c r="N16" s="454" t="s">
        <v>334</v>
      </c>
      <c r="O16" s="477">
        <f>B5-J19</f>
        <v>491.35802469135797</v>
      </c>
      <c r="S16" s="279" t="s">
        <v>338</v>
      </c>
    </row>
    <row r="17" spans="1:19" x14ac:dyDescent="0.25">
      <c r="A17" s="285" t="s">
        <v>49</v>
      </c>
      <c r="B17" s="286">
        <f>+'MMW Output'!C33</f>
        <v>0</v>
      </c>
      <c r="C17" s="286">
        <f>+'MMW Output'!D33</f>
        <v>0</v>
      </c>
      <c r="D17" s="286">
        <f>+'MMW Output'!E33</f>
        <v>0</v>
      </c>
      <c r="E17" s="287">
        <f>+'MMW Output'!F33</f>
        <v>0</v>
      </c>
      <c r="G17" s="288">
        <f t="shared" si="0"/>
        <v>0</v>
      </c>
      <c r="I17" s="271" t="s">
        <v>493</v>
      </c>
      <c r="J17" s="523">
        <v>0</v>
      </c>
      <c r="K17" s="454"/>
      <c r="L17" s="454"/>
      <c r="M17" s="454"/>
      <c r="N17" s="454" t="s">
        <v>493</v>
      </c>
      <c r="O17" s="523">
        <v>0</v>
      </c>
      <c r="S17" s="279" t="s">
        <v>339</v>
      </c>
    </row>
    <row r="18" spans="1:19" x14ac:dyDescent="0.25">
      <c r="A18" s="285" t="s">
        <v>50</v>
      </c>
      <c r="B18" s="286">
        <f>+'MMW Output'!C34</f>
        <v>0</v>
      </c>
      <c r="C18" s="286">
        <f>+'MMW Output'!D34</f>
        <v>0</v>
      </c>
      <c r="D18" s="286">
        <f>+'MMW Output'!E34</f>
        <v>0</v>
      </c>
      <c r="E18" s="287">
        <f>+'MMW Output'!F34</f>
        <v>0</v>
      </c>
      <c r="G18" s="288">
        <f t="shared" si="0"/>
        <v>0</v>
      </c>
      <c r="I18" s="271" t="s">
        <v>340</v>
      </c>
      <c r="J18" s="271">
        <f>(J17*100)/43560</f>
        <v>0</v>
      </c>
      <c r="N18" s="418" t="s">
        <v>340</v>
      </c>
      <c r="O18" s="418">
        <f>(O17*100)/43560</f>
        <v>0</v>
      </c>
    </row>
    <row r="19" spans="1:19" x14ac:dyDescent="0.25">
      <c r="A19" s="289" t="s">
        <v>51</v>
      </c>
      <c r="B19" s="286">
        <f>+'MMW Output'!C35</f>
        <v>0</v>
      </c>
      <c r="C19" s="286">
        <f>+'MMW Output'!D35</f>
        <v>0</v>
      </c>
      <c r="D19" s="286">
        <f>+'MMW Output'!E35</f>
        <v>0</v>
      </c>
      <c r="E19" s="290">
        <f>+'MMW Output'!F35</f>
        <v>0</v>
      </c>
      <c r="F19" s="291"/>
      <c r="G19" s="292">
        <f t="shared" si="0"/>
        <v>0</v>
      </c>
      <c r="I19" s="271" t="s">
        <v>335</v>
      </c>
      <c r="J19" s="271">
        <f>J18*2</f>
        <v>0</v>
      </c>
      <c r="K19" s="271">
        <f>J18*4</f>
        <v>0</v>
      </c>
      <c r="L19" s="271">
        <f>J18*2</f>
        <v>0</v>
      </c>
      <c r="N19" s="418" t="s">
        <v>335</v>
      </c>
      <c r="O19" s="418">
        <f>O18*2</f>
        <v>0</v>
      </c>
      <c r="P19" s="418">
        <f>O18*4</f>
        <v>0</v>
      </c>
      <c r="Q19" s="418">
        <f>O18*2</f>
        <v>0</v>
      </c>
    </row>
    <row r="20" spans="1:19" ht="15" customHeight="1" x14ac:dyDescent="0.25">
      <c r="A20" s="280" t="s">
        <v>53</v>
      </c>
      <c r="B20" s="293" t="s">
        <v>65</v>
      </c>
      <c r="C20" s="281">
        <f>+'MMW Output'!D36</f>
        <v>0</v>
      </c>
      <c r="D20" s="281">
        <f>+'MMW Output'!E36</f>
        <v>4895.7615000000005</v>
      </c>
      <c r="E20" s="287">
        <f>+'MMW Output'!F36</f>
        <v>1294.1144999999999</v>
      </c>
      <c r="F20" s="283"/>
      <c r="G20" s="284"/>
      <c r="I20" s="271" t="s">
        <v>336</v>
      </c>
      <c r="J20" s="271">
        <v>0.54</v>
      </c>
      <c r="K20" s="271">
        <v>0.41</v>
      </c>
      <c r="L20" s="271">
        <v>0.4</v>
      </c>
      <c r="N20" s="418" t="s">
        <v>336</v>
      </c>
      <c r="O20" s="418">
        <v>0.54</v>
      </c>
      <c r="P20" s="418">
        <v>0.41</v>
      </c>
      <c r="Q20" s="418">
        <v>0.4</v>
      </c>
    </row>
    <row r="21" spans="1:19" ht="15" customHeight="1" x14ac:dyDescent="0.25">
      <c r="A21" s="285" t="s">
        <v>54</v>
      </c>
      <c r="B21" s="294" t="s">
        <v>65</v>
      </c>
      <c r="C21" s="286">
        <f>+'MMW Output'!D37</f>
        <v>0</v>
      </c>
      <c r="D21" s="286">
        <f>+'MMW Output'!E37</f>
        <v>0</v>
      </c>
      <c r="E21" s="287">
        <f>+'MMW Output'!F37</f>
        <v>0</v>
      </c>
      <c r="G21" s="288">
        <f>C21*2000</f>
        <v>0</v>
      </c>
      <c r="I21" s="279" t="s">
        <v>337</v>
      </c>
      <c r="J21" s="429">
        <f>(J19*J20*C32)+(J18*(C32-C33))</f>
        <v>0</v>
      </c>
      <c r="K21" s="279">
        <f>(K19*K20*D32)+(J18*(D32-D33))</f>
        <v>0</v>
      </c>
      <c r="L21" s="279">
        <f>(L19*L20*E32)+(J18*(E32-E33))</f>
        <v>0</v>
      </c>
      <c r="M21" s="279"/>
      <c r="N21" s="279" t="s">
        <v>337</v>
      </c>
      <c r="O21" s="429">
        <f>(O19*O20*C32)+(O18*(C32-C33))</f>
        <v>0</v>
      </c>
      <c r="P21" s="279">
        <f>(P19*P20*D32)+(O18*(D32-D33))</f>
        <v>0</v>
      </c>
      <c r="Q21" s="279">
        <f>(Q19*Q20*E32)+(O18*(E32-E33))</f>
        <v>0</v>
      </c>
      <c r="R21" s="279"/>
    </row>
    <row r="22" spans="1:19" s="297" customFormat="1" ht="15" customHeight="1" x14ac:dyDescent="0.25">
      <c r="A22" s="295" t="s">
        <v>341</v>
      </c>
      <c r="B22" s="296" t="s">
        <v>65</v>
      </c>
      <c r="C22" s="286">
        <f>+'MMW Output'!D38</f>
        <v>26700.070477499998</v>
      </c>
      <c r="D22" s="286">
        <f>+'MMW Output'!E38</f>
        <v>33246.99</v>
      </c>
      <c r="E22" s="287">
        <f>+'MMW Output'!F38</f>
        <v>13291.74</v>
      </c>
      <c r="G22" s="298">
        <f>C22*2000</f>
        <v>53400140.954999998</v>
      </c>
      <c r="H22" s="419"/>
      <c r="M22" s="419"/>
      <c r="N22" s="419"/>
      <c r="O22" s="419"/>
      <c r="P22" s="419"/>
      <c r="Q22" s="419"/>
      <c r="R22" s="419"/>
    </row>
    <row r="23" spans="1:19" s="297" customFormat="1" ht="15" customHeight="1" x14ac:dyDescent="0.25">
      <c r="A23" s="295" t="s">
        <v>55</v>
      </c>
      <c r="B23" s="296"/>
      <c r="C23" s="286">
        <f>+'MMW Output'!D39</f>
        <v>0</v>
      </c>
      <c r="D23" s="286">
        <f>+'MMW Output'!E39</f>
        <v>132221.06099999999</v>
      </c>
      <c r="E23" s="287">
        <f>+'MMW Output'!F39</f>
        <v>2404.5525000000002</v>
      </c>
      <c r="G23" s="298"/>
      <c r="H23" s="419"/>
      <c r="I23" s="299" t="s">
        <v>342</v>
      </c>
      <c r="M23" s="419"/>
      <c r="N23" s="299" t="s">
        <v>342</v>
      </c>
      <c r="O23" s="419"/>
      <c r="P23" s="419"/>
      <c r="Q23" s="419"/>
      <c r="R23" s="419"/>
    </row>
    <row r="24" spans="1:19" s="297" customFormat="1" ht="15" customHeight="1" x14ac:dyDescent="0.25">
      <c r="A24" s="295" t="s">
        <v>56</v>
      </c>
      <c r="B24" s="296"/>
      <c r="C24" s="286">
        <f>+'MMW Output'!D40</f>
        <v>0</v>
      </c>
      <c r="D24" s="286">
        <f>+'MMW Output'!E40</f>
        <v>121109.625</v>
      </c>
      <c r="E24" s="287">
        <f>+'MMW Output'!F40</f>
        <v>67820.949000000008</v>
      </c>
      <c r="G24" s="298"/>
      <c r="H24" s="419"/>
      <c r="I24" s="271"/>
      <c r="J24" s="271"/>
      <c r="K24" s="271"/>
      <c r="L24" s="271"/>
      <c r="M24" s="418"/>
      <c r="N24" s="418"/>
      <c r="O24" s="418"/>
      <c r="P24" s="418"/>
      <c r="Q24" s="418"/>
      <c r="R24" s="418"/>
      <c r="S24" s="271"/>
    </row>
    <row r="25" spans="1:19" s="297" customFormat="1" ht="15" customHeight="1" thickBot="1" x14ac:dyDescent="0.3">
      <c r="A25" s="295" t="s">
        <v>57</v>
      </c>
      <c r="B25" s="296"/>
      <c r="C25" s="286">
        <f>+'MMW Output'!D41</f>
        <v>0</v>
      </c>
      <c r="D25" s="286">
        <f>+'MMW Output'!E41</f>
        <v>10658.308499999999</v>
      </c>
      <c r="E25" s="290">
        <f>+'MMW Output'!F41</f>
        <v>0</v>
      </c>
      <c r="G25" s="298"/>
      <c r="H25" s="419"/>
      <c r="I25" s="300" t="s">
        <v>343</v>
      </c>
      <c r="J25" s="301"/>
      <c r="K25" s="301"/>
      <c r="L25" s="301"/>
      <c r="M25" s="301"/>
      <c r="N25" s="300" t="s">
        <v>343</v>
      </c>
      <c r="O25" s="301"/>
      <c r="P25" s="301"/>
      <c r="Q25" s="301"/>
      <c r="R25" s="301"/>
      <c r="S25" s="271"/>
    </row>
    <row r="26" spans="1:19" s="297" customFormat="1" ht="15" customHeight="1" thickBot="1" x14ac:dyDescent="0.3">
      <c r="A26" s="302" t="s">
        <v>344</v>
      </c>
      <c r="B26" s="303">
        <f>SUM(B4:B22)</f>
        <v>40567.9012345679</v>
      </c>
      <c r="C26" s="303">
        <f t="shared" ref="C26" si="1">SUM(C4:C22)</f>
        <v>27356.792242499996</v>
      </c>
      <c r="D26" s="303">
        <f>SUM(D4:D25)</f>
        <v>317031.37199999997</v>
      </c>
      <c r="E26" s="304">
        <f>SUM(E4:E25)</f>
        <v>87291.760500000004</v>
      </c>
      <c r="F26" s="305"/>
      <c r="G26" s="306">
        <f>SUM(G4:G22)</f>
        <v>54713584.484999999</v>
      </c>
      <c r="H26" s="419"/>
      <c r="I26" s="297" t="s">
        <v>364</v>
      </c>
      <c r="J26" s="467">
        <f>+'MMW Output'!M19</f>
        <v>5479.0028000000002</v>
      </c>
      <c r="N26" s="297" t="s">
        <v>364</v>
      </c>
      <c r="O26" s="467">
        <f>J26-J27</f>
        <v>5479.0028000000002</v>
      </c>
      <c r="R26" s="301"/>
      <c r="S26" s="271"/>
    </row>
    <row r="27" spans="1:19" ht="15" customHeight="1" x14ac:dyDescent="0.25">
      <c r="A27" s="606" t="s">
        <v>346</v>
      </c>
      <c r="B27" s="607"/>
      <c r="C27" s="607"/>
      <c r="I27" s="271" t="s">
        <v>345</v>
      </c>
      <c r="J27" s="525">
        <v>0</v>
      </c>
      <c r="K27" s="301"/>
      <c r="L27" s="301"/>
      <c r="M27" s="301"/>
      <c r="N27" s="454" t="s">
        <v>345</v>
      </c>
      <c r="O27" s="525">
        <v>0</v>
      </c>
      <c r="P27" s="301"/>
      <c r="Q27" s="301"/>
      <c r="R27" s="307"/>
    </row>
    <row r="28" spans="1:19" s="297" customFormat="1" ht="15" customHeight="1" x14ac:dyDescent="0.25">
      <c r="A28" s="608" t="s">
        <v>347</v>
      </c>
      <c r="B28" s="609"/>
      <c r="C28" s="609"/>
      <c r="D28" s="308"/>
      <c r="E28" s="308"/>
      <c r="G28" s="308"/>
      <c r="H28" s="419"/>
      <c r="I28" s="271" t="s">
        <v>582</v>
      </c>
      <c r="J28" s="476">
        <f>B43</f>
        <v>154.14681733346339</v>
      </c>
      <c r="K28" s="301">
        <f>B44</f>
        <v>9.5971988140185302E-2</v>
      </c>
      <c r="L28" s="301">
        <f>B45</f>
        <v>3.8368427146109371E-2</v>
      </c>
      <c r="M28" s="307"/>
      <c r="N28" s="418" t="s">
        <v>582</v>
      </c>
      <c r="O28" s="476">
        <f>B43</f>
        <v>154.14681733346339</v>
      </c>
      <c r="P28" s="301">
        <f>B44</f>
        <v>9.5971988140185302E-2</v>
      </c>
      <c r="Q28" s="301">
        <f>B45</f>
        <v>3.8368427146109371E-2</v>
      </c>
      <c r="R28" s="301"/>
      <c r="S28" s="271"/>
    </row>
    <row r="29" spans="1:19" s="297" customFormat="1" ht="15" customHeight="1" thickBot="1" x14ac:dyDescent="0.3">
      <c r="A29" s="309" t="s">
        <v>349</v>
      </c>
      <c r="B29" s="309" t="s">
        <v>350</v>
      </c>
      <c r="C29" s="308"/>
      <c r="D29" s="308"/>
      <c r="E29" s="308"/>
      <c r="G29" s="308"/>
      <c r="H29" s="419"/>
      <c r="I29" s="271" t="s">
        <v>348</v>
      </c>
      <c r="J29" s="301">
        <f>J27*J28</f>
        <v>0</v>
      </c>
      <c r="K29" s="301">
        <f>J27*K28</f>
        <v>0</v>
      </c>
      <c r="L29" s="301">
        <f>J27*L28</f>
        <v>0</v>
      </c>
      <c r="M29" s="301"/>
      <c r="N29" s="418" t="s">
        <v>348</v>
      </c>
      <c r="O29" s="301">
        <f>O27*O28</f>
        <v>0</v>
      </c>
      <c r="P29" s="301">
        <f>O27*P28</f>
        <v>0</v>
      </c>
      <c r="Q29" s="301">
        <f>O27*Q28</f>
        <v>0</v>
      </c>
      <c r="R29" s="301"/>
      <c r="S29" s="271"/>
    </row>
    <row r="30" spans="1:19" s="297" customFormat="1" ht="29.25" customHeight="1" thickBot="1" x14ac:dyDescent="0.3">
      <c r="A30" s="310" t="s">
        <v>351</v>
      </c>
      <c r="B30" s="311">
        <f>SUM(B31:B40)</f>
        <v>12834.567901234568</v>
      </c>
      <c r="C30" s="312" t="s">
        <v>352</v>
      </c>
      <c r="D30" s="312" t="s">
        <v>353</v>
      </c>
      <c r="E30" s="312" t="s">
        <v>354</v>
      </c>
      <c r="F30" s="313"/>
      <c r="G30" s="523" t="s">
        <v>574</v>
      </c>
      <c r="H30" s="419"/>
      <c r="I30" s="271"/>
      <c r="J30" s="301"/>
      <c r="K30" s="301"/>
      <c r="L30" s="301"/>
      <c r="M30" s="301"/>
      <c r="N30" s="418"/>
      <c r="O30" s="301"/>
      <c r="P30" s="301"/>
      <c r="Q30" s="301"/>
      <c r="R30" s="419"/>
    </row>
    <row r="31" spans="1:19" s="297" customFormat="1" ht="15" customHeight="1" x14ac:dyDescent="0.25">
      <c r="A31" s="315" t="s">
        <v>35</v>
      </c>
      <c r="B31" s="316">
        <f t="shared" ref="B31:B40" si="2">B4</f>
        <v>1666.6666666666665</v>
      </c>
      <c r="C31" s="297">
        <f>G4/B31</f>
        <v>163.9384866</v>
      </c>
      <c r="D31" s="297">
        <f>D4/B31</f>
        <v>1.1168766000000003</v>
      </c>
      <c r="E31" s="297">
        <f>E4/B31</f>
        <v>0.41251140000000003</v>
      </c>
      <c r="G31" s="308"/>
      <c r="H31" s="419"/>
      <c r="I31" s="314" t="s">
        <v>355</v>
      </c>
      <c r="M31" s="419"/>
      <c r="N31" s="314" t="s">
        <v>355</v>
      </c>
      <c r="O31" s="419"/>
      <c r="P31" s="419"/>
      <c r="Q31" s="419"/>
      <c r="R31" s="419"/>
    </row>
    <row r="32" spans="1:19" s="297" customFormat="1" x14ac:dyDescent="0.25">
      <c r="A32" s="315" t="s">
        <v>36</v>
      </c>
      <c r="B32" s="316">
        <f t="shared" si="2"/>
        <v>491.35802469135797</v>
      </c>
      <c r="C32" s="297">
        <f t="shared" ref="C32:C40" si="3">G5/B32</f>
        <v>1287.8861007663318</v>
      </c>
      <c r="D32" s="297">
        <f t="shared" ref="D32:D40" si="4">D5/B32</f>
        <v>6.5195312562814074</v>
      </c>
      <c r="E32" s="297">
        <f t="shared" ref="E32:E40" si="5">E5/B32</f>
        <v>1.705722625628141</v>
      </c>
      <c r="G32" s="308"/>
      <c r="H32" s="419"/>
      <c r="I32" s="297" t="s">
        <v>356</v>
      </c>
      <c r="J32" s="297">
        <v>0.1</v>
      </c>
      <c r="M32" s="419"/>
      <c r="N32" s="419" t="s">
        <v>356</v>
      </c>
      <c r="O32" s="419">
        <v>0.1</v>
      </c>
      <c r="P32" s="419"/>
      <c r="Q32" s="419"/>
      <c r="R32" s="419"/>
    </row>
    <row r="33" spans="1:19" s="297" customFormat="1" ht="15" customHeight="1" x14ac:dyDescent="0.25">
      <c r="A33" s="315" t="s">
        <v>37</v>
      </c>
      <c r="B33" s="316">
        <f t="shared" si="2"/>
        <v>9730.8641975308637</v>
      </c>
      <c r="C33" s="297">
        <f t="shared" si="3"/>
        <v>1.6326201021314388</v>
      </c>
      <c r="D33" s="297">
        <f t="shared" si="4"/>
        <v>0.1168342273534636</v>
      </c>
      <c r="E33" s="297">
        <f t="shared" si="5"/>
        <v>7.568392539964477E-3</v>
      </c>
      <c r="G33" s="308"/>
      <c r="H33" s="419"/>
      <c r="I33" s="297" t="s">
        <v>357</v>
      </c>
      <c r="J33" s="297">
        <f>J32*J29</f>
        <v>0</v>
      </c>
      <c r="K33" s="297">
        <f>J32*K29</f>
        <v>0</v>
      </c>
      <c r="L33" s="297">
        <f>J32*L29</f>
        <v>0</v>
      </c>
      <c r="M33" s="419"/>
      <c r="N33" s="419" t="s">
        <v>357</v>
      </c>
      <c r="O33" s="419">
        <f>O32*O29</f>
        <v>0</v>
      </c>
      <c r="P33" s="419">
        <f>O32*P29</f>
        <v>0</v>
      </c>
      <c r="Q33" s="419">
        <f>O32*Q29</f>
        <v>0</v>
      </c>
      <c r="R33" s="419"/>
    </row>
    <row r="34" spans="1:19" s="297" customFormat="1" ht="15" customHeight="1" x14ac:dyDescent="0.25">
      <c r="A34" s="315" t="s">
        <v>39</v>
      </c>
      <c r="B34" s="316">
        <f t="shared" si="2"/>
        <v>656.79012345679007</v>
      </c>
      <c r="C34" s="297">
        <f t="shared" si="3"/>
        <v>2.208390394736842</v>
      </c>
      <c r="D34" s="297">
        <f t="shared" si="4"/>
        <v>0.38742513157894742</v>
      </c>
      <c r="E34" s="297">
        <f t="shared" si="5"/>
        <v>2.2157763157894736E-2</v>
      </c>
      <c r="G34" s="308"/>
      <c r="H34" s="419"/>
      <c r="M34" s="419"/>
      <c r="N34" s="419"/>
      <c r="O34" s="419"/>
      <c r="P34" s="419"/>
      <c r="Q34" s="419"/>
      <c r="R34" s="317"/>
      <c r="S34" s="271"/>
    </row>
    <row r="35" spans="1:19" s="297" customFormat="1" ht="15" customHeight="1" x14ac:dyDescent="0.25">
      <c r="A35" s="315" t="s">
        <v>40</v>
      </c>
      <c r="B35" s="316">
        <f t="shared" si="2"/>
        <v>0</v>
      </c>
      <c r="C35" s="297" t="e">
        <f t="shared" si="3"/>
        <v>#DIV/0!</v>
      </c>
      <c r="D35" s="297" t="e">
        <f t="shared" si="4"/>
        <v>#DIV/0!</v>
      </c>
      <c r="E35" s="297" t="e">
        <f t="shared" si="5"/>
        <v>#DIV/0!</v>
      </c>
      <c r="G35" s="308"/>
      <c r="H35" s="419"/>
      <c r="I35" s="279" t="s">
        <v>358</v>
      </c>
      <c r="J35" s="317">
        <f>J29+J33</f>
        <v>0</v>
      </c>
      <c r="K35" s="317">
        <f t="shared" ref="K35:L35" si="6">K29+K33</f>
        <v>0</v>
      </c>
      <c r="L35" s="317">
        <f t="shared" si="6"/>
        <v>0</v>
      </c>
      <c r="M35" s="317"/>
      <c r="N35" s="279" t="s">
        <v>358</v>
      </c>
      <c r="O35" s="317">
        <f>O29+O33</f>
        <v>0</v>
      </c>
      <c r="P35" s="317">
        <f t="shared" ref="P35:Q35" si="7">P29+P33</f>
        <v>0</v>
      </c>
      <c r="Q35" s="317">
        <f t="shared" si="7"/>
        <v>0</v>
      </c>
      <c r="R35" s="301"/>
      <c r="S35" s="271"/>
    </row>
    <row r="36" spans="1:19" s="297" customFormat="1" ht="15" customHeight="1" x14ac:dyDescent="0.25">
      <c r="A36" s="315" t="s">
        <v>41</v>
      </c>
      <c r="B36" s="316">
        <f t="shared" si="2"/>
        <v>0</v>
      </c>
      <c r="C36" s="297" t="e">
        <f t="shared" si="3"/>
        <v>#DIV/0!</v>
      </c>
      <c r="D36" s="297" t="e">
        <f t="shared" si="4"/>
        <v>#DIV/0!</v>
      </c>
      <c r="E36" s="297" t="e">
        <f t="shared" si="5"/>
        <v>#DIV/0!</v>
      </c>
      <c r="G36" s="308"/>
      <c r="H36" s="419"/>
      <c r="I36" s="271"/>
      <c r="J36" s="301"/>
      <c r="K36" s="301"/>
      <c r="L36" s="301"/>
      <c r="M36" s="301"/>
      <c r="N36" s="418"/>
      <c r="O36" s="301"/>
      <c r="P36" s="301"/>
      <c r="Q36" s="301"/>
      <c r="R36" s="301"/>
      <c r="S36" s="271"/>
    </row>
    <row r="37" spans="1:19" s="297" customFormat="1" ht="15" customHeight="1" x14ac:dyDescent="0.25">
      <c r="A37" s="315" t="s">
        <v>42</v>
      </c>
      <c r="B37" s="316">
        <f t="shared" si="2"/>
        <v>66.666666666666657</v>
      </c>
      <c r="C37" s="297">
        <f t="shared" si="3"/>
        <v>53.535195000000009</v>
      </c>
      <c r="D37" s="297">
        <f t="shared" si="4"/>
        <v>1.0154025000000002</v>
      </c>
      <c r="E37" s="297">
        <f t="shared" si="5"/>
        <v>6.9457500000000019E-2</v>
      </c>
      <c r="G37" s="308"/>
      <c r="H37" s="419"/>
      <c r="I37" s="273" t="s">
        <v>359</v>
      </c>
      <c r="J37" s="301"/>
      <c r="K37" s="301"/>
      <c r="L37" s="301"/>
      <c r="M37" s="301"/>
      <c r="N37" s="273" t="s">
        <v>359</v>
      </c>
      <c r="O37" s="301"/>
      <c r="P37" s="301"/>
      <c r="Q37" s="301"/>
      <c r="R37" s="301"/>
      <c r="S37" s="271"/>
    </row>
    <row r="38" spans="1:19" s="297" customFormat="1" ht="15" customHeight="1" x14ac:dyDescent="0.25">
      <c r="A38" s="315" t="s">
        <v>43</v>
      </c>
      <c r="B38" s="316">
        <f t="shared" si="2"/>
        <v>222.2222222222222</v>
      </c>
      <c r="C38" s="297">
        <f t="shared" si="3"/>
        <v>0.49314825000000012</v>
      </c>
      <c r="D38" s="297">
        <f t="shared" si="4"/>
        <v>0.52688475000000012</v>
      </c>
      <c r="E38" s="297">
        <f t="shared" si="5"/>
        <v>1.7860500000000005E-2</v>
      </c>
      <c r="G38" s="308"/>
      <c r="H38" s="419"/>
      <c r="I38" s="271" t="s">
        <v>334</v>
      </c>
      <c r="J38" s="301">
        <f>B4</f>
        <v>1666.6666666666665</v>
      </c>
      <c r="K38" s="301"/>
      <c r="L38" s="301"/>
      <c r="M38" s="301"/>
      <c r="N38" s="454" t="s">
        <v>334</v>
      </c>
      <c r="O38" s="301">
        <f>B4-J39</f>
        <v>1666.6666666666665</v>
      </c>
      <c r="P38" s="301"/>
      <c r="Q38" s="301"/>
      <c r="R38" s="301"/>
      <c r="S38" s="271"/>
    </row>
    <row r="39" spans="1:19" s="297" customFormat="1" ht="15" customHeight="1" x14ac:dyDescent="0.25">
      <c r="A39" s="315" t="s">
        <v>44</v>
      </c>
      <c r="B39" s="316">
        <f t="shared" si="2"/>
        <v>0</v>
      </c>
      <c r="C39" s="297" t="e">
        <f t="shared" si="3"/>
        <v>#DIV/0!</v>
      </c>
      <c r="D39" s="297" t="e">
        <f t="shared" si="4"/>
        <v>#DIV/0!</v>
      </c>
      <c r="E39" s="297" t="e">
        <f t="shared" si="5"/>
        <v>#DIV/0!</v>
      </c>
      <c r="G39" s="308"/>
      <c r="H39" s="419"/>
      <c r="I39" s="271" t="s">
        <v>335</v>
      </c>
      <c r="J39" s="525">
        <v>0</v>
      </c>
      <c r="K39" s="301"/>
      <c r="L39" s="454"/>
      <c r="M39" s="301"/>
      <c r="N39" s="454" t="s">
        <v>335</v>
      </c>
      <c r="O39" s="525">
        <v>0</v>
      </c>
      <c r="P39" s="301"/>
      <c r="Q39" s="301"/>
      <c r="R39" s="301"/>
      <c r="S39" s="271"/>
    </row>
    <row r="40" spans="1:19" ht="15.75" thickBot="1" x14ac:dyDescent="0.3">
      <c r="A40" s="315" t="s">
        <v>45</v>
      </c>
      <c r="B40" s="318">
        <f t="shared" si="2"/>
        <v>0</v>
      </c>
      <c r="C40" s="297" t="e">
        <f t="shared" si="3"/>
        <v>#DIV/0!</v>
      </c>
      <c r="D40" s="297" t="e">
        <f t="shared" si="4"/>
        <v>#DIV/0!</v>
      </c>
      <c r="E40" s="297" t="e">
        <f t="shared" si="5"/>
        <v>#DIV/0!</v>
      </c>
      <c r="I40" s="271" t="s">
        <v>360</v>
      </c>
      <c r="J40" s="301">
        <v>0.3</v>
      </c>
      <c r="K40" s="301">
        <v>0.3</v>
      </c>
      <c r="L40" s="301">
        <v>0.3</v>
      </c>
      <c r="M40" s="301"/>
      <c r="N40" s="418" t="s">
        <v>360</v>
      </c>
      <c r="O40" s="301">
        <v>0.3</v>
      </c>
      <c r="P40" s="301">
        <v>0.3</v>
      </c>
      <c r="Q40" s="301">
        <v>0.3</v>
      </c>
      <c r="R40" s="317"/>
    </row>
    <row r="41" spans="1:19" ht="31.5" customHeight="1" x14ac:dyDescent="0.25">
      <c r="A41" s="319"/>
      <c r="B41" s="297"/>
      <c r="I41" s="279" t="s">
        <v>337</v>
      </c>
      <c r="J41" s="317">
        <f>(J39/J38)*J40*G4</f>
        <v>0</v>
      </c>
      <c r="K41" s="317">
        <f>(J39/J38)*K40*D4</f>
        <v>0</v>
      </c>
      <c r="L41" s="317">
        <f>(J39/J38)*L40*E4</f>
        <v>0</v>
      </c>
      <c r="M41" s="317"/>
      <c r="N41" s="279" t="s">
        <v>337</v>
      </c>
      <c r="O41" s="317">
        <f>(O39/J38)*O40*G4</f>
        <v>0</v>
      </c>
      <c r="P41" s="317">
        <f>(O39/J38)*P40*D4</f>
        <v>0</v>
      </c>
      <c r="Q41" s="317">
        <f>(O39/J38)*Q40*E4</f>
        <v>0</v>
      </c>
      <c r="R41" s="301"/>
    </row>
    <row r="42" spans="1:19" x14ac:dyDescent="0.25">
      <c r="B42" s="530" t="s">
        <v>583</v>
      </c>
      <c r="C42" s="530" t="s">
        <v>584</v>
      </c>
      <c r="J42" s="301"/>
      <c r="K42" s="301"/>
      <c r="L42" s="301"/>
      <c r="M42" s="301"/>
      <c r="O42" s="301"/>
      <c r="P42" s="301"/>
      <c r="Q42" s="301"/>
      <c r="R42" s="301"/>
    </row>
    <row r="43" spans="1:19" x14ac:dyDescent="0.25">
      <c r="A43" s="271" t="s">
        <v>579</v>
      </c>
      <c r="B43" s="271">
        <f>+'MMW Output'!N18</f>
        <v>154.14681733346339</v>
      </c>
      <c r="C43" s="322">
        <v>115</v>
      </c>
      <c r="D43" s="279"/>
      <c r="E43" s="320"/>
      <c r="I43" s="273" t="s">
        <v>361</v>
      </c>
      <c r="J43" s="301"/>
      <c r="K43" s="301"/>
      <c r="L43" s="301"/>
      <c r="M43" s="301"/>
      <c r="N43" s="273" t="s">
        <v>361</v>
      </c>
      <c r="O43" s="301"/>
      <c r="P43" s="301"/>
      <c r="Q43" s="301"/>
      <c r="R43" s="301"/>
      <c r="S43" s="519" t="s">
        <v>564</v>
      </c>
    </row>
    <row r="44" spans="1:19" x14ac:dyDescent="0.25">
      <c r="A44" s="271" t="s">
        <v>580</v>
      </c>
      <c r="B44" s="512">
        <f>+'MMW Output'!O18</f>
        <v>9.5971988140185302E-2</v>
      </c>
      <c r="C44" s="531">
        <v>0.192</v>
      </c>
      <c r="D44" s="279"/>
      <c r="E44" s="320"/>
      <c r="I44" s="271" t="s">
        <v>334</v>
      </c>
      <c r="J44" s="301">
        <f>B5</f>
        <v>491.35802469135797</v>
      </c>
      <c r="K44" s="301"/>
      <c r="L44" s="301"/>
      <c r="M44" s="301"/>
      <c r="N44" s="418" t="s">
        <v>334</v>
      </c>
      <c r="O44" s="301">
        <f>B5-J45</f>
        <v>391.35802469135797</v>
      </c>
      <c r="P44" s="301"/>
      <c r="Q44" s="301"/>
      <c r="R44" s="301"/>
    </row>
    <row r="45" spans="1:19" x14ac:dyDescent="0.25">
      <c r="A45" s="271" t="s">
        <v>581</v>
      </c>
      <c r="B45" s="512">
        <f>+'MMW Output'!P18</f>
        <v>3.8368427146109371E-2</v>
      </c>
      <c r="C45" s="531">
        <v>0.17399999999999999</v>
      </c>
      <c r="D45" s="279"/>
      <c r="E45" s="320"/>
      <c r="I45" s="271" t="s">
        <v>362</v>
      </c>
      <c r="J45" s="525">
        <v>100</v>
      </c>
      <c r="K45" s="301"/>
      <c r="L45" s="301"/>
      <c r="M45" s="301"/>
      <c r="N45" s="418" t="s">
        <v>362</v>
      </c>
      <c r="O45" s="525">
        <v>100</v>
      </c>
      <c r="P45" s="301"/>
      <c r="Q45" s="301"/>
      <c r="R45" s="317"/>
    </row>
    <row r="46" spans="1:19" x14ac:dyDescent="0.25">
      <c r="B46" s="271"/>
      <c r="C46" s="279"/>
      <c r="D46" s="279"/>
      <c r="I46" s="279" t="s">
        <v>337</v>
      </c>
      <c r="J46" s="317">
        <f>(C32-C33)*J45</f>
        <v>128625.34806642005</v>
      </c>
      <c r="K46" s="317">
        <f>(D32-D33)*J45</f>
        <v>640.26970289279438</v>
      </c>
      <c r="L46" s="317">
        <f>(E32-E33)*J45</f>
        <v>169.81542330881766</v>
      </c>
      <c r="M46" s="317"/>
      <c r="N46" s="279" t="s">
        <v>337</v>
      </c>
      <c r="O46" s="317">
        <f>(C32-C33)*O45</f>
        <v>128625.34806642005</v>
      </c>
      <c r="P46" s="317">
        <f>(D32-D33)*O45</f>
        <v>640.26970289279438</v>
      </c>
      <c r="Q46" s="317">
        <f>(E32-E33)*O45</f>
        <v>169.81542330881766</v>
      </c>
      <c r="R46" s="301"/>
    </row>
    <row r="47" spans="1:19" x14ac:dyDescent="0.25">
      <c r="B47" s="271"/>
      <c r="J47" s="301"/>
      <c r="K47" s="301"/>
      <c r="L47" s="301"/>
      <c r="M47" s="301"/>
      <c r="O47" s="301"/>
      <c r="P47" s="301"/>
      <c r="Q47" s="301"/>
      <c r="R47" s="301"/>
    </row>
    <row r="48" spans="1:19" x14ac:dyDescent="0.25">
      <c r="A48" s="297"/>
      <c r="B48" s="297"/>
      <c r="I48" s="273" t="s">
        <v>363</v>
      </c>
      <c r="J48" s="301"/>
      <c r="K48" s="301"/>
      <c r="L48" s="301"/>
      <c r="M48" s="301"/>
      <c r="N48" s="273" t="s">
        <v>363</v>
      </c>
      <c r="O48" s="301"/>
      <c r="P48" s="301"/>
      <c r="Q48" s="301"/>
      <c r="R48" s="301"/>
    </row>
    <row r="49" spans="1:19" x14ac:dyDescent="0.25">
      <c r="A49" s="297"/>
      <c r="B49" s="297"/>
      <c r="I49" s="271" t="s">
        <v>364</v>
      </c>
      <c r="J49" s="301">
        <f>O26-O27</f>
        <v>5479.0028000000002</v>
      </c>
      <c r="K49" s="301"/>
      <c r="L49" s="301"/>
      <c r="M49" s="301"/>
      <c r="N49" s="418" t="s">
        <v>364</v>
      </c>
      <c r="O49" s="301">
        <f>J49-J50</f>
        <v>5479.0028000000002</v>
      </c>
      <c r="P49" s="301"/>
      <c r="Q49" s="301"/>
      <c r="R49" s="301"/>
    </row>
    <row r="50" spans="1:19" x14ac:dyDescent="0.25">
      <c r="A50" s="297"/>
      <c r="B50" s="297"/>
      <c r="I50" s="271" t="s">
        <v>345</v>
      </c>
      <c r="J50" s="525">
        <v>0</v>
      </c>
      <c r="K50" s="301"/>
      <c r="L50" s="301"/>
      <c r="M50" s="301"/>
      <c r="N50" s="418" t="s">
        <v>345</v>
      </c>
      <c r="O50" s="525">
        <v>0</v>
      </c>
      <c r="P50" s="301"/>
      <c r="Q50" s="301"/>
      <c r="R50" s="301"/>
    </row>
    <row r="51" spans="1:19" x14ac:dyDescent="0.25">
      <c r="B51" s="297"/>
      <c r="I51" s="271" t="s">
        <v>582</v>
      </c>
      <c r="J51" s="476">
        <f>B43</f>
        <v>154.14681733346339</v>
      </c>
      <c r="K51" s="301">
        <f>B44</f>
        <v>9.5971988140185302E-2</v>
      </c>
      <c r="L51" s="301">
        <f>B45</f>
        <v>3.8368427146109371E-2</v>
      </c>
      <c r="M51" s="301"/>
      <c r="N51" s="418" t="s">
        <v>582</v>
      </c>
      <c r="O51" s="476">
        <f>B43</f>
        <v>154.14681733346339</v>
      </c>
      <c r="P51" s="301">
        <f>B44</f>
        <v>9.5971988140185302E-2</v>
      </c>
      <c r="Q51" s="301">
        <f>B45</f>
        <v>3.8368427146109371E-2</v>
      </c>
      <c r="R51" s="317"/>
    </row>
    <row r="52" spans="1:19" x14ac:dyDescent="0.25">
      <c r="B52" s="271"/>
      <c r="C52" s="271"/>
      <c r="D52" s="271"/>
      <c r="E52" s="271"/>
      <c r="G52" s="271"/>
      <c r="I52" s="279" t="s">
        <v>337</v>
      </c>
      <c r="J52" s="317">
        <f>J50*J51</f>
        <v>0</v>
      </c>
      <c r="K52" s="317">
        <f>J50*K51</f>
        <v>0</v>
      </c>
      <c r="L52" s="317">
        <f>J50*L51</f>
        <v>0</v>
      </c>
      <c r="M52" s="317"/>
      <c r="N52" s="279" t="s">
        <v>337</v>
      </c>
      <c r="O52" s="317">
        <f>O50*O51</f>
        <v>0</v>
      </c>
      <c r="P52" s="317">
        <f>O50*P51</f>
        <v>0</v>
      </c>
      <c r="Q52" s="317">
        <f>O50*Q51</f>
        <v>0</v>
      </c>
      <c r="R52" s="317"/>
    </row>
    <row r="53" spans="1:19" x14ac:dyDescent="0.25">
      <c r="B53" s="271"/>
      <c r="C53" s="271"/>
      <c r="D53" s="271"/>
      <c r="E53" s="271"/>
      <c r="G53" s="271"/>
      <c r="I53" s="279"/>
      <c r="J53" s="317"/>
      <c r="K53" s="317"/>
      <c r="L53" s="317"/>
      <c r="M53" s="317"/>
      <c r="N53" s="279"/>
      <c r="O53" s="317"/>
      <c r="P53" s="317"/>
      <c r="Q53" s="317"/>
      <c r="R53" s="317"/>
    </row>
    <row r="54" spans="1:19" x14ac:dyDescent="0.25">
      <c r="B54" s="271"/>
      <c r="C54" s="271"/>
      <c r="D54" s="271"/>
      <c r="E54" s="271"/>
      <c r="G54" s="271"/>
      <c r="I54" s="321" t="s">
        <v>365</v>
      </c>
      <c r="J54" s="317"/>
      <c r="K54" s="317"/>
      <c r="L54" s="317"/>
      <c r="M54" s="317"/>
      <c r="N54" s="321" t="s">
        <v>365</v>
      </c>
      <c r="O54" s="317"/>
      <c r="P54" s="317"/>
      <c r="Q54" s="317"/>
      <c r="R54" s="323"/>
      <c r="S54" s="519" t="s">
        <v>565</v>
      </c>
    </row>
    <row r="55" spans="1:19" x14ac:dyDescent="0.25">
      <c r="B55" s="271"/>
      <c r="E55" s="271"/>
      <c r="G55" s="271"/>
      <c r="I55" s="322" t="s">
        <v>334</v>
      </c>
      <c r="J55" s="323">
        <f>B5</f>
        <v>491.35802469135797</v>
      </c>
      <c r="K55" s="323"/>
      <c r="L55" s="323"/>
      <c r="M55" s="323"/>
      <c r="N55" s="322" t="s">
        <v>334</v>
      </c>
      <c r="O55" s="323">
        <f>B5-J56</f>
        <v>491.35802469135797</v>
      </c>
      <c r="P55" s="323"/>
      <c r="Q55" s="323"/>
      <c r="R55" s="323"/>
    </row>
    <row r="56" spans="1:19" x14ac:dyDescent="0.25">
      <c r="B56" s="271"/>
      <c r="E56" s="271"/>
      <c r="G56" s="271"/>
      <c r="I56" s="322" t="s">
        <v>335</v>
      </c>
      <c r="J56" s="526">
        <v>0</v>
      </c>
      <c r="K56" s="323"/>
      <c r="L56" s="323"/>
      <c r="M56" s="323"/>
      <c r="N56" s="322" t="s">
        <v>335</v>
      </c>
      <c r="O56" s="526">
        <v>0</v>
      </c>
      <c r="P56" s="323"/>
      <c r="Q56" s="323"/>
      <c r="R56" s="323"/>
    </row>
    <row r="57" spans="1:19" x14ac:dyDescent="0.25">
      <c r="B57" s="271"/>
      <c r="E57" s="271"/>
      <c r="G57" s="271"/>
      <c r="I57" s="322" t="s">
        <v>336</v>
      </c>
      <c r="J57" s="323">
        <v>0.16</v>
      </c>
      <c r="K57" s="323">
        <v>0.05</v>
      </c>
      <c r="L57" s="323">
        <v>0.1</v>
      </c>
      <c r="M57" s="323"/>
      <c r="N57" s="322" t="s">
        <v>336</v>
      </c>
      <c r="O57" s="323">
        <v>0.16</v>
      </c>
      <c r="P57" s="323">
        <v>0.05</v>
      </c>
      <c r="Q57" s="323">
        <v>0.1</v>
      </c>
      <c r="R57" s="317"/>
    </row>
    <row r="58" spans="1:19" x14ac:dyDescent="0.25">
      <c r="B58" s="271"/>
      <c r="E58" s="271"/>
      <c r="G58" s="271"/>
      <c r="I58" s="279" t="s">
        <v>337</v>
      </c>
      <c r="J58" s="317">
        <f>(J56/J55)*J57*G5</f>
        <v>0</v>
      </c>
      <c r="K58" s="317">
        <f>(J56/J55)*K57*D5</f>
        <v>0</v>
      </c>
      <c r="L58" s="317">
        <f>(J56/J55)*L57*E5</f>
        <v>0</v>
      </c>
      <c r="M58" s="317"/>
      <c r="N58" s="279" t="s">
        <v>337</v>
      </c>
      <c r="O58" s="317">
        <f>(O56/J55)*O57*G5</f>
        <v>0</v>
      </c>
      <c r="P58" s="317">
        <f>(O56/J55)*P57*D5</f>
        <v>0</v>
      </c>
      <c r="Q58" s="317">
        <f>(O56/J55)*Q57*E5</f>
        <v>0</v>
      </c>
      <c r="R58" s="317"/>
    </row>
    <row r="59" spans="1:19" x14ac:dyDescent="0.25">
      <c r="B59" s="271"/>
      <c r="C59" s="271"/>
      <c r="D59" s="271"/>
      <c r="E59" s="271"/>
      <c r="G59" s="271"/>
      <c r="I59" s="279"/>
      <c r="J59" s="317"/>
      <c r="K59" s="317"/>
      <c r="L59" s="317"/>
      <c r="M59" s="317"/>
      <c r="N59" s="279"/>
      <c r="O59" s="317"/>
      <c r="P59" s="317"/>
      <c r="Q59" s="317"/>
      <c r="R59" s="317"/>
    </row>
    <row r="60" spans="1:19" x14ac:dyDescent="0.25">
      <c r="B60" s="271"/>
      <c r="C60" s="271"/>
      <c r="D60" s="271"/>
      <c r="E60" s="271"/>
      <c r="G60" s="271"/>
      <c r="I60" s="321" t="s">
        <v>366</v>
      </c>
      <c r="J60" s="317"/>
      <c r="K60" s="317"/>
      <c r="L60" s="317"/>
      <c r="M60" s="317"/>
      <c r="N60" s="321" t="s">
        <v>366</v>
      </c>
      <c r="O60" s="317"/>
      <c r="P60" s="317"/>
      <c r="Q60" s="317"/>
      <c r="R60" s="323"/>
    </row>
    <row r="61" spans="1:19" x14ac:dyDescent="0.25">
      <c r="A61" s="324"/>
      <c r="B61" s="271"/>
      <c r="C61" s="271"/>
      <c r="D61" s="271"/>
      <c r="E61" s="271"/>
      <c r="G61" s="271"/>
      <c r="I61" s="322" t="s">
        <v>364</v>
      </c>
      <c r="J61" s="323">
        <f>+'MMW Output'!M19</f>
        <v>5479.0028000000002</v>
      </c>
      <c r="K61" s="323"/>
      <c r="L61" s="323"/>
      <c r="M61" s="323"/>
      <c r="N61" s="322" t="s">
        <v>364</v>
      </c>
      <c r="O61" s="323">
        <f>J61-J62</f>
        <v>5479.0028000000002</v>
      </c>
      <c r="P61" s="323"/>
      <c r="Q61" s="323"/>
      <c r="R61" s="323"/>
    </row>
    <row r="62" spans="1:19" x14ac:dyDescent="0.25">
      <c r="B62" s="271"/>
      <c r="C62" s="271"/>
      <c r="D62" s="271"/>
      <c r="E62" s="271"/>
      <c r="G62" s="271"/>
      <c r="I62" s="322" t="s">
        <v>367</v>
      </c>
      <c r="J62" s="526">
        <v>0</v>
      </c>
      <c r="K62" s="323"/>
      <c r="L62" s="323"/>
      <c r="M62" s="323"/>
      <c r="N62" s="322" t="s">
        <v>367</v>
      </c>
      <c r="O62" s="526">
        <v>0</v>
      </c>
      <c r="P62" s="323"/>
      <c r="Q62" s="323"/>
      <c r="R62" s="325"/>
    </row>
    <row r="63" spans="1:19" x14ac:dyDescent="0.25">
      <c r="B63" s="271"/>
      <c r="C63" s="271"/>
      <c r="D63" s="271"/>
      <c r="E63" s="271"/>
      <c r="G63" s="271"/>
      <c r="I63" s="322" t="s">
        <v>368</v>
      </c>
      <c r="J63" s="323">
        <v>2.5499999999999998</v>
      </c>
      <c r="K63" s="323">
        <v>0.02</v>
      </c>
      <c r="L63" s="325">
        <v>3.5000000000000001E-3</v>
      </c>
      <c r="M63" s="325"/>
      <c r="N63" s="322" t="s">
        <v>368</v>
      </c>
      <c r="O63" s="323">
        <v>2.5499999999999998</v>
      </c>
      <c r="P63" s="323">
        <v>0.02</v>
      </c>
      <c r="Q63" s="325">
        <v>3.5000000000000001E-3</v>
      </c>
      <c r="R63" s="317"/>
    </row>
    <row r="64" spans="1:19" x14ac:dyDescent="0.25">
      <c r="B64" s="271"/>
      <c r="C64" s="271"/>
      <c r="D64" s="271"/>
      <c r="E64" s="271"/>
      <c r="G64" s="271"/>
      <c r="I64" s="279" t="s">
        <v>337</v>
      </c>
      <c r="J64" s="317">
        <f>J62*J63</f>
        <v>0</v>
      </c>
      <c r="K64" s="317">
        <f>J62*K63</f>
        <v>0</v>
      </c>
      <c r="L64" s="317">
        <f>J62*L63</f>
        <v>0</v>
      </c>
      <c r="M64" s="317"/>
      <c r="N64" s="279" t="s">
        <v>337</v>
      </c>
      <c r="O64" s="317">
        <f>O62*O63</f>
        <v>0</v>
      </c>
      <c r="P64" s="317">
        <f>O62*P63</f>
        <v>0</v>
      </c>
      <c r="Q64" s="317">
        <f>O62*Q63</f>
        <v>0</v>
      </c>
      <c r="R64" s="317"/>
    </row>
    <row r="65" spans="2:18" x14ac:dyDescent="0.25">
      <c r="B65" s="271"/>
      <c r="C65" s="271"/>
      <c r="D65" s="271"/>
      <c r="E65" s="271"/>
      <c r="G65" s="271"/>
      <c r="I65" s="279"/>
      <c r="J65" s="317"/>
      <c r="K65" s="317"/>
      <c r="L65" s="317"/>
      <c r="M65" s="317"/>
      <c r="N65" s="279"/>
      <c r="O65" s="317"/>
      <c r="P65" s="317"/>
      <c r="Q65" s="317"/>
      <c r="R65" s="301"/>
    </row>
    <row r="66" spans="2:18" x14ac:dyDescent="0.25">
      <c r="B66" s="271"/>
      <c r="C66" s="271"/>
      <c r="D66" s="271"/>
      <c r="E66" s="271"/>
      <c r="G66" s="271"/>
      <c r="I66" s="273" t="s">
        <v>369</v>
      </c>
      <c r="J66" s="301"/>
      <c r="K66" s="301"/>
      <c r="L66" s="301"/>
      <c r="M66" s="301"/>
      <c r="N66" s="273" t="s">
        <v>369</v>
      </c>
      <c r="O66" s="301"/>
      <c r="P66" s="301"/>
      <c r="Q66" s="301"/>
      <c r="R66" s="301"/>
    </row>
    <row r="67" spans="2:18" x14ac:dyDescent="0.25">
      <c r="B67" s="271"/>
      <c r="C67" s="271"/>
      <c r="D67" s="271"/>
      <c r="E67" s="271"/>
      <c r="G67" s="271"/>
      <c r="I67" s="300" t="s">
        <v>370</v>
      </c>
      <c r="J67" s="301"/>
      <c r="K67" s="301"/>
      <c r="L67" s="301"/>
      <c r="M67" s="301"/>
      <c r="N67" s="300" t="s">
        <v>370</v>
      </c>
      <c r="O67" s="301"/>
      <c r="P67" s="301"/>
      <c r="Q67" s="301"/>
      <c r="R67" s="301"/>
    </row>
    <row r="68" spans="2:18" x14ac:dyDescent="0.25">
      <c r="B68" s="271"/>
      <c r="C68" s="271"/>
      <c r="D68" s="271"/>
      <c r="E68" s="271"/>
      <c r="G68" s="271"/>
      <c r="I68" s="326" t="s">
        <v>334</v>
      </c>
      <c r="J68" s="301">
        <f>B5</f>
        <v>491.35802469135797</v>
      </c>
      <c r="K68" s="301"/>
      <c r="L68" s="301"/>
      <c r="M68" s="301"/>
      <c r="N68" s="326" t="s">
        <v>334</v>
      </c>
      <c r="O68" s="301">
        <f>B5-J69</f>
        <v>491.35802469135797</v>
      </c>
      <c r="P68" s="301"/>
      <c r="Q68" s="301"/>
      <c r="R68" s="301"/>
    </row>
    <row r="69" spans="2:18" x14ac:dyDescent="0.25">
      <c r="B69" s="271"/>
      <c r="C69" s="271"/>
      <c r="D69" s="271"/>
      <c r="E69" s="271"/>
      <c r="G69" s="271"/>
      <c r="I69" s="326" t="s">
        <v>556</v>
      </c>
      <c r="J69" s="525">
        <v>0</v>
      </c>
      <c r="K69" s="301"/>
      <c r="L69" s="301"/>
      <c r="M69" s="301"/>
      <c r="N69" s="326" t="s">
        <v>556</v>
      </c>
      <c r="O69" s="525">
        <v>0</v>
      </c>
      <c r="P69" s="301"/>
      <c r="Q69" s="301"/>
      <c r="R69" s="301"/>
    </row>
    <row r="70" spans="2:18" x14ac:dyDescent="0.25">
      <c r="B70" s="271"/>
      <c r="C70" s="271"/>
      <c r="D70" s="271"/>
      <c r="E70" s="271"/>
      <c r="G70" s="271"/>
      <c r="I70" s="326" t="s">
        <v>336</v>
      </c>
      <c r="J70" s="301"/>
      <c r="K70" s="301">
        <v>0.28999999999999998</v>
      </c>
      <c r="L70" s="301">
        <v>0.44</v>
      </c>
      <c r="M70" s="301"/>
      <c r="N70" s="326" t="s">
        <v>336</v>
      </c>
      <c r="O70" s="301"/>
      <c r="P70" s="301">
        <v>0.28999999999999998</v>
      </c>
      <c r="Q70" s="301">
        <v>0.44</v>
      </c>
      <c r="R70" s="301"/>
    </row>
    <row r="71" spans="2:18" x14ac:dyDescent="0.25">
      <c r="B71" s="271"/>
      <c r="C71" s="271"/>
      <c r="D71" s="271"/>
      <c r="E71" s="271"/>
      <c r="G71" s="271"/>
      <c r="I71" s="271" t="s">
        <v>337</v>
      </c>
      <c r="J71" s="301"/>
      <c r="K71" s="301">
        <f>(J69/J68)*D5*K70</f>
        <v>0</v>
      </c>
      <c r="L71" s="301">
        <f>(J69/J68)*E5*L70</f>
        <v>0</v>
      </c>
      <c r="M71" s="301"/>
      <c r="N71" s="418" t="s">
        <v>337</v>
      </c>
      <c r="O71" s="301"/>
      <c r="P71" s="301">
        <f>(O69/J68)*D5*P70</f>
        <v>0</v>
      </c>
      <c r="Q71" s="301">
        <f>(O69/J68)*E5*Q70</f>
        <v>0</v>
      </c>
      <c r="R71" s="301"/>
    </row>
    <row r="72" spans="2:18" x14ac:dyDescent="0.25">
      <c r="B72" s="271"/>
      <c r="C72" s="271"/>
      <c r="D72" s="271"/>
      <c r="E72" s="271"/>
      <c r="G72" s="271"/>
      <c r="I72" s="327"/>
      <c r="J72" s="301"/>
      <c r="K72" s="301"/>
      <c r="L72" s="301"/>
      <c r="M72" s="301"/>
      <c r="N72" s="327"/>
      <c r="O72" s="301"/>
      <c r="P72" s="301"/>
      <c r="Q72" s="301"/>
      <c r="R72" s="301"/>
    </row>
    <row r="73" spans="2:18" x14ac:dyDescent="0.25">
      <c r="B73" s="271"/>
      <c r="C73" s="271"/>
      <c r="D73" s="271"/>
      <c r="E73" s="271"/>
      <c r="G73" s="271"/>
      <c r="I73" s="300" t="s">
        <v>371</v>
      </c>
      <c r="J73" s="301"/>
      <c r="K73" s="301"/>
      <c r="L73" s="301"/>
      <c r="M73" s="301"/>
      <c r="N73" s="300" t="s">
        <v>371</v>
      </c>
      <c r="O73" s="301"/>
      <c r="P73" s="301"/>
      <c r="Q73" s="301"/>
      <c r="R73" s="301"/>
    </row>
    <row r="74" spans="2:18" x14ac:dyDescent="0.25">
      <c r="B74" s="271"/>
      <c r="C74" s="271"/>
      <c r="D74" s="271"/>
      <c r="E74" s="271"/>
      <c r="G74" s="271"/>
      <c r="I74" s="326" t="s">
        <v>336</v>
      </c>
      <c r="J74" s="301"/>
      <c r="K74" s="301">
        <v>0.15</v>
      </c>
      <c r="L74" s="301">
        <v>0.1</v>
      </c>
      <c r="M74" s="301"/>
      <c r="N74" s="326" t="s">
        <v>336</v>
      </c>
      <c r="O74" s="301"/>
      <c r="P74" s="301">
        <v>0.15</v>
      </c>
      <c r="Q74" s="301">
        <v>0.1</v>
      </c>
      <c r="R74" s="301"/>
    </row>
    <row r="75" spans="2:18" x14ac:dyDescent="0.25">
      <c r="B75" s="271"/>
      <c r="C75" s="271"/>
      <c r="D75" s="271"/>
      <c r="E75" s="271"/>
      <c r="G75" s="271"/>
      <c r="I75" s="326" t="s">
        <v>337</v>
      </c>
      <c r="J75" s="301"/>
      <c r="K75" s="301">
        <f>(J69/J68)*D23*K74</f>
        <v>0</v>
      </c>
      <c r="L75" s="301">
        <f>(J69/J68)*E23*L74</f>
        <v>0</v>
      </c>
      <c r="M75" s="301"/>
      <c r="N75" s="326" t="s">
        <v>337</v>
      </c>
      <c r="O75" s="301"/>
      <c r="P75" s="301">
        <f>(O69/J68)*D23*P74</f>
        <v>0</v>
      </c>
      <c r="Q75" s="301">
        <f>(O69/J68)*E23*Q74</f>
        <v>0</v>
      </c>
      <c r="R75" s="301"/>
    </row>
    <row r="76" spans="2:18" x14ac:dyDescent="0.25">
      <c r="B76" s="271"/>
      <c r="C76" s="271"/>
      <c r="D76" s="271"/>
      <c r="E76" s="271"/>
      <c r="G76" s="271"/>
      <c r="I76" s="327"/>
      <c r="J76" s="301"/>
      <c r="K76" s="301"/>
      <c r="L76" s="301"/>
      <c r="M76" s="301"/>
      <c r="N76" s="327"/>
      <c r="O76" s="301"/>
      <c r="P76" s="301"/>
      <c r="Q76" s="301"/>
      <c r="R76" s="317"/>
    </row>
    <row r="77" spans="2:18" x14ac:dyDescent="0.25">
      <c r="B77" s="271"/>
      <c r="C77" s="271"/>
      <c r="D77" s="271"/>
      <c r="E77" s="271"/>
      <c r="G77" s="271"/>
      <c r="I77" s="279" t="s">
        <v>372</v>
      </c>
      <c r="J77" s="317">
        <v>0</v>
      </c>
      <c r="K77" s="317">
        <f>K71+K75</f>
        <v>0</v>
      </c>
      <c r="L77" s="317">
        <f>L71+L75</f>
        <v>0</v>
      </c>
      <c r="M77" s="317"/>
      <c r="N77" s="279" t="s">
        <v>372</v>
      </c>
      <c r="O77" s="317">
        <v>0</v>
      </c>
      <c r="P77" s="317">
        <f>P71+P75</f>
        <v>0</v>
      </c>
      <c r="Q77" s="317">
        <f>Q71+Q75</f>
        <v>0</v>
      </c>
      <c r="R77" s="301"/>
    </row>
    <row r="78" spans="2:18" x14ac:dyDescent="0.25">
      <c r="B78" s="271"/>
      <c r="C78" s="271"/>
      <c r="D78" s="271"/>
      <c r="E78" s="271"/>
      <c r="G78" s="271"/>
      <c r="J78" s="301"/>
      <c r="K78" s="301"/>
      <c r="L78" s="301"/>
      <c r="M78" s="301"/>
      <c r="O78" s="301"/>
      <c r="P78" s="301"/>
      <c r="Q78" s="301"/>
      <c r="R78" s="301"/>
    </row>
    <row r="79" spans="2:18" x14ac:dyDescent="0.25">
      <c r="B79" s="271"/>
      <c r="C79" s="271"/>
      <c r="D79" s="271"/>
      <c r="E79" s="271"/>
      <c r="G79" s="271"/>
      <c r="I79" s="273" t="s">
        <v>373</v>
      </c>
      <c r="J79" s="301"/>
      <c r="K79" s="301"/>
      <c r="L79" s="301"/>
      <c r="M79" s="301"/>
      <c r="N79" s="273" t="s">
        <v>373</v>
      </c>
      <c r="O79" s="301"/>
      <c r="P79" s="301"/>
      <c r="Q79" s="301"/>
      <c r="R79" s="301"/>
    </row>
    <row r="80" spans="2:18" x14ac:dyDescent="0.25">
      <c r="B80" s="271"/>
      <c r="C80" s="271"/>
      <c r="D80" s="271"/>
      <c r="E80" s="271"/>
      <c r="G80" s="271"/>
      <c r="I80" s="271" t="s">
        <v>552</v>
      </c>
      <c r="J80" s="301"/>
      <c r="K80" s="301">
        <f>D20</f>
        <v>4895.7615000000005</v>
      </c>
      <c r="L80" s="301">
        <f>E20</f>
        <v>1294.1144999999999</v>
      </c>
      <c r="M80" s="301"/>
      <c r="N80" s="418" t="s">
        <v>552</v>
      </c>
      <c r="O80" s="301"/>
      <c r="P80" s="301">
        <f>D20-K86</f>
        <v>1228.4100611171984</v>
      </c>
      <c r="Q80" s="301">
        <f>E20-L86</f>
        <v>325.08107700117262</v>
      </c>
      <c r="R80" s="301"/>
    </row>
    <row r="81" spans="2:19" s="507" customFormat="1" x14ac:dyDescent="0.25">
      <c r="I81" s="507" t="s">
        <v>528</v>
      </c>
      <c r="J81" s="301"/>
      <c r="K81" s="515">
        <f>+'MMW Output'!R39</f>
        <v>1.6265807306892158E-3</v>
      </c>
      <c r="L81" s="515">
        <f>+'MMW Output'!S39</f>
        <v>2.1387525212162731E-3</v>
      </c>
      <c r="M81" s="301"/>
      <c r="N81" s="507" t="s">
        <v>528</v>
      </c>
      <c r="O81" s="301"/>
      <c r="P81" s="515">
        <f>+'MMW Output'!R39</f>
        <v>1.6265807306892158E-3</v>
      </c>
      <c r="Q81" s="515">
        <f>+'MMW Output'!S39</f>
        <v>2.1387525212162731E-3</v>
      </c>
      <c r="R81" s="301"/>
    </row>
    <row r="82" spans="2:19" s="507" customFormat="1" x14ac:dyDescent="0.25">
      <c r="I82" s="507" t="s">
        <v>527</v>
      </c>
      <c r="J82" s="301"/>
      <c r="K82" s="515">
        <f>+'MMW Output'!R40</f>
        <v>0.99837606073762275</v>
      </c>
      <c r="L82" s="515">
        <f>+'MMW Output'!S40</f>
        <v>0.99786581197879487</v>
      </c>
      <c r="M82" s="301"/>
      <c r="N82" s="507" t="s">
        <v>527</v>
      </c>
      <c r="O82" s="301"/>
      <c r="P82" s="515">
        <f>+'MMW Output'!R40</f>
        <v>0.99837606073762275</v>
      </c>
      <c r="Q82" s="515">
        <f>+'MMW Output'!S40</f>
        <v>0.99786581197879487</v>
      </c>
      <c r="R82" s="301"/>
    </row>
    <row r="83" spans="2:19" x14ac:dyDescent="0.25">
      <c r="B83" s="271"/>
      <c r="C83" s="271"/>
      <c r="D83" s="271"/>
      <c r="E83" s="271"/>
      <c r="G83" s="271"/>
      <c r="I83" s="271" t="s">
        <v>553</v>
      </c>
      <c r="J83" s="525">
        <v>25</v>
      </c>
      <c r="K83" s="301"/>
      <c r="L83" s="301"/>
      <c r="M83" s="301"/>
      <c r="N83" s="418" t="s">
        <v>553</v>
      </c>
      <c r="O83" s="525">
        <v>0</v>
      </c>
      <c r="P83" s="301"/>
      <c r="Q83" s="301"/>
      <c r="R83" s="301"/>
    </row>
    <row r="84" spans="2:19" s="507" customFormat="1" x14ac:dyDescent="0.25">
      <c r="I84" s="507" t="s">
        <v>554</v>
      </c>
      <c r="J84" s="525">
        <v>100</v>
      </c>
      <c r="K84" s="301"/>
      <c r="L84" s="301"/>
      <c r="M84" s="301"/>
      <c r="N84" s="507" t="s">
        <v>554</v>
      </c>
      <c r="O84" s="525">
        <v>0</v>
      </c>
      <c r="P84" s="301"/>
      <c r="Q84" s="301"/>
      <c r="R84" s="301"/>
    </row>
    <row r="85" spans="2:19" x14ac:dyDescent="0.25">
      <c r="B85" s="271"/>
      <c r="C85" s="271"/>
      <c r="D85" s="271"/>
      <c r="E85" s="271"/>
      <c r="G85" s="271"/>
      <c r="I85" s="271" t="s">
        <v>336</v>
      </c>
      <c r="J85" s="301"/>
      <c r="K85" s="301">
        <v>0.75</v>
      </c>
      <c r="L85" s="301">
        <v>0.75</v>
      </c>
      <c r="M85" s="301"/>
      <c r="N85" s="418" t="s">
        <v>336</v>
      </c>
      <c r="O85" s="301"/>
      <c r="P85" s="301">
        <v>0.75</v>
      </c>
      <c r="Q85" s="301">
        <v>0.75</v>
      </c>
      <c r="R85" s="317"/>
    </row>
    <row r="86" spans="2:19" x14ac:dyDescent="0.25">
      <c r="B86" s="271"/>
      <c r="C86" s="271"/>
      <c r="D86" s="271"/>
      <c r="E86" s="271"/>
      <c r="G86" s="271"/>
      <c r="I86" s="279" t="s">
        <v>337</v>
      </c>
      <c r="J86" s="301"/>
      <c r="K86" s="317">
        <f>(K80*(J83/100)*K81*K85)+(K80*(J84/100)*K82*K85)</f>
        <v>3667.3514388828021</v>
      </c>
      <c r="L86" s="317">
        <f>(L80*(J83/100)*L81*L85)+(L80*(J84/100)*L82*L85)</f>
        <v>969.03342299882729</v>
      </c>
      <c r="M86" s="317"/>
      <c r="N86" s="279" t="s">
        <v>337</v>
      </c>
      <c r="O86" s="301"/>
      <c r="P86" s="317">
        <f>P80*(O83/100)*P85</f>
        <v>0</v>
      </c>
      <c r="Q86" s="317">
        <f>Q80*(O83/100)*Q85</f>
        <v>0</v>
      </c>
      <c r="R86" s="301"/>
    </row>
    <row r="87" spans="2:19" x14ac:dyDescent="0.25">
      <c r="B87" s="271"/>
      <c r="C87" s="271"/>
      <c r="D87" s="271"/>
      <c r="E87" s="271"/>
      <c r="G87" s="271"/>
      <c r="J87" s="301"/>
      <c r="K87" s="301"/>
      <c r="L87" s="301"/>
      <c r="M87" s="301"/>
      <c r="O87" s="301"/>
      <c r="P87" s="301"/>
      <c r="Q87" s="301"/>
      <c r="R87" s="301"/>
    </row>
    <row r="88" spans="2:19" x14ac:dyDescent="0.25">
      <c r="B88" s="271"/>
      <c r="C88" s="271"/>
      <c r="D88" s="271"/>
      <c r="E88" s="271"/>
      <c r="G88" s="271"/>
      <c r="I88" s="516" t="s">
        <v>555</v>
      </c>
      <c r="J88" s="301"/>
      <c r="K88" s="301"/>
      <c r="L88" s="301"/>
      <c r="M88" s="301"/>
      <c r="N88" s="516" t="s">
        <v>555</v>
      </c>
      <c r="O88" s="301"/>
      <c r="P88" s="301"/>
      <c r="Q88" s="301"/>
      <c r="R88" s="301"/>
      <c r="S88" s="519" t="s">
        <v>566</v>
      </c>
    </row>
    <row r="89" spans="2:19" s="512" customFormat="1" x14ac:dyDescent="0.25">
      <c r="I89" s="512" t="s">
        <v>334</v>
      </c>
      <c r="J89" s="301">
        <f>B5</f>
        <v>491.35802469135797</v>
      </c>
      <c r="K89" s="301"/>
      <c r="L89" s="301"/>
      <c r="M89" s="301"/>
      <c r="N89" s="512" t="s">
        <v>334</v>
      </c>
      <c r="O89" s="301">
        <f>B5-J90</f>
        <v>391.35802469135797</v>
      </c>
      <c r="P89" s="301"/>
      <c r="Q89" s="301"/>
      <c r="R89" s="301"/>
    </row>
    <row r="90" spans="2:19" s="512" customFormat="1" x14ac:dyDescent="0.25">
      <c r="I90" s="512" t="s">
        <v>556</v>
      </c>
      <c r="J90" s="525">
        <v>100</v>
      </c>
      <c r="K90" s="301"/>
      <c r="L90" s="301"/>
      <c r="M90" s="301"/>
      <c r="N90" s="512" t="s">
        <v>556</v>
      </c>
      <c r="O90" s="525">
        <v>100</v>
      </c>
      <c r="P90" s="301"/>
      <c r="Q90" s="301"/>
      <c r="R90" s="301"/>
    </row>
    <row r="91" spans="2:19" s="512" customFormat="1" x14ac:dyDescent="0.25">
      <c r="I91" s="512" t="s">
        <v>336</v>
      </c>
      <c r="J91" s="301">
        <v>0.17</v>
      </c>
      <c r="K91" s="301">
        <v>7.0000000000000007E-2</v>
      </c>
      <c r="L91" s="301">
        <v>0.1</v>
      </c>
      <c r="M91" s="301"/>
      <c r="N91" s="512" t="s">
        <v>336</v>
      </c>
      <c r="O91" s="301">
        <v>0.17</v>
      </c>
      <c r="P91" s="301">
        <v>7.0000000000000007E-2</v>
      </c>
      <c r="Q91" s="301">
        <v>0.1</v>
      </c>
      <c r="R91" s="301"/>
    </row>
    <row r="92" spans="2:19" s="512" customFormat="1" x14ac:dyDescent="0.25">
      <c r="I92" s="279" t="s">
        <v>337</v>
      </c>
      <c r="J92" s="429">
        <f>(J90/J89)*G5*J91</f>
        <v>21894.063713027641</v>
      </c>
      <c r="K92" s="429">
        <f>(J90/J89)*D5*K91</f>
        <v>45.636718793969862</v>
      </c>
      <c r="L92" s="429">
        <f>(J90/J89)*E5*L91</f>
        <v>17.05722625628141</v>
      </c>
      <c r="M92" s="301"/>
      <c r="N92" s="279" t="s">
        <v>337</v>
      </c>
      <c r="O92" s="429">
        <f>(O90/J89)*G5*O91</f>
        <v>21894.063713027641</v>
      </c>
      <c r="P92" s="429">
        <f>(O90/J89)*D5*P91</f>
        <v>45.636718793969862</v>
      </c>
      <c r="Q92" s="429">
        <f>(O90/J89)*E5*Q91</f>
        <v>17.05722625628141</v>
      </c>
      <c r="R92" s="301"/>
    </row>
    <row r="93" spans="2:19" s="512" customFormat="1" x14ac:dyDescent="0.25">
      <c r="J93" s="301"/>
      <c r="K93" s="301"/>
      <c r="L93" s="301"/>
      <c r="M93" s="301"/>
      <c r="O93" s="301"/>
      <c r="P93" s="301"/>
      <c r="Q93" s="301"/>
      <c r="R93" s="301"/>
    </row>
    <row r="94" spans="2:19" s="512" customFormat="1" x14ac:dyDescent="0.25">
      <c r="I94" s="516" t="s">
        <v>571</v>
      </c>
      <c r="J94" s="301"/>
      <c r="K94" s="301"/>
      <c r="L94" s="301"/>
      <c r="M94" s="301"/>
      <c r="N94" s="516" t="s">
        <v>571</v>
      </c>
      <c r="O94" s="301"/>
      <c r="P94" s="301"/>
      <c r="Q94" s="301"/>
      <c r="R94" s="301"/>
    </row>
    <row r="95" spans="2:19" s="512" customFormat="1" x14ac:dyDescent="0.25">
      <c r="I95" s="512" t="s">
        <v>614</v>
      </c>
      <c r="J95" s="525">
        <v>1500</v>
      </c>
      <c r="K95" s="301"/>
      <c r="L95" s="301"/>
      <c r="M95" s="301"/>
      <c r="N95" s="512" t="s">
        <v>572</v>
      </c>
      <c r="O95" s="301">
        <f>J95-J96</f>
        <v>800</v>
      </c>
      <c r="P95" s="301"/>
      <c r="Q95" s="301"/>
      <c r="R95" s="301"/>
    </row>
    <row r="96" spans="2:19" s="512" customFormat="1" x14ac:dyDescent="0.25">
      <c r="I96" s="512" t="s">
        <v>573</v>
      </c>
      <c r="J96" s="525">
        <v>700</v>
      </c>
      <c r="K96" s="301"/>
      <c r="L96" s="301"/>
      <c r="M96" s="301"/>
      <c r="N96" s="512" t="s">
        <v>573</v>
      </c>
      <c r="O96" s="525">
        <v>200</v>
      </c>
      <c r="P96" s="301"/>
      <c r="Q96" s="301"/>
      <c r="R96" s="301"/>
    </row>
    <row r="97" spans="2:18" s="512" customFormat="1" x14ac:dyDescent="0.25">
      <c r="I97" s="512" t="s">
        <v>336</v>
      </c>
      <c r="J97" s="301">
        <v>2.5499999999999998</v>
      </c>
      <c r="K97" s="301">
        <v>0.02</v>
      </c>
      <c r="L97" s="522">
        <v>3.5000000000000001E-3</v>
      </c>
      <c r="M97" s="301"/>
      <c r="N97" s="512" t="s">
        <v>336</v>
      </c>
      <c r="O97" s="301">
        <v>2.5499999999999998</v>
      </c>
      <c r="P97" s="301">
        <v>0.02</v>
      </c>
      <c r="Q97" s="522">
        <v>3.5000000000000001E-3</v>
      </c>
      <c r="R97" s="301"/>
    </row>
    <row r="98" spans="2:18" s="512" customFormat="1" x14ac:dyDescent="0.25">
      <c r="I98" s="279" t="s">
        <v>337</v>
      </c>
      <c r="J98" s="301">
        <f>J96*J97</f>
        <v>1784.9999999999998</v>
      </c>
      <c r="K98" s="301">
        <f>J96*K97</f>
        <v>14</v>
      </c>
      <c r="L98" s="301">
        <f>J96*L97</f>
        <v>2.4500000000000002</v>
      </c>
      <c r="M98" s="301"/>
      <c r="N98" s="279" t="s">
        <v>337</v>
      </c>
      <c r="O98" s="301">
        <f>O96*O97</f>
        <v>509.99999999999994</v>
      </c>
      <c r="P98" s="301">
        <f>O96*P97</f>
        <v>4</v>
      </c>
      <c r="Q98" s="301">
        <f>O96*Q97</f>
        <v>0.70000000000000007</v>
      </c>
      <c r="R98" s="301"/>
    </row>
    <row r="99" spans="2:18" s="512" customFormat="1" x14ac:dyDescent="0.25">
      <c r="J99" s="301"/>
      <c r="K99" s="301"/>
      <c r="L99" s="301"/>
      <c r="M99" s="301"/>
      <c r="O99" s="301"/>
      <c r="P99" s="301"/>
      <c r="Q99" s="301"/>
      <c r="R99" s="301"/>
    </row>
    <row r="100" spans="2:18" x14ac:dyDescent="0.25">
      <c r="B100" s="271"/>
      <c r="C100" s="271"/>
      <c r="D100" s="271"/>
      <c r="E100" s="271"/>
      <c r="G100" s="271"/>
      <c r="J100" s="301"/>
      <c r="K100" s="301"/>
      <c r="L100" s="301"/>
      <c r="M100" s="301"/>
      <c r="O100" s="301"/>
      <c r="P100" s="301"/>
      <c r="Q100" s="301"/>
      <c r="R100" s="328"/>
    </row>
    <row r="101" spans="2:18" x14ac:dyDescent="0.25">
      <c r="B101" s="271"/>
      <c r="C101" s="271"/>
      <c r="D101" s="271"/>
      <c r="E101" s="271"/>
      <c r="G101" s="271"/>
      <c r="I101" s="324" t="s">
        <v>374</v>
      </c>
      <c r="J101" s="328">
        <f>J6+J13+J21+J35+J41+J46+J52+J58+J64+J77+J86+J92+J98</f>
        <v>570867.39452850551</v>
      </c>
      <c r="K101" s="328">
        <f>K6+K13+K21+K35+K41+K46+K52+K58+K64+K77+K86</f>
        <v>5513.7344241876572</v>
      </c>
      <c r="L101" s="328">
        <f>L6+L13+L21+L35+L41+L46+L52+L58+L64+L77+L86</f>
        <v>1752.9089915337759</v>
      </c>
      <c r="M101" s="328"/>
      <c r="N101" s="324" t="s">
        <v>374</v>
      </c>
      <c r="O101" s="328">
        <f>O6+O13+O21+O35+O41+O46+O52+O58+O64</f>
        <v>411960.29023501306</v>
      </c>
      <c r="P101" s="328">
        <f>P6+P13+P21+P35+P41+P46+P52+P58+P64+P77+P86</f>
        <v>1279.1837660083725</v>
      </c>
      <c r="Q101" s="328">
        <f>Q6+Q13+Q21+Q35+Q41+Q46+Q52+Q58+Q64+Q77+Q86</f>
        <v>528.0171746907273</v>
      </c>
      <c r="R101" s="329"/>
    </row>
    <row r="102" spans="2:18" x14ac:dyDescent="0.25">
      <c r="B102" s="271"/>
      <c r="C102" s="271"/>
      <c r="D102" s="271"/>
      <c r="E102" s="271"/>
      <c r="G102" s="271"/>
      <c r="I102" s="329" t="s">
        <v>375</v>
      </c>
      <c r="J102" s="329">
        <f>J101/G26*100</f>
        <v>1.0433741453825085</v>
      </c>
      <c r="K102" s="329">
        <f>K101/D26*100</f>
        <v>1.7391762806955451</v>
      </c>
      <c r="L102" s="329">
        <f>L101/E26*100</f>
        <v>2.0081036073659848</v>
      </c>
      <c r="M102" s="329"/>
      <c r="N102" s="329" t="s">
        <v>375</v>
      </c>
      <c r="O102" s="329">
        <f>O101/G26*100</f>
        <v>0.75293968419845347</v>
      </c>
      <c r="P102" s="329">
        <f>P101/D26*100</f>
        <v>0.40348807057756181</v>
      </c>
      <c r="Q102" s="329">
        <f>Q101/E26*100</f>
        <v>0.60488775992864441</v>
      </c>
    </row>
    <row r="103" spans="2:18" x14ac:dyDescent="0.25">
      <c r="B103" s="271"/>
      <c r="C103" s="271"/>
      <c r="D103" s="271"/>
      <c r="E103" s="271"/>
      <c r="G103" s="271"/>
    </row>
    <row r="104" spans="2:18" x14ac:dyDescent="0.25">
      <c r="B104" s="271"/>
      <c r="C104" s="271"/>
      <c r="D104" s="271"/>
      <c r="E104" s="271"/>
      <c r="G104" s="271"/>
    </row>
    <row r="105" spans="2:18" ht="60" x14ac:dyDescent="0.25">
      <c r="B105" s="271"/>
      <c r="C105" s="271"/>
      <c r="D105" s="271"/>
      <c r="E105" s="271"/>
      <c r="G105" s="271"/>
      <c r="I105" s="322" t="s">
        <v>615</v>
      </c>
      <c r="J105" s="324"/>
      <c r="K105" s="324"/>
      <c r="L105" s="324"/>
      <c r="M105" s="324"/>
      <c r="N105" s="324"/>
      <c r="O105" s="324"/>
      <c r="P105" s="324"/>
      <c r="Q105" s="324"/>
      <c r="R105" s="324"/>
    </row>
    <row r="106" spans="2:18" x14ac:dyDescent="0.25">
      <c r="B106" s="271"/>
      <c r="C106" s="271"/>
      <c r="D106" s="271"/>
      <c r="E106" s="271"/>
      <c r="G106" s="271"/>
      <c r="I106" s="324"/>
      <c r="J106" s="324"/>
      <c r="K106" s="324"/>
      <c r="L106" s="324"/>
      <c r="M106" s="324"/>
      <c r="N106" s="324"/>
      <c r="O106" s="324"/>
      <c r="P106" s="324"/>
      <c r="Q106" s="324"/>
      <c r="R106" s="324"/>
    </row>
    <row r="107" spans="2:18" x14ac:dyDescent="0.25">
      <c r="B107" s="271"/>
      <c r="C107" s="271"/>
      <c r="D107" s="271"/>
      <c r="E107" s="271"/>
      <c r="G107" s="271"/>
      <c r="I107" s="324"/>
      <c r="J107" s="324"/>
      <c r="K107" s="324"/>
      <c r="L107" s="324"/>
      <c r="M107" s="324"/>
      <c r="N107" s="324"/>
      <c r="O107" s="324"/>
      <c r="P107" s="324"/>
      <c r="Q107" s="324"/>
      <c r="R107" s="324"/>
    </row>
    <row r="108" spans="2:18" x14ac:dyDescent="0.25">
      <c r="B108" s="271"/>
      <c r="C108" s="271"/>
      <c r="D108" s="271"/>
      <c r="E108" s="271"/>
      <c r="G108" s="271"/>
      <c r="N108" s="521" t="s">
        <v>575</v>
      </c>
    </row>
    <row r="109" spans="2:18" x14ac:dyDescent="0.25">
      <c r="B109" s="271"/>
      <c r="C109" s="271"/>
      <c r="D109" s="271"/>
      <c r="E109" s="271"/>
      <c r="G109" s="271"/>
      <c r="I109" s="330"/>
      <c r="J109" s="330"/>
      <c r="K109" s="330"/>
      <c r="L109" s="330"/>
      <c r="M109" s="330"/>
      <c r="N109" s="330"/>
      <c r="O109" s="330"/>
      <c r="P109" s="330"/>
      <c r="Q109" s="330"/>
      <c r="R109" s="330"/>
    </row>
    <row r="110" spans="2:18" s="517" customFormat="1" x14ac:dyDescent="0.25">
      <c r="I110" s="518"/>
      <c r="J110" s="518"/>
      <c r="K110" s="518"/>
      <c r="L110" s="518"/>
      <c r="M110" s="518"/>
      <c r="N110" s="520">
        <f>B5</f>
        <v>491.35802469135797</v>
      </c>
      <c r="O110" s="520" t="s">
        <v>560</v>
      </c>
      <c r="P110" s="518"/>
      <c r="Q110" s="518"/>
      <c r="R110" s="518"/>
    </row>
    <row r="111" spans="2:18" s="517" customFormat="1" x14ac:dyDescent="0.25">
      <c r="N111" s="520">
        <f>J4+O4+J11+O11+J45+O45+J90+O90</f>
        <v>2100</v>
      </c>
      <c r="O111" s="520" t="s">
        <v>569</v>
      </c>
    </row>
    <row r="112" spans="2:18" s="517" customFormat="1" x14ac:dyDescent="0.25">
      <c r="N112" s="520">
        <f>N110-N111</f>
        <v>-1608.641975308642</v>
      </c>
      <c r="O112" s="520" t="s">
        <v>559</v>
      </c>
    </row>
    <row r="113" spans="2:15" x14ac:dyDescent="0.25">
      <c r="B113" s="271"/>
      <c r="C113" s="271"/>
      <c r="D113" s="271"/>
      <c r="E113" s="271"/>
      <c r="G113" s="271"/>
      <c r="N113" s="322"/>
      <c r="O113" s="322"/>
    </row>
    <row r="114" spans="2:15" s="517" customFormat="1" x14ac:dyDescent="0.25">
      <c r="N114" s="520">
        <f>B5-(J45+O45)</f>
        <v>291.35802469135797</v>
      </c>
      <c r="O114" s="520" t="s">
        <v>567</v>
      </c>
    </row>
    <row r="115" spans="2:15" s="517" customFormat="1" x14ac:dyDescent="0.25">
      <c r="N115" s="520">
        <f>J69+O69</f>
        <v>0</v>
      </c>
      <c r="O115" s="520" t="s">
        <v>568</v>
      </c>
    </row>
    <row r="116" spans="2:15" x14ac:dyDescent="0.25">
      <c r="B116" s="271"/>
      <c r="C116" s="271"/>
      <c r="D116" s="271"/>
      <c r="E116" s="271"/>
      <c r="G116" s="271"/>
      <c r="N116" s="322">
        <f>N114-N115</f>
        <v>291.35802469135797</v>
      </c>
      <c r="O116" s="520" t="s">
        <v>570</v>
      </c>
    </row>
    <row r="117" spans="2:15" x14ac:dyDescent="0.25">
      <c r="B117" s="271"/>
      <c r="C117" s="271"/>
      <c r="D117" s="271"/>
      <c r="E117" s="271"/>
      <c r="G117" s="271"/>
    </row>
    <row r="118" spans="2:15" x14ac:dyDescent="0.25">
      <c r="B118" s="271"/>
      <c r="C118" s="271"/>
      <c r="D118" s="271"/>
      <c r="E118" s="271"/>
      <c r="G118" s="271"/>
    </row>
    <row r="119" spans="2:15" x14ac:dyDescent="0.25">
      <c r="B119" s="271"/>
      <c r="C119" s="271"/>
      <c r="D119" s="271"/>
      <c r="E119" s="271"/>
      <c r="G119" s="271"/>
    </row>
    <row r="120" spans="2:15" x14ac:dyDescent="0.25">
      <c r="B120" s="271"/>
      <c r="C120" s="271"/>
      <c r="D120" s="271"/>
      <c r="E120" s="271"/>
      <c r="G120" s="271"/>
    </row>
    <row r="121" spans="2:15" x14ac:dyDescent="0.25">
      <c r="B121" s="271"/>
      <c r="C121" s="271"/>
      <c r="D121" s="271"/>
      <c r="E121" s="271"/>
      <c r="G121" s="271"/>
    </row>
    <row r="122" spans="2:15" x14ac:dyDescent="0.25">
      <c r="B122" s="271"/>
      <c r="C122" s="271"/>
      <c r="D122" s="271"/>
      <c r="E122" s="271"/>
      <c r="G122" s="271"/>
    </row>
    <row r="123" spans="2:15" x14ac:dyDescent="0.25">
      <c r="B123" s="271"/>
      <c r="C123" s="271"/>
      <c r="D123" s="271"/>
      <c r="E123" s="271"/>
      <c r="G123" s="271"/>
    </row>
    <row r="124" spans="2:15" x14ac:dyDescent="0.25">
      <c r="B124" s="271"/>
      <c r="C124" s="271"/>
      <c r="D124" s="271"/>
      <c r="E124" s="271"/>
      <c r="G124" s="271"/>
    </row>
    <row r="125" spans="2:15" x14ac:dyDescent="0.25">
      <c r="B125" s="271"/>
      <c r="C125" s="271"/>
      <c r="D125" s="271"/>
      <c r="E125" s="271"/>
      <c r="G125" s="271"/>
    </row>
    <row r="126" spans="2:15" x14ac:dyDescent="0.25">
      <c r="B126" s="271"/>
      <c r="C126" s="271"/>
      <c r="D126" s="271"/>
      <c r="E126" s="271"/>
      <c r="G126" s="271"/>
    </row>
    <row r="127" spans="2:15" x14ac:dyDescent="0.25">
      <c r="B127" s="271"/>
      <c r="C127" s="271"/>
      <c r="D127" s="271"/>
      <c r="E127" s="271"/>
      <c r="G127" s="271"/>
    </row>
    <row r="131" spans="2:7" x14ac:dyDescent="0.25">
      <c r="B131" s="271"/>
      <c r="C131" s="271"/>
      <c r="D131" s="271"/>
      <c r="E131" s="271"/>
      <c r="G131" s="271"/>
    </row>
    <row r="132" spans="2:7" x14ac:dyDescent="0.25">
      <c r="B132" s="271"/>
      <c r="C132" s="271"/>
      <c r="D132" s="271"/>
      <c r="E132" s="271"/>
      <c r="G132" s="271"/>
    </row>
    <row r="133" spans="2:7" x14ac:dyDescent="0.25">
      <c r="B133" s="271"/>
      <c r="C133" s="271"/>
      <c r="D133" s="271"/>
      <c r="E133" s="271"/>
      <c r="G133" s="271"/>
    </row>
    <row r="143" spans="2:7" x14ac:dyDescent="0.25">
      <c r="B143" s="271"/>
      <c r="C143" s="271"/>
      <c r="D143" s="271"/>
      <c r="E143" s="271"/>
      <c r="G143" s="271"/>
    </row>
    <row r="144" spans="2:7" x14ac:dyDescent="0.25">
      <c r="B144" s="271"/>
      <c r="C144" s="271"/>
      <c r="D144" s="271"/>
      <c r="E144" s="271"/>
      <c r="G144" s="271"/>
    </row>
    <row r="145" spans="2:7" x14ac:dyDescent="0.25">
      <c r="B145" s="271"/>
      <c r="C145" s="271"/>
      <c r="D145" s="271"/>
      <c r="E145" s="271"/>
      <c r="G145" s="271"/>
    </row>
    <row r="146" spans="2:7" x14ac:dyDescent="0.25">
      <c r="B146" s="271"/>
      <c r="C146" s="271"/>
      <c r="D146" s="271"/>
      <c r="E146" s="271"/>
      <c r="G146" s="271"/>
    </row>
    <row r="147" spans="2:7" x14ac:dyDescent="0.25">
      <c r="B147" s="271"/>
      <c r="C147" s="271"/>
      <c r="D147" s="271"/>
      <c r="E147" s="271"/>
      <c r="G147" s="271"/>
    </row>
    <row r="148" spans="2:7" x14ac:dyDescent="0.25">
      <c r="B148" s="271"/>
      <c r="C148" s="271"/>
      <c r="D148" s="271"/>
      <c r="E148" s="271"/>
      <c r="G148" s="271"/>
    </row>
    <row r="149" spans="2:7" x14ac:dyDescent="0.25">
      <c r="B149" s="271"/>
      <c r="C149" s="271"/>
      <c r="D149" s="271"/>
      <c r="E149" s="271"/>
      <c r="G149" s="271"/>
    </row>
    <row r="150" spans="2:7" x14ac:dyDescent="0.25">
      <c r="B150" s="271"/>
      <c r="C150" s="271"/>
      <c r="D150" s="271"/>
      <c r="E150" s="271"/>
      <c r="G150" s="271"/>
    </row>
    <row r="151" spans="2:7" x14ac:dyDescent="0.25">
      <c r="B151" s="271"/>
      <c r="C151" s="271"/>
      <c r="D151" s="271"/>
      <c r="E151" s="271"/>
      <c r="G151" s="271"/>
    </row>
    <row r="152" spans="2:7" x14ac:dyDescent="0.25">
      <c r="B152" s="271"/>
      <c r="C152" s="271"/>
      <c r="D152" s="271"/>
      <c r="E152" s="271"/>
      <c r="G152" s="271"/>
    </row>
    <row r="153" spans="2:7" x14ac:dyDescent="0.25">
      <c r="B153" s="271"/>
      <c r="C153" s="271"/>
      <c r="D153" s="271"/>
      <c r="E153" s="271"/>
      <c r="G153" s="271"/>
    </row>
    <row r="154" spans="2:7" x14ac:dyDescent="0.25">
      <c r="B154" s="271"/>
      <c r="C154" s="271"/>
      <c r="D154" s="271"/>
      <c r="E154" s="271"/>
      <c r="G154" s="271"/>
    </row>
    <row r="155" spans="2:7" x14ac:dyDescent="0.25">
      <c r="B155" s="271"/>
      <c r="C155" s="271"/>
      <c r="D155" s="271"/>
      <c r="E155" s="271"/>
      <c r="G155" s="271"/>
    </row>
    <row r="156" spans="2:7" x14ac:dyDescent="0.25">
      <c r="B156" s="271"/>
      <c r="C156" s="271"/>
      <c r="D156" s="271"/>
      <c r="E156" s="271"/>
      <c r="G156" s="271"/>
    </row>
    <row r="157" spans="2:7" x14ac:dyDescent="0.25">
      <c r="B157" s="271"/>
      <c r="C157" s="271"/>
      <c r="D157" s="271"/>
      <c r="E157" s="271"/>
      <c r="G157" s="271"/>
    </row>
    <row r="158" spans="2:7" x14ac:dyDescent="0.25">
      <c r="B158" s="271"/>
      <c r="C158" s="271"/>
      <c r="D158" s="271"/>
      <c r="E158" s="271"/>
      <c r="G158" s="271"/>
    </row>
    <row r="159" spans="2:7" x14ac:dyDescent="0.25">
      <c r="B159" s="271"/>
      <c r="C159" s="271"/>
      <c r="D159" s="271"/>
      <c r="E159" s="271"/>
      <c r="G159" s="271"/>
    </row>
    <row r="160" spans="2:7" x14ac:dyDescent="0.25">
      <c r="B160" s="271"/>
      <c r="C160" s="271"/>
      <c r="D160" s="271"/>
      <c r="E160" s="271"/>
      <c r="G160" s="271"/>
    </row>
    <row r="161" spans="2:7" x14ac:dyDescent="0.25">
      <c r="B161" s="271"/>
      <c r="C161" s="271"/>
      <c r="D161" s="271"/>
      <c r="E161" s="271"/>
      <c r="G161" s="271"/>
    </row>
    <row r="162" spans="2:7" x14ac:dyDescent="0.25">
      <c r="B162" s="271"/>
      <c r="C162" s="271"/>
      <c r="D162" s="271"/>
      <c r="E162" s="271"/>
      <c r="G162" s="271"/>
    </row>
    <row r="163" spans="2:7" x14ac:dyDescent="0.25">
      <c r="B163" s="271"/>
      <c r="C163" s="271"/>
      <c r="D163" s="271"/>
      <c r="E163" s="271"/>
      <c r="G163" s="271"/>
    </row>
    <row r="164" spans="2:7" x14ac:dyDescent="0.25">
      <c r="B164" s="271"/>
      <c r="C164" s="271"/>
      <c r="D164" s="271"/>
      <c r="E164" s="271"/>
      <c r="G164" s="271"/>
    </row>
    <row r="165" spans="2:7" x14ac:dyDescent="0.25">
      <c r="B165" s="271"/>
      <c r="C165" s="271"/>
      <c r="D165" s="271"/>
      <c r="E165" s="271"/>
      <c r="G165" s="271"/>
    </row>
    <row r="166" spans="2:7" x14ac:dyDescent="0.25">
      <c r="B166" s="271"/>
      <c r="C166" s="271"/>
      <c r="D166" s="271"/>
      <c r="E166" s="271"/>
      <c r="G166" s="271"/>
    </row>
    <row r="167" spans="2:7" x14ac:dyDescent="0.25">
      <c r="B167" s="271"/>
      <c r="C167" s="271"/>
      <c r="D167" s="271"/>
      <c r="E167" s="271"/>
      <c r="G167" s="271"/>
    </row>
    <row r="168" spans="2:7" x14ac:dyDescent="0.25">
      <c r="B168" s="271"/>
      <c r="C168" s="271"/>
      <c r="D168" s="271"/>
      <c r="E168" s="271"/>
      <c r="G168" s="271"/>
    </row>
    <row r="169" spans="2:7" x14ac:dyDescent="0.25">
      <c r="B169" s="271"/>
      <c r="C169" s="271"/>
      <c r="D169" s="271"/>
      <c r="E169" s="271"/>
      <c r="G169" s="271"/>
    </row>
    <row r="170" spans="2:7" x14ac:dyDescent="0.25">
      <c r="B170" s="271"/>
      <c r="C170" s="271"/>
      <c r="D170" s="271"/>
      <c r="E170" s="271"/>
      <c r="G170" s="271"/>
    </row>
    <row r="171" spans="2:7" x14ac:dyDescent="0.25">
      <c r="B171" s="271"/>
      <c r="C171" s="271"/>
      <c r="D171" s="271"/>
      <c r="E171" s="271"/>
      <c r="G171" s="271"/>
    </row>
    <row r="172" spans="2:7" x14ac:dyDescent="0.25">
      <c r="B172" s="271"/>
      <c r="C172" s="271"/>
      <c r="D172" s="271"/>
      <c r="E172" s="271"/>
      <c r="G172" s="271"/>
    </row>
    <row r="173" spans="2:7" x14ac:dyDescent="0.25">
      <c r="B173" s="271"/>
      <c r="C173" s="271"/>
      <c r="D173" s="271"/>
      <c r="E173" s="271"/>
      <c r="G173" s="271"/>
    </row>
    <row r="174" spans="2:7" x14ac:dyDescent="0.25">
      <c r="B174" s="271"/>
      <c r="C174" s="271"/>
      <c r="D174" s="271"/>
      <c r="E174" s="271"/>
      <c r="G174" s="271"/>
    </row>
    <row r="175" spans="2:7" x14ac:dyDescent="0.25">
      <c r="B175" s="271"/>
      <c r="C175" s="271"/>
      <c r="D175" s="271"/>
      <c r="E175" s="271"/>
      <c r="G175" s="271"/>
    </row>
    <row r="176" spans="2:7" x14ac:dyDescent="0.25">
      <c r="B176" s="271"/>
      <c r="C176" s="271"/>
      <c r="D176" s="271"/>
      <c r="E176" s="271"/>
      <c r="G176" s="271"/>
    </row>
    <row r="177" spans="2:7" x14ac:dyDescent="0.25">
      <c r="B177" s="271"/>
      <c r="C177" s="271"/>
      <c r="D177" s="271"/>
      <c r="E177" s="271"/>
      <c r="G177" s="271"/>
    </row>
    <row r="178" spans="2:7" x14ac:dyDescent="0.25">
      <c r="B178" s="271"/>
      <c r="C178" s="271"/>
      <c r="D178" s="271"/>
      <c r="E178" s="271"/>
      <c r="G178" s="271"/>
    </row>
    <row r="179" spans="2:7" x14ac:dyDescent="0.25">
      <c r="B179" s="271"/>
      <c r="C179" s="271"/>
      <c r="D179" s="271"/>
      <c r="E179" s="271"/>
      <c r="G179" s="271"/>
    </row>
    <row r="180" spans="2:7" x14ac:dyDescent="0.25">
      <c r="B180" s="271"/>
      <c r="C180" s="271"/>
      <c r="D180" s="271"/>
      <c r="E180" s="271"/>
      <c r="G180" s="271"/>
    </row>
    <row r="181" spans="2:7" x14ac:dyDescent="0.25">
      <c r="B181" s="271"/>
      <c r="C181" s="271"/>
      <c r="D181" s="271"/>
      <c r="E181" s="271"/>
      <c r="G181"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27"/>
  <sheetViews>
    <sheetView zoomScale="80" zoomScaleNormal="80" workbookViewId="0">
      <selection activeCell="J20" sqref="J20"/>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31" customFormat="1" ht="23.25" x14ac:dyDescent="0.35">
      <c r="F1" s="610" t="s">
        <v>376</v>
      </c>
      <c r="G1" s="610"/>
      <c r="H1" s="610"/>
      <c r="J1" s="610" t="s">
        <v>446</v>
      </c>
      <c r="K1" s="610"/>
      <c r="L1" s="610"/>
    </row>
    <row r="2" spans="1:14" s="4" customFormat="1" x14ac:dyDescent="0.25">
      <c r="F2" s="332" t="s">
        <v>377</v>
      </c>
      <c r="G2" s="332" t="s">
        <v>378</v>
      </c>
      <c r="H2" s="332" t="s">
        <v>379</v>
      </c>
      <c r="J2" s="332" t="s">
        <v>377</v>
      </c>
      <c r="K2" s="332" t="s">
        <v>378</v>
      </c>
      <c r="L2" s="332" t="s">
        <v>379</v>
      </c>
      <c r="N2" s="334" t="s">
        <v>447</v>
      </c>
    </row>
    <row r="3" spans="1:14" s="4" customFormat="1" x14ac:dyDescent="0.25">
      <c r="F3" s="333"/>
      <c r="G3" s="333"/>
      <c r="H3" s="333"/>
      <c r="N3" s="334" t="s">
        <v>448</v>
      </c>
    </row>
    <row r="4" spans="1:14" x14ac:dyDescent="0.25">
      <c r="A4" s="253" t="s">
        <v>380</v>
      </c>
      <c r="F4" s="502">
        <f>+'Agricultural BMPs'!G26</f>
        <v>54713584.484999999</v>
      </c>
      <c r="G4" s="502">
        <f>+'Agricultural BMPs'!D26</f>
        <v>317031.37199999997</v>
      </c>
      <c r="H4" s="502">
        <f>+'Agricultural BMPs'!E26</f>
        <v>87291.760500000004</v>
      </c>
      <c r="I4" s="502"/>
      <c r="J4" s="502">
        <f>+'MMW Output'!K114</f>
        <v>5831824.7398891598</v>
      </c>
      <c r="K4" s="502">
        <f>+'MMW Output'!I114</f>
        <v>10312.345679012345</v>
      </c>
      <c r="L4" s="502">
        <f>+'MMW Output'!J114</f>
        <v>3226.3950617283949</v>
      </c>
      <c r="N4" s="334" t="s">
        <v>453</v>
      </c>
    </row>
    <row r="5" spans="1:14" x14ac:dyDescent="0.25">
      <c r="F5" s="502"/>
      <c r="G5" s="502"/>
      <c r="H5" s="502"/>
      <c r="I5" s="502"/>
      <c r="J5" s="502"/>
      <c r="K5" s="502"/>
      <c r="L5" s="502"/>
    </row>
    <row r="6" spans="1:14" x14ac:dyDescent="0.25">
      <c r="A6" s="253" t="s">
        <v>381</v>
      </c>
      <c r="F6" s="502">
        <f>'Urban BMPs'!V29</f>
        <v>45821.936792878347</v>
      </c>
      <c r="G6" s="502">
        <f>'Urban BMPs'!Y29</f>
        <v>50.231669517962651</v>
      </c>
      <c r="H6" s="502">
        <f>'Urban BMPs'!X29</f>
        <v>12.448659326499333</v>
      </c>
      <c r="I6" s="502"/>
      <c r="J6" s="503">
        <f>IF(J$4=0, "--", F6 )</f>
        <v>45821.936792878347</v>
      </c>
      <c r="K6" s="503">
        <f t="shared" ref="K6:L6" si="0">IF(K$4=0, "--", G6 )</f>
        <v>50.231669517962651</v>
      </c>
      <c r="L6" s="503">
        <f t="shared" si="0"/>
        <v>12.448659326499333</v>
      </c>
    </row>
    <row r="7" spans="1:14" x14ac:dyDescent="0.25">
      <c r="F7" s="502"/>
      <c r="G7" s="502"/>
      <c r="H7" s="502"/>
      <c r="I7" s="502"/>
      <c r="J7" s="502"/>
      <c r="K7" s="502"/>
      <c r="L7" s="502"/>
      <c r="N7" s="334"/>
    </row>
    <row r="8" spans="1:14" x14ac:dyDescent="0.25">
      <c r="A8" s="253" t="s">
        <v>382</v>
      </c>
      <c r="F8" s="502">
        <f>'Urban BMPs'!V31</f>
        <v>473131.43550681788</v>
      </c>
      <c r="G8" s="502">
        <f>'Urban BMPs'!Y31</f>
        <v>373.03200000000038</v>
      </c>
      <c r="H8" s="502">
        <f>'Urban BMPs'!X31</f>
        <v>231.17692215624996</v>
      </c>
      <c r="I8" s="502"/>
      <c r="J8" s="503">
        <f t="shared" ref="J8:L8" si="1">IF(J$4=0, "--", F8 )</f>
        <v>473131.43550681788</v>
      </c>
      <c r="K8" s="503">
        <f t="shared" si="1"/>
        <v>373.03200000000038</v>
      </c>
      <c r="L8" s="503">
        <f t="shared" si="1"/>
        <v>231.17692215624996</v>
      </c>
      <c r="N8" s="334"/>
    </row>
    <row r="9" spans="1:14" x14ac:dyDescent="0.25">
      <c r="F9" s="502"/>
      <c r="G9" s="502"/>
      <c r="H9" s="502"/>
      <c r="I9" s="502"/>
      <c r="J9" s="502"/>
      <c r="K9" s="502"/>
      <c r="L9" s="502"/>
      <c r="N9" s="334"/>
    </row>
    <row r="10" spans="1:14" x14ac:dyDescent="0.25">
      <c r="A10" s="253" t="s">
        <v>383</v>
      </c>
      <c r="F10" s="502">
        <f>+'Agricultural BMPs'!J101</f>
        <v>570867.39452850551</v>
      </c>
      <c r="G10" s="502">
        <f>+'Agricultural BMPs'!K101</f>
        <v>5513.7344241876572</v>
      </c>
      <c r="H10" s="502">
        <f>+'Agricultural BMPs'!L101</f>
        <v>1752.9089915337759</v>
      </c>
      <c r="I10" s="502"/>
      <c r="J10" s="503">
        <f t="shared" ref="J10:L10" si="2">IF(J$4=0, "--", F10 )</f>
        <v>570867.39452850551</v>
      </c>
      <c r="K10" s="503">
        <f t="shared" si="2"/>
        <v>5513.7344241876572</v>
      </c>
      <c r="L10" s="503">
        <f t="shared" si="2"/>
        <v>1752.9089915337759</v>
      </c>
    </row>
    <row r="11" spans="1:14" x14ac:dyDescent="0.25">
      <c r="F11" s="502"/>
      <c r="G11" s="502"/>
      <c r="H11" s="502"/>
      <c r="I11" s="502"/>
      <c r="J11" s="502"/>
      <c r="K11" s="502"/>
      <c r="L11" s="502"/>
    </row>
    <row r="12" spans="1:14" x14ac:dyDescent="0.25">
      <c r="A12" s="253" t="s">
        <v>384</v>
      </c>
      <c r="F12" s="502">
        <f>+'Agricultural BMPs'!O101</f>
        <v>411960.29023501306</v>
      </c>
      <c r="G12" s="502">
        <f>+'Agricultural BMPs'!P101</f>
        <v>1279.1837660083725</v>
      </c>
      <c r="H12" s="502">
        <f>+'Agricultural BMPs'!Q101</f>
        <v>528.0171746907273</v>
      </c>
      <c r="I12" s="502"/>
      <c r="J12" s="503">
        <f>IF(J$4=0, "--", F12 )</f>
        <v>411960.29023501306</v>
      </c>
      <c r="K12" s="503">
        <f t="shared" ref="K12:L12" si="3">IF(K$4=0, "--", G12 )</f>
        <v>1279.1837660083725</v>
      </c>
      <c r="L12" s="503">
        <f t="shared" si="3"/>
        <v>528.0171746907273</v>
      </c>
    </row>
    <row r="13" spans="1:14" x14ac:dyDescent="0.25">
      <c r="F13" s="502"/>
      <c r="G13" s="502"/>
      <c r="H13" s="502"/>
      <c r="I13" s="502"/>
      <c r="J13" s="502"/>
      <c r="K13" s="502"/>
      <c r="L13" s="502"/>
    </row>
    <row r="14" spans="1:14" x14ac:dyDescent="0.25">
      <c r="F14" s="502"/>
      <c r="G14" s="502"/>
      <c r="H14" s="502"/>
      <c r="I14" s="502"/>
      <c r="J14" s="502"/>
      <c r="K14" s="502"/>
      <c r="L14" s="502"/>
    </row>
    <row r="15" spans="1:14" x14ac:dyDescent="0.25">
      <c r="A15" s="4" t="s">
        <v>385</v>
      </c>
      <c r="F15" s="502">
        <f>SUM(F6:F12)</f>
        <v>1501781.0570632147</v>
      </c>
      <c r="G15" s="502">
        <f>SUM(G6:G12)</f>
        <v>7216.1818597139918</v>
      </c>
      <c r="H15" s="502">
        <f>SUM(H6:H12)</f>
        <v>2524.5517477072526</v>
      </c>
      <c r="I15" s="502"/>
      <c r="J15" s="504">
        <f>IF(J$4=0,"--",SUM(J6:J12))</f>
        <v>1501781.0570632147</v>
      </c>
      <c r="K15" s="504">
        <f t="shared" ref="K15:L15" si="4">IF(K$4=0,"--",SUM(K6:K12))</f>
        <v>7216.1818597139918</v>
      </c>
      <c r="L15" s="504">
        <f t="shared" si="4"/>
        <v>2524.5517477072526</v>
      </c>
    </row>
    <row r="16" spans="1:14" x14ac:dyDescent="0.25">
      <c r="A16" s="4" t="s">
        <v>386</v>
      </c>
      <c r="F16" s="502">
        <f>F4-F15</f>
        <v>53211803.427936785</v>
      </c>
      <c r="G16" s="502">
        <f>G4-G15</f>
        <v>309815.19014028599</v>
      </c>
      <c r="H16" s="502">
        <f>H4-H15</f>
        <v>84767.208752292747</v>
      </c>
      <c r="I16" s="502"/>
      <c r="J16" s="504">
        <f>IF(J$4=0, "--", J4-J15)</f>
        <v>4330043.6828259453</v>
      </c>
      <c r="K16" s="504">
        <f t="shared" ref="K16:L16" si="5">IF(K$4=0, "--", K4-K15)</f>
        <v>3096.1638192983537</v>
      </c>
      <c r="L16" s="504">
        <f t="shared" si="5"/>
        <v>701.84331402114231</v>
      </c>
    </row>
    <row r="17" spans="1:12" x14ac:dyDescent="0.25">
      <c r="A17" s="400" t="s">
        <v>387</v>
      </c>
      <c r="B17" s="401"/>
      <c r="C17" s="401"/>
      <c r="D17" s="401"/>
      <c r="E17" s="401"/>
      <c r="F17" s="501">
        <f>(F15/F4)</f>
        <v>2.7448047339595077E-2</v>
      </c>
      <c r="G17" s="501">
        <f t="shared" ref="G17:H17" si="6">(G15/G4)</f>
        <v>2.2761728008778868E-2</v>
      </c>
      <c r="H17" s="501">
        <f t="shared" si="6"/>
        <v>2.892084812182534E-2</v>
      </c>
      <c r="I17" s="455"/>
      <c r="J17" s="500">
        <f>IF(J$4=0, "--", (J15/J4))</f>
        <v>0.25751477865772726</v>
      </c>
      <c r="K17" s="500">
        <f t="shared" ref="K17:L17" si="7">IF(K$4=0, "--", (K15/K4))</f>
        <v>0.69976143976635141</v>
      </c>
      <c r="L17" s="500">
        <f t="shared" si="7"/>
        <v>0.78246826548105319</v>
      </c>
    </row>
    <row r="18" spans="1:12" x14ac:dyDescent="0.25">
      <c r="J18" s="499"/>
      <c r="K18" s="499"/>
      <c r="L18" s="499"/>
    </row>
    <row r="19" spans="1:12" x14ac:dyDescent="0.25">
      <c r="J19" s="499"/>
      <c r="K19" s="499"/>
      <c r="L19" s="499"/>
    </row>
    <row r="20" spans="1:12" x14ac:dyDescent="0.25">
      <c r="A20" s="4" t="s">
        <v>388</v>
      </c>
      <c r="F20" s="502">
        <f>F4-(F6+F10)</f>
        <v>54096895.153678618</v>
      </c>
      <c r="G20" s="502">
        <f t="shared" ref="G20:H20" si="8">G4-(G6+G10)</f>
        <v>311467.40590629436</v>
      </c>
      <c r="H20" s="502">
        <f t="shared" si="8"/>
        <v>85526.402849139733</v>
      </c>
      <c r="I20" s="502"/>
      <c r="J20" s="504">
        <f>IF(J$4=0, "--", J4-(J6+J10))</f>
        <v>5215135.408567776</v>
      </c>
      <c r="K20" s="504">
        <f t="shared" ref="K20:L20" si="9">IF(K$4=0, "--", K4-(K6+K10))</f>
        <v>4748.3795853067259</v>
      </c>
      <c r="L20" s="504">
        <f t="shared" si="9"/>
        <v>1461.0374108681197</v>
      </c>
    </row>
    <row r="21" spans="1:12" x14ac:dyDescent="0.25">
      <c r="A21" s="4" t="s">
        <v>389</v>
      </c>
      <c r="F21" s="502">
        <f>F8+F12</f>
        <v>885091.72574183089</v>
      </c>
      <c r="G21" s="502">
        <f>G8+G12</f>
        <v>1652.2157660083728</v>
      </c>
      <c r="H21" s="502">
        <f>H8+H12</f>
        <v>759.19409684697723</v>
      </c>
      <c r="I21" s="502"/>
      <c r="J21" s="504">
        <f>IF(J$4=0, "--", J8+J12)</f>
        <v>885091.72574183089</v>
      </c>
      <c r="K21" s="504">
        <f t="shared" ref="K21:L21" si="10">IF(K$4=0, "--", K8+K12)</f>
        <v>1652.2157660083728</v>
      </c>
      <c r="L21" s="504">
        <f t="shared" si="10"/>
        <v>759.19409684697723</v>
      </c>
    </row>
    <row r="22" spans="1:12" x14ac:dyDescent="0.25">
      <c r="A22" s="400" t="s">
        <v>390</v>
      </c>
      <c r="B22" s="401"/>
      <c r="C22" s="401"/>
      <c r="D22" s="401"/>
      <c r="E22" s="401"/>
      <c r="F22" s="501">
        <f>(F21/F20)</f>
        <v>1.636122966442824E-2</v>
      </c>
      <c r="G22" s="501">
        <f t="shared" ref="G22:H22" si="11">(G21/G20)</f>
        <v>5.3046185079970954E-3</v>
      </c>
      <c r="H22" s="501">
        <f t="shared" si="11"/>
        <v>8.8767219426511123E-3</v>
      </c>
      <c r="I22" s="401"/>
      <c r="J22" s="500">
        <f>IF(J$4=0, "--", (J21/J20))</f>
        <v>0.16971596255923529</v>
      </c>
      <c r="K22" s="500">
        <f t="shared" ref="K22:L22" si="12">IF(K$4=0, "--", (K21/K20))</f>
        <v>0.34795359897531158</v>
      </c>
      <c r="L22" s="500">
        <f t="shared" si="12"/>
        <v>0.51962673316891939</v>
      </c>
    </row>
    <row r="26" spans="1:12" s="253" customFormat="1" x14ac:dyDescent="0.25">
      <c r="A26" s="253" t="s">
        <v>391</v>
      </c>
    </row>
    <row r="27" spans="1:12" s="253" customFormat="1" x14ac:dyDescent="0.25">
      <c r="A27" s="253" t="s">
        <v>392</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Sara Damiano</cp:lastModifiedBy>
  <dcterms:created xsi:type="dcterms:W3CDTF">2018-07-24T13:08:45Z</dcterms:created>
  <dcterms:modified xsi:type="dcterms:W3CDTF">2020-01-09T20:41:07Z</dcterms:modified>
</cp:coreProperties>
</file>