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420" yWindow="-21135" windowWidth="20145" windowHeight="11760"/>
  </bookViews>
  <sheets>
    <sheet name="Overview" sheetId="14" r:id="rId1"/>
    <sheet name="MMW Output" sheetId="4" r:id="rId2"/>
    <sheet name="LandUseLoadingRatesLookUpTable" sheetId="1" r:id="rId3"/>
    <sheet name="Farm Animal TN and TP Loading" sheetId="5" r:id="rId4"/>
    <sheet name="Stream Bank SedimentLoadingRate" sheetId="6" r:id="rId5"/>
    <sheet name="Stream Bank Nitrogen Loading" sheetId="7" r:id="rId6"/>
    <sheet name="Stream Bank Phosphorus Loading" sheetId="8" r:id="rId7"/>
    <sheet name="Perf Std Approach" sheetId="10" r:id="rId8"/>
    <sheet name="Urban BMPs" sheetId="11" r:id="rId9"/>
    <sheet name="Agricultural BMPs" sheetId="12" r:id="rId10"/>
    <sheet name="Impervious Fraction LUT" sheetId="3" r:id="rId11"/>
    <sheet name="Total Load Reductions" sheetId="13" r:id="rId12"/>
  </sheets>
  <definedNames>
    <definedName name="_xlnm._FilterDatabase" localSheetId="8" hidden="1">'Urban BMPs'!$A$10:$Y$10</definedName>
  </definedNames>
  <calcPr calcId="145621"/>
</workbook>
</file>

<file path=xl/calcChain.xml><?xml version="1.0" encoding="utf-8"?>
<calcChain xmlns="http://schemas.openxmlformats.org/spreadsheetml/2006/main">
  <c r="O83" i="4" l="1"/>
  <c r="A37" i="11" s="1"/>
  <c r="O82" i="4"/>
  <c r="O81" i="4"/>
  <c r="O18" i="12" l="1"/>
  <c r="J18" i="12"/>
  <c r="M30" i="4"/>
  <c r="J61" i="12" s="1"/>
  <c r="O61" i="12" s="1"/>
  <c r="M31" i="4"/>
  <c r="A36" i="11" s="1"/>
  <c r="M29" i="4"/>
  <c r="J26" i="12" l="1"/>
  <c r="O26" i="12" s="1"/>
  <c r="J49" i="12" s="1"/>
  <c r="O49" i="12" s="1"/>
  <c r="Q64" i="12"/>
  <c r="P64" i="12"/>
  <c r="O64" i="12"/>
  <c r="Q52" i="12"/>
  <c r="P52" i="12"/>
  <c r="O52" i="12"/>
  <c r="Q29" i="12"/>
  <c r="Q33" i="12" s="1"/>
  <c r="P29" i="12"/>
  <c r="O29" i="12"/>
  <c r="O33" i="12" s="1"/>
  <c r="O19" i="12"/>
  <c r="P33" i="12" l="1"/>
  <c r="P35" i="12" s="1"/>
  <c r="O35" i="12"/>
  <c r="Q35" i="12"/>
  <c r="D113" i="4" l="1"/>
  <c r="F97" i="4"/>
  <c r="F98" i="4"/>
  <c r="F99" i="4"/>
  <c r="F100" i="4"/>
  <c r="F101" i="4"/>
  <c r="F102" i="4"/>
  <c r="F103" i="4"/>
  <c r="F104" i="4"/>
  <c r="F105" i="4"/>
  <c r="F106" i="4"/>
  <c r="F107" i="4"/>
  <c r="F108" i="4"/>
  <c r="F109" i="4"/>
  <c r="F110" i="4"/>
  <c r="F111" i="4"/>
  <c r="F96" i="4"/>
  <c r="F113"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6" i="1"/>
  <c r="E30" i="3" l="1"/>
  <c r="D30" i="3"/>
  <c r="C30" i="3"/>
  <c r="O16" i="11"/>
  <c r="O19" i="11"/>
  <c r="O20" i="11"/>
  <c r="O21" i="11"/>
  <c r="O22" i="11"/>
  <c r="O23" i="11"/>
  <c r="E26" i="3"/>
  <c r="E25" i="3"/>
  <c r="E24" i="3"/>
  <c r="E23" i="3"/>
  <c r="E22" i="3"/>
  <c r="E21" i="3"/>
  <c r="E20" i="3"/>
  <c r="E19" i="3"/>
  <c r="E18" i="3"/>
  <c r="E17" i="3"/>
  <c r="O18" i="11" s="1"/>
  <c r="E16" i="3"/>
  <c r="O12" i="11" s="1"/>
  <c r="E15" i="3"/>
  <c r="O17" i="11" s="1"/>
  <c r="E14" i="3"/>
  <c r="E13" i="3"/>
  <c r="E12" i="3"/>
  <c r="E11" i="3"/>
  <c r="E10" i="3"/>
  <c r="E9" i="3"/>
  <c r="E8" i="3"/>
  <c r="E7" i="3"/>
  <c r="E6" i="3"/>
  <c r="O14" i="11" s="1"/>
  <c r="E5" i="3"/>
  <c r="O15" i="11" s="1"/>
  <c r="O11" i="11" l="1"/>
  <c r="K11" i="11" s="1"/>
  <c r="L11" i="11" s="1"/>
  <c r="N11" i="11" s="1"/>
  <c r="O13" i="11"/>
  <c r="K13" i="11" s="1"/>
  <c r="L13" i="11" s="1"/>
  <c r="N13" i="11" s="1"/>
  <c r="S17" i="11"/>
  <c r="S18" i="11"/>
  <c r="T17" i="11"/>
  <c r="T18" i="11"/>
  <c r="U17" i="11"/>
  <c r="U18" i="11"/>
  <c r="K17" i="11"/>
  <c r="L17" i="11" s="1"/>
  <c r="N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K14" i="11"/>
  <c r="L14" i="11" s="1"/>
  <c r="N14" i="11" s="1"/>
  <c r="K12" i="11"/>
  <c r="L12" i="11" s="1"/>
  <c r="N12" i="11" s="1"/>
  <c r="U16" i="11" l="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O31" i="1" l="1"/>
  <c r="S31" i="1"/>
  <c r="X31" i="1"/>
  <c r="Y31" i="1"/>
  <c r="T31" i="1"/>
  <c r="P31" i="1"/>
  <c r="P21" i="1"/>
  <c r="Q21" i="1" s="1"/>
  <c r="S21" i="1"/>
  <c r="T21" i="1"/>
  <c r="Y21" i="1"/>
  <c r="O21" i="1"/>
  <c r="X21" i="1"/>
  <c r="S22" i="1"/>
  <c r="O22" i="1"/>
  <c r="X22" i="1"/>
  <c r="T22" i="1"/>
  <c r="Y22" i="1"/>
  <c r="P22" i="1"/>
  <c r="S30" i="1"/>
  <c r="O30" i="1"/>
  <c r="P30" i="1"/>
  <c r="T30" i="1"/>
  <c r="V30" i="1" s="1"/>
  <c r="Y30" i="1"/>
  <c r="X30" i="1"/>
  <c r="AA30" i="1" s="1"/>
  <c r="X25" i="1"/>
  <c r="P25" i="1"/>
  <c r="S25" i="1"/>
  <c r="O25" i="1"/>
  <c r="T25" i="1"/>
  <c r="Y25" i="1"/>
  <c r="T26" i="1"/>
  <c r="Y26" i="1"/>
  <c r="X26" i="1"/>
  <c r="P26" i="1"/>
  <c r="S26" i="1"/>
  <c r="O26" i="1"/>
  <c r="X32" i="1"/>
  <c r="Y32" i="1"/>
  <c r="O32" i="1"/>
  <c r="Q32" i="1" s="1"/>
  <c r="S32" i="1"/>
  <c r="V32" i="1" s="1"/>
  <c r="T32" i="1"/>
  <c r="P32" i="1"/>
  <c r="L64" i="12"/>
  <c r="K64" i="12"/>
  <c r="J64" i="12"/>
  <c r="L52" i="12"/>
  <c r="K52" i="12"/>
  <c r="J52" i="12"/>
  <c r="L29" i="12"/>
  <c r="L33" i="12" s="1"/>
  <c r="L35" i="12" s="1"/>
  <c r="K29" i="12"/>
  <c r="K33" i="12" s="1"/>
  <c r="K35" i="12" s="1"/>
  <c r="J29" i="12"/>
  <c r="J33" i="12" s="1"/>
  <c r="G21" i="12"/>
  <c r="G19" i="12"/>
  <c r="J19" i="12"/>
  <c r="G18" i="12"/>
  <c r="G17" i="12"/>
  <c r="G13" i="12"/>
  <c r="B40" i="12"/>
  <c r="D40" i="12" s="1"/>
  <c r="G12" i="12"/>
  <c r="B39" i="12"/>
  <c r="G9" i="12"/>
  <c r="B36" i="12"/>
  <c r="G8" i="12"/>
  <c r="B35" i="12"/>
  <c r="D35"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F43" i="4" s="1"/>
  <c r="O64" i="4"/>
  <c r="E43" i="4" s="1"/>
  <c r="N64" i="4"/>
  <c r="D43" i="4" s="1"/>
  <c r="F64" i="4"/>
  <c r="P63" i="4"/>
  <c r="F42" i="4" s="1"/>
  <c r="O63" i="4"/>
  <c r="E42" i="4" s="1"/>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E33" i="4" s="1"/>
  <c r="N57" i="4"/>
  <c r="D33" i="4" s="1"/>
  <c r="F57" i="4"/>
  <c r="C24" i="4" s="1"/>
  <c r="P56" i="4"/>
  <c r="F32" i="4" s="1"/>
  <c r="O56" i="4"/>
  <c r="E32" i="4" s="1"/>
  <c r="N56" i="4"/>
  <c r="D32" i="4" s="1"/>
  <c r="F56" i="4"/>
  <c r="C29" i="4" s="1"/>
  <c r="P55" i="4"/>
  <c r="F29" i="4" s="1"/>
  <c r="O55" i="4"/>
  <c r="E29" i="4" s="1"/>
  <c r="N55" i="4"/>
  <c r="D29" i="4" s="1"/>
  <c r="F55" i="4"/>
  <c r="C34" i="4" s="1"/>
  <c r="P54" i="4"/>
  <c r="F28" i="4" s="1"/>
  <c r="O54" i="4"/>
  <c r="E28" i="4" s="1"/>
  <c r="N54" i="4"/>
  <c r="D28" i="4" s="1"/>
  <c r="F54" i="4"/>
  <c r="C33" i="4" s="1"/>
  <c r="P53" i="4"/>
  <c r="F25" i="4" s="1"/>
  <c r="O53" i="4"/>
  <c r="E25" i="4" s="1"/>
  <c r="N53" i="4"/>
  <c r="D25" i="4" s="1"/>
  <c r="F53" i="4"/>
  <c r="P52" i="4"/>
  <c r="F24" i="4" s="1"/>
  <c r="O52" i="4"/>
  <c r="E24" i="4" s="1"/>
  <c r="N52" i="4"/>
  <c r="D24" i="4" s="1"/>
  <c r="F52" i="4"/>
  <c r="P51" i="4"/>
  <c r="F23" i="4" s="1"/>
  <c r="O51" i="4"/>
  <c r="E23" i="4" s="1"/>
  <c r="N51" i="4"/>
  <c r="D23" i="4" s="1"/>
  <c r="F51" i="4"/>
  <c r="P50" i="4"/>
  <c r="O50" i="4"/>
  <c r="E22" i="4" s="1"/>
  <c r="N50" i="4"/>
  <c r="F50" i="4"/>
  <c r="D41" i="4"/>
  <c r="E40" i="4"/>
  <c r="B5" i="4"/>
  <c r="B3" i="4"/>
  <c r="F67" i="4" l="1"/>
  <c r="C32" i="4"/>
  <c r="J35" i="12"/>
  <c r="AA31" i="1"/>
  <c r="C25" i="4"/>
  <c r="C17" i="8" s="1"/>
  <c r="N67" i="4"/>
  <c r="AA22" i="1"/>
  <c r="AA25" i="1"/>
  <c r="D20" i="5"/>
  <c r="C18" i="1"/>
  <c r="C15" i="7"/>
  <c r="B5" i="12"/>
  <c r="J16" i="12" s="1"/>
  <c r="C15" i="8"/>
  <c r="C18" i="6"/>
  <c r="C25" i="8"/>
  <c r="C54" i="8" s="1"/>
  <c r="E85" i="8" s="1"/>
  <c r="C28" i="1"/>
  <c r="C28" i="6"/>
  <c r="C57" i="6" s="1"/>
  <c r="D152" i="6" s="1"/>
  <c r="B15" i="12"/>
  <c r="C25" i="7"/>
  <c r="C24" i="1"/>
  <c r="C21" i="8"/>
  <c r="B11" i="12"/>
  <c r="B38" i="12" s="1"/>
  <c r="C24" i="6"/>
  <c r="C21" i="7"/>
  <c r="C17" i="1"/>
  <c r="B4" i="12"/>
  <c r="C14" i="8"/>
  <c r="D19" i="5"/>
  <c r="C14" i="7"/>
  <c r="C17" i="6"/>
  <c r="G36" i="1"/>
  <c r="C20" i="12"/>
  <c r="C25" i="12"/>
  <c r="G50" i="1"/>
  <c r="D4" i="12"/>
  <c r="J17" i="1"/>
  <c r="D10" i="12"/>
  <c r="J23" i="1"/>
  <c r="D16" i="12"/>
  <c r="J29" i="1"/>
  <c r="J36" i="1"/>
  <c r="D20" i="12"/>
  <c r="P81" i="12" s="1"/>
  <c r="P84" i="12" s="1"/>
  <c r="D15" i="5"/>
  <c r="D32" i="5" s="1"/>
  <c r="J41" i="1"/>
  <c r="J50" i="1"/>
  <c r="D25" i="12"/>
  <c r="C19" i="1"/>
  <c r="C16" i="8"/>
  <c r="B6" i="12"/>
  <c r="B33" i="12" s="1"/>
  <c r="C16" i="7"/>
  <c r="C19" i="6"/>
  <c r="E20" i="12"/>
  <c r="Q81" i="12" s="1"/>
  <c r="Q84" i="12" s="1"/>
  <c r="E15" i="5"/>
  <c r="E32" i="5" s="1"/>
  <c r="M36" i="1"/>
  <c r="M18" i="1"/>
  <c r="E5" i="12"/>
  <c r="M20" i="1"/>
  <c r="E7" i="12"/>
  <c r="M28" i="1"/>
  <c r="E15" i="12"/>
  <c r="E22" i="12"/>
  <c r="C36" i="8"/>
  <c r="C63" i="8" s="1"/>
  <c r="E69" i="8" s="1"/>
  <c r="M38" i="1"/>
  <c r="M49" i="1"/>
  <c r="M40" i="1"/>
  <c r="E24" i="12"/>
  <c r="D6" i="12"/>
  <c r="J19" i="1"/>
  <c r="D14" i="12"/>
  <c r="J27" i="1"/>
  <c r="J38" i="1"/>
  <c r="D22" i="12"/>
  <c r="C36" i="7"/>
  <c r="A144" i="6"/>
  <c r="A3" i="6"/>
  <c r="A46" i="8"/>
  <c r="A92" i="7"/>
  <c r="A46" i="7"/>
  <c r="A95" i="6"/>
  <c r="A92" i="8"/>
  <c r="A141" i="7"/>
  <c r="A3" i="7"/>
  <c r="A3" i="5"/>
  <c r="A3" i="8"/>
  <c r="A141" i="8"/>
  <c r="A49" i="6"/>
  <c r="A3" i="1"/>
  <c r="C23" i="12"/>
  <c r="G48" i="1"/>
  <c r="C6" i="12"/>
  <c r="G6" i="12" s="1"/>
  <c r="G19" i="1"/>
  <c r="C10" i="12"/>
  <c r="G10" i="12" s="1"/>
  <c r="G23" i="1"/>
  <c r="C14" i="12"/>
  <c r="G14" i="12" s="1"/>
  <c r="G27" i="1"/>
  <c r="C16" i="12"/>
  <c r="G16" i="12" s="1"/>
  <c r="G29" i="1"/>
  <c r="D7" i="12"/>
  <c r="J20" i="1"/>
  <c r="J28" i="1"/>
  <c r="D15" i="12"/>
  <c r="J48" i="1"/>
  <c r="D23" i="12"/>
  <c r="J39" i="1"/>
  <c r="C23" i="6"/>
  <c r="C23" i="1"/>
  <c r="B10" i="12"/>
  <c r="B37" i="12" s="1"/>
  <c r="C20" i="7"/>
  <c r="C20" i="8"/>
  <c r="C29" i="1"/>
  <c r="C29" i="6"/>
  <c r="C58" i="6" s="1"/>
  <c r="C89" i="6" s="1"/>
  <c r="C26" i="7"/>
  <c r="C55" i="7" s="1"/>
  <c r="E86" i="7" s="1"/>
  <c r="B16" i="12"/>
  <c r="C26" i="8"/>
  <c r="C55" i="8" s="1"/>
  <c r="E23" i="12"/>
  <c r="M48" i="1"/>
  <c r="M39" i="1"/>
  <c r="P67" i="4"/>
  <c r="E6" i="12"/>
  <c r="M19" i="1"/>
  <c r="E10" i="12"/>
  <c r="M23" i="1"/>
  <c r="E14" i="12"/>
  <c r="M27" i="1"/>
  <c r="E16" i="12"/>
  <c r="M29" i="1"/>
  <c r="F92" i="4"/>
  <c r="J49" i="1"/>
  <c r="J40" i="1"/>
  <c r="D24" i="12"/>
  <c r="C5" i="12"/>
  <c r="G5" i="12" s="1"/>
  <c r="G18" i="1"/>
  <c r="C7" i="12"/>
  <c r="G7" i="12" s="1"/>
  <c r="G20" i="1"/>
  <c r="G24" i="1"/>
  <c r="C11" i="12"/>
  <c r="G11" i="12" s="1"/>
  <c r="G28" i="1"/>
  <c r="C15" i="12"/>
  <c r="G15" i="12" s="1"/>
  <c r="G38" i="1"/>
  <c r="C14" i="6"/>
  <c r="E39" i="6" s="1"/>
  <c r="C22" i="12"/>
  <c r="G22" i="12" s="1"/>
  <c r="G49" i="1"/>
  <c r="C24" i="12"/>
  <c r="C24" i="8"/>
  <c r="C53" i="8" s="1"/>
  <c r="E84" i="8" s="1"/>
  <c r="C27" i="1"/>
  <c r="B14" i="12"/>
  <c r="C24" i="7"/>
  <c r="C53" i="7" s="1"/>
  <c r="C27" i="6"/>
  <c r="C56" i="6" s="1"/>
  <c r="M50" i="1"/>
  <c r="M41" i="1"/>
  <c r="E25" i="12"/>
  <c r="M24" i="1"/>
  <c r="E11" i="12"/>
  <c r="E45" i="4"/>
  <c r="J18" i="1"/>
  <c r="D5" i="12"/>
  <c r="J24" i="1"/>
  <c r="D11" i="12"/>
  <c r="O67" i="4"/>
  <c r="V22" i="1"/>
  <c r="V21" i="1"/>
  <c r="C35" i="12"/>
  <c r="C40" i="12"/>
  <c r="Q31" i="1"/>
  <c r="AA21" i="1"/>
  <c r="Q25" i="1"/>
  <c r="V26" i="1"/>
  <c r="C54" i="7"/>
  <c r="C85" i="7" s="1"/>
  <c r="E40" i="12"/>
  <c r="Q22" i="1"/>
  <c r="V25" i="1"/>
  <c r="AA26" i="1"/>
  <c r="E35" i="12"/>
  <c r="Q30" i="1"/>
  <c r="C156" i="8"/>
  <c r="D39" i="12"/>
  <c r="C36" i="12"/>
  <c r="E39" i="12"/>
  <c r="D36" i="12"/>
  <c r="C39" i="12"/>
  <c r="E36" i="12"/>
  <c r="J55" i="12"/>
  <c r="E88" i="6"/>
  <c r="C39" i="6"/>
  <c r="D22" i="4"/>
  <c r="F22" i="4"/>
  <c r="Q26" i="1"/>
  <c r="V31" i="1"/>
  <c r="AA32" i="1"/>
  <c r="J3" i="12" l="1"/>
  <c r="C88" i="6"/>
  <c r="C33" i="12"/>
  <c r="B7" i="12"/>
  <c r="B34" i="12" s="1"/>
  <c r="C34" i="12" s="1"/>
  <c r="J38" i="12"/>
  <c r="K41" i="12" s="1"/>
  <c r="O38" i="12"/>
  <c r="L81" i="12"/>
  <c r="L84" i="12" s="1"/>
  <c r="C20" i="6"/>
  <c r="C44" i="6" s="1"/>
  <c r="P58" i="12"/>
  <c r="O58" i="12"/>
  <c r="Q58" i="12"/>
  <c r="Q6" i="12"/>
  <c r="P6" i="12"/>
  <c r="O6" i="12"/>
  <c r="C17" i="7"/>
  <c r="C41" i="7" s="1"/>
  <c r="C65" i="7" s="1"/>
  <c r="C20" i="1"/>
  <c r="O20" i="1" s="1"/>
  <c r="C45" i="4"/>
  <c r="E89" i="6"/>
  <c r="K81" i="12"/>
  <c r="K84" i="12" s="1"/>
  <c r="O68" i="12"/>
  <c r="O44" i="12"/>
  <c r="O16" i="12"/>
  <c r="O10" i="12"/>
  <c r="O55" i="12"/>
  <c r="D153" i="6"/>
  <c r="C86" i="7"/>
  <c r="D148" i="8"/>
  <c r="J68" i="12"/>
  <c r="K71" i="12" s="1"/>
  <c r="O3" i="12"/>
  <c r="J10" i="12"/>
  <c r="K13" i="12" s="1"/>
  <c r="J44" i="12"/>
  <c r="E33" i="12"/>
  <c r="C84" i="8"/>
  <c r="C37" i="12"/>
  <c r="C31" i="7"/>
  <c r="C59" i="6"/>
  <c r="D57" i="6" s="1"/>
  <c r="C38" i="12"/>
  <c r="D38" i="12"/>
  <c r="C41" i="8"/>
  <c r="C65" i="8" s="1"/>
  <c r="D26" i="12"/>
  <c r="G4" i="13" s="1"/>
  <c r="E38" i="12"/>
  <c r="E84" i="7"/>
  <c r="D148" i="7"/>
  <c r="C84" i="7"/>
  <c r="C99" i="7" s="1"/>
  <c r="C56" i="8"/>
  <c r="D55" i="8" s="1"/>
  <c r="D150" i="8"/>
  <c r="C86" i="8"/>
  <c r="E86" i="8"/>
  <c r="X24" i="1"/>
  <c r="O24" i="1"/>
  <c r="S24" i="1"/>
  <c r="C69" i="8"/>
  <c r="C156" i="7"/>
  <c r="C63" i="7"/>
  <c r="C31" i="8"/>
  <c r="D37" i="12"/>
  <c r="S27" i="1"/>
  <c r="R17" i="11" s="1"/>
  <c r="Y17" i="11" s="1"/>
  <c r="X27" i="1"/>
  <c r="Q17" i="11" s="1"/>
  <c r="X17" i="11" s="1"/>
  <c r="O27" i="1"/>
  <c r="P17" i="11" s="1"/>
  <c r="V17" i="11" s="1"/>
  <c r="W17" i="11" s="1"/>
  <c r="D45" i="4"/>
  <c r="C4" i="12"/>
  <c r="G17" i="1"/>
  <c r="O17" i="1" s="1"/>
  <c r="S23" i="1"/>
  <c r="O23" i="1"/>
  <c r="X23" i="1"/>
  <c r="C85" i="8"/>
  <c r="S17" i="1"/>
  <c r="D33" i="12"/>
  <c r="D150" i="7"/>
  <c r="B32" i="12"/>
  <c r="E32" i="12" s="1"/>
  <c r="O29" i="1"/>
  <c r="P18" i="11" s="1"/>
  <c r="V18" i="11" s="1"/>
  <c r="W18" i="11" s="1"/>
  <c r="X29" i="1"/>
  <c r="Q18" i="11" s="1"/>
  <c r="X18" i="11" s="1"/>
  <c r="S29" i="1"/>
  <c r="R18" i="11" s="1"/>
  <c r="Y18" i="11" s="1"/>
  <c r="S18" i="1"/>
  <c r="O18" i="1"/>
  <c r="X18" i="1"/>
  <c r="F45" i="4"/>
  <c r="E4" i="12"/>
  <c r="E26" i="12" s="1"/>
  <c r="H4" i="13" s="1"/>
  <c r="M17" i="1"/>
  <c r="X17" i="1" s="1"/>
  <c r="D149" i="8"/>
  <c r="B31" i="12"/>
  <c r="E37" i="12"/>
  <c r="X19" i="1"/>
  <c r="S19" i="1"/>
  <c r="O19" i="1"/>
  <c r="F26" i="5"/>
  <c r="D26" i="5"/>
  <c r="S28" i="1"/>
  <c r="X28" i="1"/>
  <c r="O28" i="1"/>
  <c r="C56" i="7"/>
  <c r="C64" i="7" s="1"/>
  <c r="C87" i="6"/>
  <c r="C102" i="6" s="1"/>
  <c r="D151" i="6"/>
  <c r="E85" i="7"/>
  <c r="E87" i="6"/>
  <c r="D149" i="7"/>
  <c r="K58" i="12"/>
  <c r="L58" i="12"/>
  <c r="J58" i="12"/>
  <c r="L6" i="12"/>
  <c r="K6" i="12"/>
  <c r="J6" i="12"/>
  <c r="C100" i="7"/>
  <c r="C109" i="8"/>
  <c r="A113" i="8" s="1"/>
  <c r="C66" i="6"/>
  <c r="C159" i="6"/>
  <c r="C101" i="7" l="1"/>
  <c r="B26" i="12"/>
  <c r="C87" i="7"/>
  <c r="E100" i="7" s="1"/>
  <c r="E34" i="12"/>
  <c r="L71" i="12"/>
  <c r="S20" i="1"/>
  <c r="D34" i="12"/>
  <c r="C68" i="6"/>
  <c r="C69" i="6" s="1"/>
  <c r="E71" i="6" s="1"/>
  <c r="C163" i="6"/>
  <c r="D56" i="6"/>
  <c r="C99" i="8"/>
  <c r="C116" i="8" s="1"/>
  <c r="L75" i="12"/>
  <c r="J13" i="12"/>
  <c r="P13" i="12"/>
  <c r="Q13" i="12"/>
  <c r="O13" i="12"/>
  <c r="L46" i="12"/>
  <c r="Q46" i="12"/>
  <c r="Q21" i="12"/>
  <c r="L21" i="12"/>
  <c r="Q41" i="12"/>
  <c r="P41" i="12"/>
  <c r="X20" i="1"/>
  <c r="Q71" i="12"/>
  <c r="P71" i="12"/>
  <c r="Q75" i="12"/>
  <c r="P75" i="12"/>
  <c r="C34" i="6"/>
  <c r="D59" i="6"/>
  <c r="D58" i="6"/>
  <c r="C67" i="6"/>
  <c r="K75" i="12"/>
  <c r="K77" i="12" s="1"/>
  <c r="L13" i="12"/>
  <c r="B30" i="12"/>
  <c r="C104" i="6"/>
  <c r="D31" i="12"/>
  <c r="C32" i="12"/>
  <c r="D32" i="12"/>
  <c r="C103" i="6"/>
  <c r="C105" i="6" s="1"/>
  <c r="C90" i="6"/>
  <c r="E104" i="6" s="1"/>
  <c r="C101" i="8"/>
  <c r="D118" i="8" s="1"/>
  <c r="L41" i="12"/>
  <c r="C100" i="8"/>
  <c r="E33" i="5"/>
  <c r="E35" i="5" s="1"/>
  <c r="D33" i="5"/>
  <c r="D35" i="5" s="1"/>
  <c r="G4" i="12"/>
  <c r="O41" i="12" s="1"/>
  <c r="C26" i="12"/>
  <c r="E69" i="7"/>
  <c r="C69" i="7"/>
  <c r="C109" i="7" s="1"/>
  <c r="A113" i="7" s="1"/>
  <c r="C160" i="7"/>
  <c r="D56" i="8"/>
  <c r="D53" i="8"/>
  <c r="C64" i="8"/>
  <c r="E66" i="8" s="1"/>
  <c r="C160" i="8"/>
  <c r="C87" i="8"/>
  <c r="E101" i="8" s="1"/>
  <c r="D54" i="8"/>
  <c r="D56" i="7"/>
  <c r="E31" i="12"/>
  <c r="D54" i="7"/>
  <c r="D53" i="7"/>
  <c r="D55" i="7"/>
  <c r="E99" i="7"/>
  <c r="E103" i="6"/>
  <c r="C102" i="7"/>
  <c r="C66" i="7"/>
  <c r="E66" i="7"/>
  <c r="E99" i="8"/>
  <c r="E101" i="7"/>
  <c r="E72" i="6"/>
  <c r="C72" i="6"/>
  <c r="L77" i="12" l="1"/>
  <c r="L88" i="12" s="1"/>
  <c r="L89" i="12" s="1"/>
  <c r="C71" i="6"/>
  <c r="C111" i="6" s="1"/>
  <c r="E69" i="6"/>
  <c r="D117" i="7"/>
  <c r="D116" i="8"/>
  <c r="C118" i="8"/>
  <c r="C102" i="8"/>
  <c r="P77" i="12"/>
  <c r="C117" i="8"/>
  <c r="P46" i="12"/>
  <c r="P21" i="12"/>
  <c r="K21" i="12"/>
  <c r="D117" i="8"/>
  <c r="E102" i="6"/>
  <c r="J46" i="12"/>
  <c r="O46" i="12"/>
  <c r="O21" i="12"/>
  <c r="J21" i="12"/>
  <c r="Q77" i="12"/>
  <c r="K46" i="12"/>
  <c r="E100" i="8"/>
  <c r="D118" i="7"/>
  <c r="C126" i="7"/>
  <c r="G26" i="12"/>
  <c r="F4" i="13" s="1"/>
  <c r="J41" i="12"/>
  <c r="C31" i="12"/>
  <c r="U18" i="1"/>
  <c r="U17" i="1"/>
  <c r="Z18" i="1"/>
  <c r="Z17" i="1"/>
  <c r="D116" i="7"/>
  <c r="C125" i="7"/>
  <c r="C66" i="8"/>
  <c r="E68" i="8" s="1"/>
  <c r="C127" i="7"/>
  <c r="C68" i="7"/>
  <c r="E68" i="7"/>
  <c r="C112" i="6"/>
  <c r="C73" i="6"/>
  <c r="A125" i="6"/>
  <c r="C129" i="6"/>
  <c r="C130" i="6"/>
  <c r="C128" i="6"/>
  <c r="D129" i="6"/>
  <c r="D130" i="6"/>
  <c r="D128" i="6"/>
  <c r="P88" i="12" l="1"/>
  <c r="P89" i="12" s="1"/>
  <c r="O88" i="12"/>
  <c r="O89" i="12" s="1"/>
  <c r="K88" i="12"/>
  <c r="K89" i="12" s="1"/>
  <c r="C68" i="8"/>
  <c r="C108" i="8" s="1"/>
  <c r="Q88" i="12"/>
  <c r="H10" i="13"/>
  <c r="L10" i="13" s="1"/>
  <c r="J88" i="12"/>
  <c r="C108" i="7"/>
  <c r="C70" i="7"/>
  <c r="C110" i="6"/>
  <c r="C160" i="6"/>
  <c r="A116" i="6"/>
  <c r="D120" i="6"/>
  <c r="C119" i="6"/>
  <c r="C120" i="6"/>
  <c r="D119" i="6"/>
  <c r="D121" i="6"/>
  <c r="C121" i="6"/>
  <c r="G12" i="13" l="1"/>
  <c r="K12" i="13" s="1"/>
  <c r="F12" i="13"/>
  <c r="J12" i="13" s="1"/>
  <c r="G10" i="13"/>
  <c r="K10" i="13" s="1"/>
  <c r="F10" i="13"/>
  <c r="J10" i="13" s="1"/>
  <c r="Q89" i="12"/>
  <c r="H12" i="13"/>
  <c r="L12" i="13" s="1"/>
  <c r="C70" i="8"/>
  <c r="C107" i="8" s="1"/>
  <c r="J89" i="12"/>
  <c r="C107" i="7"/>
  <c r="C157" i="7"/>
  <c r="A122" i="7"/>
  <c r="D127" i="7"/>
  <c r="D126" i="7"/>
  <c r="D125" i="7"/>
  <c r="C117" i="7"/>
  <c r="C118" i="7"/>
  <c r="C116" i="7"/>
  <c r="A122" i="8"/>
  <c r="C127" i="8"/>
  <c r="C125" i="8"/>
  <c r="D127" i="8"/>
  <c r="C126" i="8"/>
  <c r="D126" i="8"/>
  <c r="D125" i="8"/>
  <c r="D136" i="6"/>
  <c r="C136" i="6"/>
  <c r="C151" i="6" s="1"/>
  <c r="E161" i="6"/>
  <c r="C161" i="6"/>
  <c r="C137" i="6"/>
  <c r="C152" i="6" s="1"/>
  <c r="D137" i="6"/>
  <c r="D138" i="6"/>
  <c r="C138" i="6"/>
  <c r="C153" i="6" s="1"/>
  <c r="C157" i="8" l="1"/>
  <c r="E158" i="8" s="1"/>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C158" i="8" l="1"/>
  <c r="P27" i="1"/>
  <c r="Q27" i="1" s="1"/>
  <c r="V14" i="11" s="1"/>
  <c r="W14" i="11" s="1"/>
  <c r="P29" i="1"/>
  <c r="Q29" i="1" s="1"/>
  <c r="P23" i="1"/>
  <c r="Q23" i="1" s="1"/>
  <c r="P24" i="1"/>
  <c r="Q24" i="1" s="1"/>
  <c r="P20" i="1"/>
  <c r="Q20" i="1" s="1"/>
  <c r="P18" i="1"/>
  <c r="Q18" i="1" s="1"/>
  <c r="K109" i="4" s="1"/>
  <c r="P17" i="1"/>
  <c r="Q17" i="1" s="1"/>
  <c r="P19" i="1"/>
  <c r="Q19" i="1" s="1"/>
  <c r="P28" i="1"/>
  <c r="Q28" i="1" s="1"/>
  <c r="F148" i="7"/>
  <c r="E148" i="7"/>
  <c r="F149" i="7"/>
  <c r="E149" i="7"/>
  <c r="E150" i="8"/>
  <c r="F150" i="8"/>
  <c r="F150" i="7"/>
  <c r="E150" i="7"/>
  <c r="E148" i="8"/>
  <c r="F148" i="8"/>
  <c r="E162" i="8"/>
  <c r="C162" i="8"/>
  <c r="E162" i="7"/>
  <c r="C162" i="7"/>
  <c r="F149" i="8"/>
  <c r="E149" i="8"/>
  <c r="P16" i="11" l="1"/>
  <c r="V16" i="11"/>
  <c r="W16" i="11" s="1"/>
  <c r="K110" i="4"/>
  <c r="K111" i="4"/>
  <c r="K87" i="4"/>
  <c r="K108" i="4"/>
  <c r="K81" i="4"/>
  <c r="K102" i="4"/>
  <c r="K106" i="4"/>
  <c r="K105" i="4"/>
  <c r="K104" i="4"/>
  <c r="K103" i="4"/>
  <c r="K107" i="4"/>
  <c r="K80" i="4"/>
  <c r="K101" i="4"/>
  <c r="K79" i="4"/>
  <c r="K100" i="4"/>
  <c r="K99" i="4"/>
  <c r="K98" i="4"/>
  <c r="K85" i="4"/>
  <c r="K84" i="4"/>
  <c r="K83" i="4"/>
  <c r="K82" i="4"/>
  <c r="K86" i="4"/>
  <c r="P14" i="11"/>
  <c r="K88" i="4"/>
  <c r="K90" i="4"/>
  <c r="K89" i="4"/>
  <c r="K77" i="4"/>
  <c r="K78" i="4"/>
  <c r="P13" i="11"/>
  <c r="V13" i="11"/>
  <c r="W13" i="11" s="1"/>
  <c r="P12" i="11"/>
  <c r="V12" i="11"/>
  <c r="W12" i="11" s="1"/>
  <c r="P11" i="11"/>
  <c r="V11" i="11"/>
  <c r="Y29" i="1"/>
  <c r="AA29" i="1" s="1"/>
  <c r="Y19" i="1"/>
  <c r="AA19" i="1" s="1"/>
  <c r="Y17" i="1"/>
  <c r="AA17" i="1" s="1"/>
  <c r="Y24" i="1"/>
  <c r="AA24" i="1" s="1"/>
  <c r="Y23" i="1"/>
  <c r="AA23" i="1" s="1"/>
  <c r="Y20" i="1"/>
  <c r="AA20" i="1" s="1"/>
  <c r="Y18" i="1"/>
  <c r="AA18" i="1" s="1"/>
  <c r="J109" i="4" s="1"/>
  <c r="T28" i="1"/>
  <c r="V28" i="1" s="1"/>
  <c r="T27" i="1"/>
  <c r="V27" i="1" s="1"/>
  <c r="Y14" i="11" s="1"/>
  <c r="Y27" i="1"/>
  <c r="AA27" i="1" s="1"/>
  <c r="X14" i="11" s="1"/>
  <c r="Y28" i="1"/>
  <c r="AA28" i="1" s="1"/>
  <c r="T29" i="1"/>
  <c r="V29" i="1" s="1"/>
  <c r="T20" i="1"/>
  <c r="V20" i="1" s="1"/>
  <c r="T17" i="1"/>
  <c r="V17" i="1" s="1"/>
  <c r="T19" i="1"/>
  <c r="V19" i="1" s="1"/>
  <c r="T18" i="1"/>
  <c r="V18" i="1" s="1"/>
  <c r="I109" i="4" s="1"/>
  <c r="T24" i="1"/>
  <c r="V24" i="1" s="1"/>
  <c r="T23" i="1"/>
  <c r="V23" i="1" s="1"/>
  <c r="P15" i="11"/>
  <c r="V15" i="11"/>
  <c r="W15" i="11" s="1"/>
  <c r="Q16" i="11" l="1"/>
  <c r="X16" i="11"/>
  <c r="R16" i="11"/>
  <c r="Y16" i="11"/>
  <c r="I111" i="4"/>
  <c r="I110" i="4"/>
  <c r="I80" i="4"/>
  <c r="I101" i="4"/>
  <c r="I87" i="4"/>
  <c r="I108" i="4"/>
  <c r="J79" i="4"/>
  <c r="J100" i="4"/>
  <c r="J99" i="4"/>
  <c r="J98" i="4"/>
  <c r="I81" i="4"/>
  <c r="I102" i="4"/>
  <c r="I99" i="4"/>
  <c r="I98" i="4"/>
  <c r="J80" i="4"/>
  <c r="J101" i="4"/>
  <c r="J111" i="4"/>
  <c r="J110" i="4"/>
  <c r="J107" i="4"/>
  <c r="J106" i="4"/>
  <c r="J104" i="4"/>
  <c r="J105" i="4"/>
  <c r="J103" i="4"/>
  <c r="I79" i="4"/>
  <c r="I100" i="4"/>
  <c r="J81" i="4"/>
  <c r="J102" i="4"/>
  <c r="J87" i="4"/>
  <c r="J108" i="4"/>
  <c r="I105" i="4"/>
  <c r="I104" i="4"/>
  <c r="I103" i="4"/>
  <c r="I106" i="4"/>
  <c r="I107" i="4"/>
  <c r="K113" i="4"/>
  <c r="Q14" i="11"/>
  <c r="J88" i="4"/>
  <c r="I89" i="4"/>
  <c r="I90" i="4"/>
  <c r="I86" i="4"/>
  <c r="I85" i="4"/>
  <c r="I84" i="4"/>
  <c r="I82" i="4"/>
  <c r="I83" i="4"/>
  <c r="J90" i="4"/>
  <c r="J89" i="4"/>
  <c r="J78" i="4"/>
  <c r="J77" i="4"/>
  <c r="I78" i="4"/>
  <c r="I77" i="4"/>
  <c r="K92" i="4"/>
  <c r="J83" i="4"/>
  <c r="J82" i="4"/>
  <c r="J86" i="4"/>
  <c r="J84" i="4"/>
  <c r="J85" i="4"/>
  <c r="R14" i="11"/>
  <c r="I88" i="4"/>
  <c r="R15" i="11"/>
  <c r="Y15" i="11"/>
  <c r="R13" i="11"/>
  <c r="Y13" i="11"/>
  <c r="R12" i="11"/>
  <c r="Y12" i="11"/>
  <c r="Q11" i="11"/>
  <c r="X11" i="11"/>
  <c r="R11" i="11"/>
  <c r="Y11" i="11"/>
  <c r="Q13" i="11"/>
  <c r="X13" i="11"/>
  <c r="Q12" i="11"/>
  <c r="X12" i="11"/>
  <c r="Q15" i="11"/>
  <c r="X15" i="11"/>
  <c r="V29" i="11"/>
  <c r="F6" i="13" s="1"/>
  <c r="J6" i="13" s="1"/>
  <c r="W11" i="11"/>
  <c r="V35" i="11"/>
  <c r="V34" i="11"/>
  <c r="V26" i="11"/>
  <c r="V36" i="11"/>
  <c r="V31" i="11"/>
  <c r="F8" i="13" s="1"/>
  <c r="J92" i="4" l="1"/>
  <c r="I113" i="4"/>
  <c r="K116" i="4"/>
  <c r="J4" i="13" s="1"/>
  <c r="J20" i="13" s="1"/>
  <c r="J113" i="4"/>
  <c r="I92" i="4"/>
  <c r="F21" i="13"/>
  <c r="J8" i="13"/>
  <c r="J21" i="13" s="1"/>
  <c r="W34" i="11"/>
  <c r="W29" i="11"/>
  <c r="W35" i="11"/>
  <c r="W31" i="11"/>
  <c r="W26" i="11"/>
  <c r="W36" i="11"/>
  <c r="Y31" i="11"/>
  <c r="G8" i="13" s="1"/>
  <c r="Y34" i="11"/>
  <c r="Y29" i="11"/>
  <c r="Y36" i="11"/>
  <c r="Y26" i="11"/>
  <c r="Y35" i="11"/>
  <c r="F15" i="13"/>
  <c r="F20" i="13"/>
  <c r="X31" i="11"/>
  <c r="H8" i="13" s="1"/>
  <c r="X29" i="11"/>
  <c r="X35" i="11"/>
  <c r="X36" i="11"/>
  <c r="X26" i="11"/>
  <c r="X34" i="11"/>
  <c r="G6" i="13" l="1"/>
  <c r="K6" i="13" s="1"/>
  <c r="H6" i="13"/>
  <c r="L6" i="13" s="1"/>
  <c r="J116" i="4"/>
  <c r="L4" i="13" s="1"/>
  <c r="I116" i="4"/>
  <c r="K4" i="13" s="1"/>
  <c r="J22" i="13"/>
  <c r="H21" i="13"/>
  <c r="L8" i="13"/>
  <c r="L21" i="13" s="1"/>
  <c r="F22" i="13"/>
  <c r="J15" i="13"/>
  <c r="G21" i="13"/>
  <c r="K8" i="13"/>
  <c r="K21" i="13" s="1"/>
  <c r="G15" i="13"/>
  <c r="G20" i="13"/>
  <c r="F17" i="13"/>
  <c r="F16" i="13"/>
  <c r="H15" i="13" l="1"/>
  <c r="K20" i="13"/>
  <c r="K22" i="13" s="1"/>
  <c r="H20" i="13"/>
  <c r="H22" i="13" s="1"/>
  <c r="L20" i="13"/>
  <c r="L22" i="13" s="1"/>
  <c r="K15" i="13"/>
  <c r="K17" i="13" s="1"/>
  <c r="G22" i="13"/>
  <c r="J17" i="13"/>
  <c r="J16" i="13"/>
  <c r="L15" i="13"/>
  <c r="H17" i="13"/>
  <c r="H16" i="13"/>
  <c r="G17" i="13"/>
  <c r="G16" i="13"/>
  <c r="K16" i="13" l="1"/>
  <c r="L17" i="13"/>
  <c r="L16" i="13"/>
</calcChain>
</file>

<file path=xl/sharedStrings.xml><?xml version="1.0" encoding="utf-8"?>
<sst xmlns="http://schemas.openxmlformats.org/spreadsheetml/2006/main" count="1191" uniqueCount="534">
  <si>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</si>
  <si>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</si>
  <si>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</si>
  <si>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</si>
  <si>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</si>
  <si>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</si>
  <si>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</si>
  <si>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</si>
  <si>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</si>
  <si>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</si>
  <si>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</si>
  <si>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</si>
  <si>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</si>
  <si>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</si>
  <si>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</si>
  <si>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</si>
  <si>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</si>
  <si>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</si>
  <si>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</si>
  <si>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</si>
  <si>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</si>
  <si>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</si>
  <si>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</si>
  <si>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</si>
  <si>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</si>
  <si>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</si>
  <si>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</si>
  <si>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</si>
  <si>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</si>
  <si>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</si>
  <si>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</si>
  <si>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</si>
  <si>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</si>
  <si>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</si>
  <si>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</si>
  <si>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</si>
  <si>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</si>
  <si>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</si>
  <si>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</si>
  <si>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</si>
  <si>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</si>
  <si>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</si>
  <si>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</si>
  <si>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</si>
  <si>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</si>
  <si>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</si>
  <si>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</si>
  <si>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</si>
  <si>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</si>
  <si>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</si>
  <si>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</si>
  <si>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</si>
  <si>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</si>
  <si>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</si>
  <si>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</si>
  <si>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</si>
  <si>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</si>
  <si>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</si>
  <si>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</si>
  <si>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</si>
  <si>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</si>
  <si>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</si>
  <si>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</si>
  <si>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</si>
  <si>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</si>
  <si>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</si>
  <si>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</si>
  <si>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</si>
  <si>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</si>
  <si>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</si>
  <si>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</si>
  <si>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</si>
  <si>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</si>
  <si>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</si>
  <si>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</si>
  <si>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</si>
  <si>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</si>
  <si>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</si>
  <si>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</si>
  <si>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</si>
  <si>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</si>
  <si>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</si>
  <si>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</si>
  <si>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</si>
  <si>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</si>
  <si>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</si>
  <si>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</si>
  <si>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</si>
  <si>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</si>
  <si>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</si>
  <si>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</si>
  <si>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</si>
  <si>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</si>
  <si>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</si>
  <si>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</si>
  <si>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</si>
  <si>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</si>
  <si>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</si>
  <si>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</si>
  <si>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</si>
  <si>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</si>
  <si>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</si>
  <si>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</si>
  <si>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</si>
  <si>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</si>
  <si>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</si>
  <si>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</si>
  <si>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</si>
  <si>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</si>
  <si>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</si>
  <si>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</si>
  <si>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</si>
  <si>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</si>
  <si>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</si>
  <si>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</si>
  <si>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</si>
  <si>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</si>
  <si>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</si>
  <si>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</si>
  <si>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</si>
  <si>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</si>
  <si>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</si>
  <si>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</si>
  <si>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</si>
  <si>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</si>
  <si>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</si>
  <si>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</si>
  <si>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</si>
  <si>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</si>
  <si>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</si>
  <si>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</si>
  <si>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</si>
  <si>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</si>
  <si>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</si>
  <si>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</si>
  <si>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</si>
  <si>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</si>
  <si>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</si>
  <si>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</si>
  <si>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</si>
  <si>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</si>
  <si>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</si>
  <si>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</si>
  <si>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</si>
  <si>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</si>
  <si>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</si>
  <si>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</si>
  <si>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</si>
  <si>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</si>
  <si>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</si>
  <si>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</si>
  <si>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</si>
  <si>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</si>
  <si>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</si>
  <si>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</si>
  <si>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</si>
  <si>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</si>
  <si>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</si>
  <si>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</si>
  <si>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</si>
  <si>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</si>
  <si>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</si>
  <si>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</si>
  <si>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</si>
  <si>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</si>
  <si>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</si>
  <si>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</si>
  <si>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</si>
  <si>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</si>
  <si>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</si>
  <si>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</si>
  <si>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</si>
  <si>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</si>
  <si>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</si>
  <si>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</si>
  <si>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</si>
  <si>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</si>
  <si>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</si>
  <si>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</si>
  <si>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</si>
  <si>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</si>
  <si>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</si>
  <si>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</si>
  <si>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</si>
  <si>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</si>
  <si>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</si>
  <si>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</si>
  <si>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</si>
  <si>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</si>
  <si>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</si>
  <si>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</si>
  <si>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</si>
  <si>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</si>
  <si>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</si>
  <si>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</si>
  <si>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</si>
  <si>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</si>
  <si>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</si>
  <si>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</si>
  <si>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</si>
  <si>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</si>
  <si>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</si>
  <si>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</si>
  <si>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</si>
  <si>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</si>
  <si>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</si>
  <si>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</si>
  <si>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</si>
  <si>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</si>
  <si>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</si>
  <si>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</si>
  <si>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</si>
  <si>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</si>
  <si>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</si>
  <si>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</si>
  <si>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</si>
  <si>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</si>
  <si>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</si>
  <si>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</si>
  <si>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</si>
  <si>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</si>
  <si>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</si>
  <si>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</si>
  <si>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</si>
  <si>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</si>
  <si>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</si>
  <si>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</si>
  <si>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</si>
  <si>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</si>
  <si>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</si>
  <si>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</si>
  <si>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</si>
  <si>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</si>
  <si>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</si>
  <si>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</si>
  <si>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</si>
  <si>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</si>
  <si>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</si>
  <si>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</si>
  <si>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</si>
  <si>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</si>
  <si>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</si>
  <si>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</si>
  <si>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</si>
  <si>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</si>
  <si>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</si>
  <si>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</si>
  <si>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</si>
  <si>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</si>
  <si>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</si>
  <si>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</si>
  <si>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</si>
  <si>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</si>
  <si>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</si>
  <si>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</si>
  <si>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</si>
  <si>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</si>
  <si>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</si>
  <si>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</si>
  <si>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</si>
  <si>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</si>
  <si>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</si>
  <si>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</si>
  <si>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</si>
  <si>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</si>
  <si>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</si>
  <si>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</si>
  <si>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</si>
  <si>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</si>
  <si>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</si>
  <si>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</si>
  <si>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</si>
  <si>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</si>
  <si>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</si>
  <si>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</si>
  <si>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</si>
  <si>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</si>
  <si>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</si>
  <si>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</si>
  <si>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</si>
  <si>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</si>
  <si>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</si>
  <si>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</si>
  <si>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</si>
  <si>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</si>
  <si>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</si>
  <si>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</si>
  <si>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</si>
  <si>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</si>
  <si>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</si>
  <si>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</si>
  <si>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</si>
  <si>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</si>
  <si>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</si>
  <si>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</si>
  <si>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</si>
  <si>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</si>
  <si>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</si>
  <si>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</si>
  <si>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</si>
  <si>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</si>
  <si>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</si>
  <si>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</si>
  <si>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</si>
  <si>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</si>
  <si>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</si>
  <si>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</si>
  <si>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</si>
  <si>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</si>
  <si>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</si>
  <si>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</si>
  <si>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</si>
  <si>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</si>
  <si>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</si>
  <si>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</si>
  <si>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</si>
  <si>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</si>
  <si>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</si>
  <si>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</si>
  <si>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</si>
  <si>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</si>
  <si>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</si>
  <si>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</si>
  <si>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</si>
  <si>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</si>
  <si>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</si>
  <si>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</si>
  <si>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</si>
  <si>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</si>
  <si>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</si>
  <si>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</si>
  <si>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</si>
  <si>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</si>
  <si>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</si>
  <si>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</si>
  <si>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</si>
  <si>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</si>
  <si>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</si>
  <si>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</si>
  <si>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</si>
  <si>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</si>
  <si>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</si>
  <si>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</si>
  <si>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</si>
  <si>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</si>
  <si>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</si>
  <si>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</si>
  <si>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</si>
  <si>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</si>
  <si>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</si>
  <si>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</si>
  <si>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</si>
  <si>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</si>
  <si>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</si>
  <si>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</si>
  <si>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</si>
  <si>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</si>
  <si>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</si>
  <si>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</si>
  <si>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</si>
  <si>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</si>
  <si>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</si>
  <si>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</si>
  <si>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</si>
  <si>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</si>
  <si>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</si>
  <si>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</si>
  <si>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</si>
  <si>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</si>
  <si>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</si>
  <si>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</si>
  <si>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</si>
  <si>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</si>
  <si>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</si>
  <si>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</si>
  <si>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</si>
  <si>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</si>
  <si>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</si>
  <si>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</si>
  <si>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</si>
  <si>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</si>
  <si>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</si>
  <si>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</si>
  <si>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</si>
  <si>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</si>
  <si>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</si>
  <si>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</si>
  <si>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</si>
  <si>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</si>
  <si>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</si>
  <si>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</si>
  <si>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</si>
  <si>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</si>
  <si>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</si>
  <si>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</si>
  <si>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</si>
  <si>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</si>
  <si>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</si>
  <si>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</si>
  <si>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</si>
  <si>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</si>
  <si>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</si>
  <si>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</si>
  <si>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</si>
  <si>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</si>
  <si>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</si>
  <si>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</si>
  <si>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</si>
  <si>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</si>
  <si>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</si>
  <si>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</si>
  <si>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</si>
  <si>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</si>
  <si>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</si>
  <si>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</si>
  <si>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</si>
  <si>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</si>
  <si>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</si>
  <si>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</si>
  <si>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</si>
  <si>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</si>
  <si>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</si>
  <si>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</si>
  <si>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</si>
  <si>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</si>
  <si>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</si>
  <si>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</si>
  <si>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</si>
  <si>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</si>
  <si>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</si>
  <si>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</si>
  <si>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</si>
  <si>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</si>
  <si>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</si>
  <si>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</si>
  <si>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</si>
  <si>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</si>
  <si>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</si>
  <si>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</si>
  <si>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</si>
  <si>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</si>
  <si>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</si>
  <si>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</si>
  <si>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</si>
  <si>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</si>
  <si>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</si>
  <si>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</si>
  <si>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</si>
  <si>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</si>
  <si>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</si>
  <si>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</si>
  <si>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</si>
  <si>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</si>
  <si>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</si>
  <si>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</si>
  <si>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</si>
  <si>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</si>
  <si>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</si>
  <si>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</si>
  <si>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</si>
  <si>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</si>
  <si>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</si>
  <si>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</si>
  <si>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</si>
  <si>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</si>
  <si>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</si>
  <si>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</si>
  <si>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</si>
  <si>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</si>
  <si>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</si>
  <si>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</si>
  <si>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</si>
  <si>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</si>
  <si>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</si>
  <si>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</si>
  <si>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</si>
  <si>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</si>
  <si>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</si>
  <si>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</si>
  <si>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</si>
  <si>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</si>
  <si>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</si>
  <si>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</si>
  <si>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</si>
  <si>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</si>
  <si>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</si>
  <si>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</si>
  <si>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</si>
  <si>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</si>
  <si>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</si>
  <si>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</si>
  <si>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</si>
  <si>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</si>
  <si>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</si>
  <si>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</si>
  <si>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</si>
  <si>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</si>
  <si>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</si>
  <si>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</si>
  <si>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</si>
  <si>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</si>
  <si>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</si>
  <si>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</si>
  <si>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</si>
  <si>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</si>
  <si>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</si>
  <si>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</si>
  <si>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</si>
  <si>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</si>
  <si>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</si>
  <si>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</si>
  <si>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</si>
  <si>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r>
      <rPr>
        <b/>
        <sz val="11"/>
        <color theme="1"/>
        <rFont val="Calibri"/>
        <family val="2"/>
        <scheme val="minor"/>
      </rPr>
      <t>Detailed Instructions</t>
    </r>
    <r>
      <rPr>
        <sz val="11"/>
        <color theme="1"/>
        <rFont val="Calibri"/>
        <family val="2"/>
        <scheme val="minor"/>
      </rPr>
      <t xml:space="preserve"> are provied in a user manual that can be obtained at the following link:</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</si>
  <si>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</si>
  <si>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</si>
  <si>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</si>
  <si>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</si>
  <si>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</si>
  <si>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</si>
  <si>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</si>
  <si>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</si>
  <si>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</si>
  <si>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</si>
  <si>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</si>
  <si>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</si>
  <si>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</si>
  <si>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</si>
  <si>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</si>
  <si>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</si>
  <si>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Upper Wissahickon</t>
  </si>
  <si>
    <t>Available stream length (ft) in Non-Ag Areas in the entire watershed (from MMW Output tab)</t>
  </si>
  <si>
    <t>Available stream length (ft) in Non-Ag Areas in the smaller target area (from MMW Output tab)</t>
  </si>
  <si>
    <t>(Note: The values below only pertain to the smaller target area)</t>
  </si>
  <si>
    <t>2018-09-14 at 1:00pm ET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</si>
</sst>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 numFmtId="172" formatCode="0_);\(0\)"/>
  </numFmts>
  <fonts count="8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s>
  <fills count="4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s>
  <borders count="92">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43" fontId="8" fillId="0" borderId="0" applyFont="0" applyFill="0" applyBorder="0" applyAlignment="0" applyProtection="0"/>
    <xf numFmtId="0" fontId="9" fillId="0" borderId="0"/>
    <xf numFmtId="43" fontId="9" fillId="0" borderId="0" applyFont="0" applyFill="0" applyBorder="0" applyAlignment="0" applyProtection="0"/>
    <xf numFmtId="9" fontId="9" fillId="0" borderId="0" applyFont="0" applyFill="0" applyBorder="0" applyAlignment="0" applyProtection="0"/>
    <xf numFmtId="0" fontId="41" fillId="0" borderId="0" applyNumberFormat="0" applyFill="0" applyBorder="0" applyAlignment="0" applyProtection="0"/>
    <xf numFmtId="0" fontId="46" fillId="0" borderId="0" applyNumberFormat="0" applyFill="0" applyBorder="0" applyAlignment="0" applyProtection="0"/>
    <xf numFmtId="0" fontId="70" fillId="0" borderId="0" applyNumberFormat="0" applyFill="0" applyBorder="0" applyAlignment="0" applyProtection="0"/>
    <xf numFmtId="0" fontId="71" fillId="0" borderId="83" applyNumberFormat="0" applyFill="0" applyAlignment="0" applyProtection="0"/>
    <xf numFmtId="0" fontId="72" fillId="0" borderId="84" applyNumberFormat="0" applyFill="0" applyAlignment="0" applyProtection="0"/>
    <xf numFmtId="0" fontId="73" fillId="0" borderId="85" applyNumberFormat="0" applyFill="0" applyAlignment="0" applyProtection="0"/>
    <xf numFmtId="0" fontId="73" fillId="0" borderId="0" applyNumberFormat="0" applyFill="0" applyBorder="0" applyAlignment="0" applyProtection="0"/>
    <xf numFmtId="0" fontId="74" fillId="10" borderId="0" applyNumberFormat="0" applyBorder="0" applyAlignment="0" applyProtection="0"/>
    <xf numFmtId="0" fontId="75" fillId="11" borderId="0" applyNumberFormat="0" applyBorder="0" applyAlignment="0" applyProtection="0"/>
    <xf numFmtId="0" fontId="76" fillId="12" borderId="0" applyNumberFormat="0" applyBorder="0" applyAlignment="0" applyProtection="0"/>
    <xf numFmtId="0" fontId="77" fillId="13" borderId="86" applyNumberFormat="0" applyAlignment="0" applyProtection="0"/>
    <xf numFmtId="0" fontId="78" fillId="14" borderId="87" applyNumberFormat="0" applyAlignment="0" applyProtection="0"/>
    <xf numFmtId="0" fontId="79" fillId="14" borderId="86" applyNumberFormat="0" applyAlignment="0" applyProtection="0"/>
    <xf numFmtId="0" fontId="80" fillId="0" borderId="88" applyNumberFormat="0" applyFill="0" applyAlignment="0" applyProtection="0"/>
    <xf numFmtId="0" fontId="51" fillId="15" borderId="89" applyNumberFormat="0" applyAlignment="0" applyProtection="0"/>
    <xf numFmtId="0" fontId="12" fillId="0" borderId="0" applyNumberFormat="0" applyFill="0" applyBorder="0" applyAlignment="0" applyProtection="0"/>
    <xf numFmtId="0" fontId="81" fillId="0" borderId="0" applyNumberFormat="0" applyFill="0" applyBorder="0" applyAlignment="0" applyProtection="0"/>
    <xf numFmtId="0" fontId="10" fillId="0" borderId="91" applyNumberFormat="0" applyFill="0" applyAlignment="0" applyProtection="0"/>
    <xf numFmtId="0" fontId="8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82" fillId="28" borderId="0" applyNumberFormat="0" applyBorder="0" applyAlignment="0" applyProtection="0"/>
    <xf numFmtId="0" fontId="8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82" fillId="32" borderId="0" applyNumberFormat="0" applyBorder="0" applyAlignment="0" applyProtection="0"/>
    <xf numFmtId="0" fontId="82"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82" fillId="36" borderId="0" applyNumberFormat="0" applyBorder="0" applyAlignment="0" applyProtection="0"/>
    <xf numFmtId="0" fontId="82"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82" fillId="40" borderId="0" applyNumberFormat="0" applyBorder="0" applyAlignment="0" applyProtection="0"/>
    <xf numFmtId="0" fontId="6" fillId="0" borderId="0"/>
    <xf numFmtId="0" fontId="6" fillId="16" borderId="90"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24" fillId="0" borderId="0"/>
    <xf numFmtId="9" fontId="24" fillId="0" borderId="0" applyFont="0" applyFill="0" applyBorder="0" applyAlignment="0" applyProtection="0"/>
    <xf numFmtId="0" fontId="3" fillId="0" borderId="0"/>
  </cellStyleXfs>
  <cellXfs count="543">
    <xf numFmtId="0" fontId="0" fillId="0" borderId="0" xfId="0"/>
    <xf numFmtId="0" fontId="9" fillId="0" borderId="0" xfId="2"/>
    <xf numFmtId="0" fontId="10" fillId="0" borderId="0" xfId="2" applyFont="1" applyAlignment="1">
      <alignment horizontal="justify" vertical="center"/>
    </xf>
    <xf numFmtId="0" fontId="9" fillId="0" borderId="0" xfId="2" applyAlignment="1">
      <alignment wrapText="1"/>
    </xf>
    <xf numFmtId="0" fontId="10" fillId="0" borderId="0" xfId="2" applyFont="1"/>
    <xf numFmtId="0" fontId="10" fillId="0" borderId="0" xfId="2" applyFont="1" applyAlignment="1">
      <alignment wrapText="1"/>
    </xf>
    <xf numFmtId="0" fontId="17" fillId="0" borderId="0" xfId="0" applyFont="1"/>
    <xf numFmtId="0" fontId="18" fillId="0" borderId="0" xfId="0" applyFont="1"/>
    <xf numFmtId="0" fontId="18" fillId="0" borderId="0" xfId="0" applyFont="1" applyAlignment="1">
      <alignment horizontal="right"/>
    </xf>
    <xf numFmtId="0" fontId="18" fillId="0" borderId="0" xfId="0" applyFont="1" applyFill="1"/>
    <xf numFmtId="0" fontId="18" fillId="0" borderId="0" xfId="0" applyFont="1" applyAlignment="1"/>
    <xf numFmtId="0" fontId="19" fillId="0" borderId="0" xfId="0" applyFont="1"/>
    <xf numFmtId="0" fontId="16" fillId="0" borderId="0" xfId="0" applyFont="1"/>
    <xf numFmtId="0" fontId="20" fillId="0" borderId="0" xfId="0" applyFont="1"/>
    <xf numFmtId="0" fontId="20" fillId="0" borderId="0" xfId="0" applyFont="1" applyFill="1"/>
    <xf numFmtId="0" fontId="21" fillId="0" borderId="0" xfId="0" applyFont="1" applyAlignment="1">
      <alignment horizontal="right"/>
    </xf>
    <xf numFmtId="0" fontId="21" fillId="0" borderId="0" xfId="0" applyFont="1" applyBorder="1" applyAlignment="1">
      <alignment horizontal="center"/>
    </xf>
    <xf numFmtId="0" fontId="18" fillId="0" borderId="1" xfId="0" applyFont="1" applyBorder="1"/>
    <xf numFmtId="0" fontId="18" fillId="0" borderId="2" xfId="0" applyFont="1" applyBorder="1"/>
    <xf numFmtId="0" fontId="18" fillId="0" borderId="3" xfId="0" applyFont="1" applyBorder="1"/>
    <xf numFmtId="0" fontId="18" fillId="0" borderId="5" xfId="0" applyFont="1" applyFill="1" applyBorder="1"/>
    <xf numFmtId="0" fontId="21" fillId="0" borderId="6" xfId="0" applyFont="1" applyFill="1" applyBorder="1" applyAlignment="1">
      <alignment wrapText="1"/>
    </xf>
    <xf numFmtId="0" fontId="21" fillId="0" borderId="7" xfId="0" applyFont="1" applyFill="1" applyBorder="1" applyAlignment="1">
      <alignment horizontal="center" wrapText="1"/>
    </xf>
    <xf numFmtId="0" fontId="21" fillId="0" borderId="8" xfId="0" applyFont="1" applyFill="1" applyBorder="1" applyAlignment="1">
      <alignment horizontal="center" wrapText="1"/>
    </xf>
    <xf numFmtId="0" fontId="21" fillId="0" borderId="9" xfId="0" applyFont="1" applyFill="1" applyBorder="1" applyAlignment="1">
      <alignment horizontal="center" wrapText="1"/>
    </xf>
    <xf numFmtId="0" fontId="18" fillId="0" borderId="10" xfId="0" applyFont="1" applyBorder="1" applyAlignment="1">
      <alignment horizontal="center" wrapText="1"/>
    </xf>
    <xf numFmtId="0" fontId="18" fillId="0" borderId="8" xfId="0" applyFont="1" applyBorder="1" applyAlignment="1">
      <alignment horizontal="center" wrapText="1"/>
    </xf>
    <xf numFmtId="0" fontId="21" fillId="0" borderId="11" xfId="0" applyFont="1" applyBorder="1" applyAlignment="1">
      <alignment horizontal="center" wrapText="1"/>
    </xf>
    <xf numFmtId="0" fontId="18" fillId="0" borderId="0" xfId="0" applyFont="1" applyFill="1" applyBorder="1" applyAlignment="1">
      <alignment horizontal="center" wrapText="1"/>
    </xf>
    <xf numFmtId="0" fontId="22" fillId="0" borderId="12" xfId="0" applyFont="1" applyFill="1" applyBorder="1" applyAlignment="1">
      <alignment vertical="center" wrapText="1"/>
    </xf>
    <xf numFmtId="0" fontId="22" fillId="0" borderId="13"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18" fillId="0" borderId="16" xfId="0" applyFont="1" applyBorder="1" applyAlignment="1">
      <alignment horizontal="center"/>
    </xf>
    <xf numFmtId="0" fontId="18" fillId="0" borderId="14" xfId="0" applyFont="1" applyBorder="1" applyAlignment="1">
      <alignment horizontal="center"/>
    </xf>
    <xf numFmtId="0" fontId="18" fillId="0" borderId="17" xfId="0" applyFont="1" applyBorder="1" applyAlignment="1">
      <alignment horizontal="center"/>
    </xf>
    <xf numFmtId="0" fontId="18" fillId="0" borderId="0" xfId="0" applyFont="1" applyFill="1" applyBorder="1" applyAlignment="1">
      <alignment horizontal="center"/>
    </xf>
    <xf numFmtId="0" fontId="18" fillId="0" borderId="0" xfId="0" applyFont="1" applyFill="1" applyBorder="1"/>
    <xf numFmtId="0" fontId="18" fillId="0" borderId="14" xfId="0" applyFont="1" applyBorder="1"/>
    <xf numFmtId="4" fontId="25" fillId="2" borderId="19" xfId="0" applyNumberFormat="1" applyFont="1" applyFill="1" applyBorder="1" applyAlignment="1">
      <alignment horizontal="right" indent="3"/>
    </xf>
    <xf numFmtId="4" fontId="24" fillId="2" borderId="3" xfId="0" applyNumberFormat="1" applyFont="1" applyFill="1" applyBorder="1"/>
    <xf numFmtId="4" fontId="24" fillId="0" borderId="20" xfId="0" applyNumberFormat="1" applyFont="1" applyBorder="1"/>
    <xf numFmtId="4" fontId="24" fillId="2" borderId="20" xfId="0" applyNumberFormat="1" applyFont="1" applyFill="1" applyBorder="1"/>
    <xf numFmtId="4" fontId="24" fillId="0" borderId="9" xfId="0" applyNumberFormat="1" applyFont="1" applyBorder="1"/>
    <xf numFmtId="0" fontId="21" fillId="0" borderId="12" xfId="0" applyFont="1" applyFill="1" applyBorder="1" applyAlignment="1">
      <alignment wrapText="1"/>
    </xf>
    <xf numFmtId="164" fontId="18" fillId="0" borderId="13" xfId="0" applyNumberFormat="1" applyFont="1" applyFill="1" applyBorder="1"/>
    <xf numFmtId="164" fontId="18" fillId="0" borderId="14" xfId="0" applyNumberFormat="1" applyFont="1" applyFill="1" applyBorder="1"/>
    <xf numFmtId="0" fontId="21" fillId="0" borderId="14" xfId="0" applyFont="1" applyFill="1" applyBorder="1" applyAlignment="1">
      <alignment horizontal="center" wrapText="1"/>
    </xf>
    <xf numFmtId="0" fontId="21" fillId="0" borderId="15" xfId="0" applyFont="1" applyFill="1" applyBorder="1" applyAlignment="1">
      <alignment horizontal="center" wrapText="1"/>
    </xf>
    <xf numFmtId="0" fontId="22" fillId="0" borderId="6" xfId="0" applyFont="1" applyFill="1" applyBorder="1" applyAlignment="1">
      <alignment vertical="center" wrapText="1"/>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164" fontId="18" fillId="0" borderId="2" xfId="0" applyNumberFormat="1" applyFont="1" applyFill="1" applyBorder="1" applyAlignment="1">
      <alignment vertical="center"/>
    </xf>
    <xf numFmtId="0" fontId="22" fillId="0" borderId="3" xfId="0" applyFont="1" applyFill="1" applyBorder="1" applyAlignment="1">
      <alignment horizontal="center" vertical="center" wrapText="1"/>
    </xf>
    <xf numFmtId="4" fontId="24" fillId="2" borderId="1" xfId="0" applyNumberFormat="1" applyFont="1" applyFill="1" applyBorder="1" applyAlignment="1">
      <alignment vertical="center"/>
    </xf>
    <xf numFmtId="164" fontId="24" fillId="2" borderId="2" xfId="0" applyNumberFormat="1" applyFont="1" applyFill="1" applyBorder="1" applyAlignment="1">
      <alignment horizontal="right" vertical="center"/>
    </xf>
    <xf numFmtId="4" fontId="24" fillId="2" borderId="2" xfId="0" applyNumberFormat="1" applyFont="1" applyFill="1" applyBorder="1" applyAlignment="1">
      <alignment horizontal="right" vertical="center"/>
    </xf>
    <xf numFmtId="4" fontId="24" fillId="2" borderId="3" xfId="0" applyNumberFormat="1" applyFont="1" applyFill="1" applyBorder="1" applyAlignment="1">
      <alignment horizontal="right" vertical="center"/>
    </xf>
    <xf numFmtId="4" fontId="24" fillId="0" borderId="5" xfId="0" applyNumberFormat="1" applyFont="1" applyBorder="1" applyAlignment="1">
      <alignment vertical="center"/>
    </xf>
    <xf numFmtId="164" fontId="24" fillId="0" borderId="0" xfId="0" applyNumberFormat="1" applyFont="1" applyBorder="1" applyAlignment="1">
      <alignment horizontal="right" vertical="center"/>
    </xf>
    <xf numFmtId="4" fontId="24" fillId="0" borderId="0" xfId="0" applyNumberFormat="1" applyFont="1" applyBorder="1" applyAlignment="1">
      <alignment horizontal="right" vertical="center"/>
    </xf>
    <xf numFmtId="4" fontId="24" fillId="0" borderId="20" xfId="0" applyNumberFormat="1" applyFont="1" applyBorder="1" applyAlignment="1">
      <alignment horizontal="right" vertical="center"/>
    </xf>
    <xf numFmtId="4" fontId="24" fillId="2" borderId="0" xfId="0" applyNumberFormat="1" applyFont="1" applyFill="1" applyBorder="1" applyAlignment="1">
      <alignment vertical="center"/>
    </xf>
    <xf numFmtId="164" fontId="24" fillId="2" borderId="23" xfId="0" applyNumberFormat="1" applyFont="1" applyFill="1" applyBorder="1" applyAlignment="1">
      <alignment horizontal="right" vertical="center"/>
    </xf>
    <xf numFmtId="164" fontId="24" fillId="2" borderId="0" xfId="0" applyNumberFormat="1" applyFont="1" applyFill="1" applyBorder="1" applyAlignment="1">
      <alignment horizontal="right" vertical="center"/>
    </xf>
    <xf numFmtId="4" fontId="24" fillId="2" borderId="0" xfId="0" applyNumberFormat="1" applyFont="1" applyFill="1" applyBorder="1" applyAlignment="1">
      <alignment horizontal="right" vertical="center"/>
    </xf>
    <xf numFmtId="4" fontId="24" fillId="2" borderId="24" xfId="0" applyNumberFormat="1" applyFont="1" applyFill="1" applyBorder="1" applyAlignment="1">
      <alignment horizontal="right" vertical="center"/>
    </xf>
    <xf numFmtId="4" fontId="18" fillId="0" borderId="0" xfId="0" applyNumberFormat="1" applyFont="1"/>
    <xf numFmtId="0" fontId="21" fillId="0" borderId="0" xfId="0" applyFont="1" applyBorder="1" applyAlignment="1">
      <alignment horizontal="center" vertical="center" textRotation="90"/>
    </xf>
    <xf numFmtId="4" fontId="24" fillId="0" borderId="23" xfId="0" applyNumberFormat="1" applyFont="1" applyFill="1" applyBorder="1" applyAlignment="1">
      <alignment vertical="center"/>
    </xf>
    <xf numFmtId="164" fontId="24" fillId="0" borderId="23" xfId="0" applyNumberFormat="1" applyFont="1" applyFill="1" applyBorder="1" applyAlignment="1">
      <alignment horizontal="right" vertical="center"/>
    </xf>
    <xf numFmtId="164" fontId="24" fillId="0" borderId="0" xfId="0" applyNumberFormat="1" applyFont="1" applyFill="1" applyBorder="1" applyAlignment="1">
      <alignment horizontal="right" vertical="center"/>
    </xf>
    <xf numFmtId="4" fontId="24" fillId="0" borderId="0" xfId="0" applyNumberFormat="1" applyFont="1" applyFill="1" applyBorder="1" applyAlignment="1">
      <alignment horizontal="right" vertical="center"/>
    </xf>
    <xf numFmtId="4" fontId="24" fillId="0" borderId="24" xfId="0" applyNumberFormat="1" applyFont="1" applyFill="1" applyBorder="1" applyAlignment="1">
      <alignment horizontal="right" vertical="center"/>
    </xf>
    <xf numFmtId="0" fontId="21" fillId="0" borderId="0" xfId="0" applyFont="1" applyFill="1" applyBorder="1" applyAlignment="1">
      <alignment horizontal="center" vertical="center" textRotation="90"/>
    </xf>
    <xf numFmtId="4" fontId="24" fillId="3" borderId="23" xfId="0" applyNumberFormat="1" applyFont="1" applyFill="1" applyBorder="1" applyAlignment="1">
      <alignment vertical="center"/>
    </xf>
    <xf numFmtId="164" fontId="24" fillId="3" borderId="23" xfId="0" applyNumberFormat="1" applyFont="1" applyFill="1" applyBorder="1" applyAlignment="1">
      <alignment horizontal="right" vertical="center"/>
    </xf>
    <xf numFmtId="164" fontId="24" fillId="3" borderId="0" xfId="0" applyNumberFormat="1" applyFont="1" applyFill="1" applyBorder="1" applyAlignment="1">
      <alignment horizontal="right" vertical="center"/>
    </xf>
    <xf numFmtId="4" fontId="24" fillId="3" borderId="0" xfId="0" applyNumberFormat="1" applyFont="1" applyFill="1" applyBorder="1" applyAlignment="1">
      <alignment horizontal="right" vertical="center"/>
    </xf>
    <xf numFmtId="4" fontId="24" fillId="0" borderId="25" xfId="0" applyNumberFormat="1" applyFont="1" applyFill="1" applyBorder="1" applyAlignment="1">
      <alignment vertical="center"/>
    </xf>
    <xf numFmtId="164" fontId="24" fillId="0" borderId="25" xfId="0" applyNumberFormat="1" applyFont="1" applyFill="1" applyBorder="1" applyAlignment="1">
      <alignment horizontal="right" vertical="center"/>
    </xf>
    <xf numFmtId="164" fontId="24" fillId="0" borderId="21" xfId="0" applyNumberFormat="1" applyFont="1" applyFill="1" applyBorder="1" applyAlignment="1">
      <alignment horizontal="right" vertical="center"/>
    </xf>
    <xf numFmtId="4" fontId="24" fillId="0" borderId="21" xfId="0" applyNumberFormat="1" applyFont="1" applyFill="1" applyBorder="1" applyAlignment="1">
      <alignment horizontal="right" vertical="center"/>
    </xf>
    <xf numFmtId="4" fontId="24" fillId="0" borderId="26" xfId="0" applyNumberFormat="1" applyFont="1" applyFill="1" applyBorder="1" applyAlignment="1">
      <alignment horizontal="right" vertical="center"/>
    </xf>
    <xf numFmtId="4" fontId="24" fillId="0" borderId="0" xfId="0" applyNumberFormat="1" applyFont="1" applyFill="1" applyBorder="1" applyAlignment="1">
      <alignment vertical="center"/>
    </xf>
    <xf numFmtId="0" fontId="18" fillId="0" borderId="0" xfId="0" applyFont="1" applyAlignment="1">
      <alignment vertical="center"/>
    </xf>
    <xf numFmtId="4" fontId="18" fillId="0" borderId="18" xfId="0" applyNumberFormat="1" applyFont="1" applyFill="1" applyBorder="1"/>
    <xf numFmtId="164" fontId="18" fillId="0" borderId="0" xfId="0" applyNumberFormat="1" applyFont="1" applyFill="1" applyBorder="1"/>
    <xf numFmtId="4" fontId="18" fillId="0" borderId="22" xfId="0" applyNumberFormat="1" applyFont="1" applyFill="1" applyBorder="1"/>
    <xf numFmtId="0" fontId="26" fillId="0" borderId="0" xfId="0" applyFont="1"/>
    <xf numFmtId="0" fontId="18" fillId="0" borderId="0" xfId="0" applyFont="1" applyAlignment="1">
      <alignment horizontal="left"/>
    </xf>
    <xf numFmtId="0" fontId="18" fillId="0" borderId="0" xfId="2" applyFont="1"/>
    <xf numFmtId="0" fontId="17" fillId="0" borderId="0" xfId="2" applyFont="1"/>
    <xf numFmtId="0" fontId="27" fillId="0" borderId="0" xfId="2" applyFont="1"/>
    <xf numFmtId="0" fontId="28" fillId="0" borderId="0" xfId="2" applyFont="1"/>
    <xf numFmtId="0" fontId="29" fillId="0" borderId="0" xfId="2" quotePrefix="1" applyFont="1"/>
    <xf numFmtId="0" fontId="21" fillId="0" borderId="0" xfId="2" applyFont="1"/>
    <xf numFmtId="0" fontId="21" fillId="0" borderId="0" xfId="2" applyFont="1" applyAlignment="1">
      <alignment horizontal="right"/>
    </xf>
    <xf numFmtId="2" fontId="18" fillId="0" borderId="0" xfId="2" applyNumberFormat="1" applyFont="1"/>
    <xf numFmtId="0" fontId="21" fillId="0" borderId="0" xfId="2" applyFont="1" applyFill="1" applyAlignment="1">
      <alignment horizontal="right"/>
    </xf>
    <xf numFmtId="0" fontId="18" fillId="0" borderId="0" xfId="2" applyFont="1" applyFill="1"/>
    <xf numFmtId="0" fontId="21" fillId="0" borderId="28" xfId="2" applyFont="1" applyFill="1" applyBorder="1" applyAlignment="1">
      <alignment horizontal="left" vertical="center" wrapText="1" indent="1"/>
    </xf>
    <xf numFmtId="0" fontId="21" fillId="0" borderId="29" xfId="2" applyFont="1" applyFill="1" applyBorder="1" applyAlignment="1">
      <alignment vertical="center" wrapText="1"/>
    </xf>
    <xf numFmtId="0" fontId="21" fillId="0" borderId="30" xfId="2" applyFont="1" applyFill="1" applyBorder="1" applyAlignment="1">
      <alignment horizontal="center" vertical="center" wrapText="1"/>
    </xf>
    <xf numFmtId="0" fontId="21" fillId="0" borderId="31" xfId="2" applyFont="1" applyFill="1" applyBorder="1" applyAlignment="1">
      <alignment horizontal="center" vertical="center" wrapText="1"/>
    </xf>
    <xf numFmtId="0" fontId="22" fillId="0" borderId="32" xfId="2" applyFont="1" applyFill="1" applyBorder="1" applyAlignment="1">
      <alignment horizontal="left" vertical="center" wrapText="1" indent="1"/>
    </xf>
    <xf numFmtId="0" fontId="21" fillId="0" borderId="33" xfId="2" applyFont="1" applyFill="1" applyBorder="1" applyAlignment="1">
      <alignment vertical="center" wrapText="1"/>
    </xf>
    <xf numFmtId="0" fontId="22" fillId="0" borderId="34" xfId="2" applyFont="1" applyFill="1" applyBorder="1" applyAlignment="1">
      <alignment horizontal="center" vertical="center" wrapText="1"/>
    </xf>
    <xf numFmtId="0" fontId="22" fillId="0" borderId="35" xfId="2" applyFont="1" applyFill="1" applyBorder="1" applyAlignment="1">
      <alignment horizontal="center" vertical="center" wrapText="1"/>
    </xf>
    <xf numFmtId="4" fontId="18" fillId="0" borderId="36" xfId="2" applyNumberFormat="1" applyFont="1" applyFill="1" applyBorder="1" applyAlignment="1">
      <alignment horizontal="left" indent="1"/>
    </xf>
    <xf numFmtId="4" fontId="18" fillId="0" borderId="24" xfId="2" applyNumberFormat="1" applyFont="1" applyFill="1" applyBorder="1"/>
    <xf numFmtId="43" fontId="30" fillId="4" borderId="0" xfId="3" applyFont="1" applyFill="1" applyBorder="1"/>
    <xf numFmtId="43" fontId="30" fillId="4" borderId="37" xfId="3" applyFont="1" applyFill="1" applyBorder="1"/>
    <xf numFmtId="0" fontId="31" fillId="0" borderId="0" xfId="2" applyFont="1" applyFill="1"/>
    <xf numFmtId="43" fontId="18" fillId="0" borderId="0" xfId="2" applyNumberFormat="1" applyFont="1"/>
    <xf numFmtId="4" fontId="18" fillId="0" borderId="38" xfId="2" applyNumberFormat="1" applyFont="1" applyFill="1" applyBorder="1" applyAlignment="1">
      <alignment horizontal="left" indent="1"/>
    </xf>
    <xf numFmtId="4" fontId="18" fillId="0" borderId="39" xfId="2" applyNumberFormat="1" applyFont="1" applyFill="1" applyBorder="1"/>
    <xf numFmtId="43" fontId="30" fillId="4" borderId="27" xfId="3" applyFont="1" applyFill="1" applyBorder="1"/>
    <xf numFmtId="43" fontId="30" fillId="4" borderId="40" xfId="3" applyFont="1" applyFill="1" applyBorder="1"/>
    <xf numFmtId="0" fontId="22" fillId="0" borderId="0" xfId="2" applyFont="1" applyFill="1"/>
    <xf numFmtId="43" fontId="22" fillId="0" borderId="0" xfId="2" applyNumberFormat="1" applyFont="1" applyFill="1"/>
    <xf numFmtId="0" fontId="22" fillId="0" borderId="0" xfId="2" applyFont="1"/>
    <xf numFmtId="43" fontId="22" fillId="0" borderId="0" xfId="2" applyNumberFormat="1" applyFont="1"/>
    <xf numFmtId="0" fontId="32" fillId="0" borderId="0" xfId="2" applyFont="1"/>
    <xf numFmtId="0" fontId="17" fillId="0" borderId="0" xfId="2" applyFont="1" applyAlignment="1">
      <alignment horizontal="left"/>
    </xf>
    <xf numFmtId="0" fontId="17" fillId="0" borderId="0" xfId="2" applyFont="1" applyAlignment="1">
      <alignment wrapText="1"/>
    </xf>
    <xf numFmtId="0" fontId="18" fillId="0" borderId="0" xfId="2" applyFont="1" applyAlignment="1">
      <alignment wrapText="1"/>
    </xf>
    <xf numFmtId="0" fontId="21" fillId="0" borderId="0" xfId="2" applyFont="1" applyAlignment="1">
      <alignment vertical="top"/>
    </xf>
    <xf numFmtId="0" fontId="18" fillId="0" borderId="21" xfId="2" applyFont="1" applyBorder="1" applyAlignment="1">
      <alignment wrapText="1"/>
    </xf>
    <xf numFmtId="0" fontId="21" fillId="0" borderId="21" xfId="2" applyFont="1" applyBorder="1" applyAlignment="1">
      <alignment horizontal="center" wrapText="1"/>
    </xf>
    <xf numFmtId="4" fontId="24" fillId="2" borderId="6" xfId="2" applyNumberFormat="1" applyFont="1" applyFill="1" applyBorder="1" applyAlignment="1">
      <alignment vertical="center"/>
    </xf>
    <xf numFmtId="4" fontId="24" fillId="2" borderId="6" xfId="2" applyNumberFormat="1" applyFont="1" applyFill="1" applyBorder="1" applyAlignment="1">
      <alignment horizontal="right" vertical="center" indent="1"/>
    </xf>
    <xf numFmtId="0" fontId="18" fillId="0" borderId="0" xfId="2" applyFont="1" applyAlignment="1">
      <alignment vertical="center" wrapText="1"/>
    </xf>
    <xf numFmtId="0" fontId="18" fillId="0" borderId="0" xfId="2" applyFont="1" applyAlignment="1">
      <alignment vertical="top" wrapText="1"/>
    </xf>
    <xf numFmtId="4" fontId="21" fillId="0" borderId="21" xfId="2" applyNumberFormat="1" applyFont="1" applyBorder="1" applyAlignment="1">
      <alignment wrapText="1"/>
    </xf>
    <xf numFmtId="4" fontId="21" fillId="0" borderId="21" xfId="2" applyNumberFormat="1" applyFont="1" applyBorder="1" applyAlignment="1">
      <alignment horizontal="right" wrapText="1"/>
    </xf>
    <xf numFmtId="0" fontId="34" fillId="0" borderId="43" xfId="2" applyFont="1" applyBorder="1" applyAlignment="1">
      <alignment vertical="top" wrapText="1"/>
    </xf>
    <xf numFmtId="0" fontId="21" fillId="0" borderId="20" xfId="2" applyFont="1" applyBorder="1" applyAlignment="1">
      <alignment vertical="center" textRotation="90"/>
    </xf>
    <xf numFmtId="0" fontId="34" fillId="0" borderId="0" xfId="2" applyFont="1" applyBorder="1" applyAlignment="1">
      <alignment vertical="top" wrapText="1"/>
    </xf>
    <xf numFmtId="4" fontId="24" fillId="0" borderId="44" xfId="2" applyNumberFormat="1" applyFont="1" applyBorder="1" applyAlignment="1">
      <alignment vertical="center"/>
    </xf>
    <xf numFmtId="4" fontId="24" fillId="0" borderId="44" xfId="2" applyNumberFormat="1" applyFont="1" applyBorder="1" applyAlignment="1">
      <alignment horizontal="right" vertical="center" indent="1"/>
    </xf>
    <xf numFmtId="3" fontId="18" fillId="0" borderId="0" xfId="2" applyNumberFormat="1" applyFont="1"/>
    <xf numFmtId="4" fontId="35" fillId="0" borderId="0" xfId="2" applyNumberFormat="1" applyFont="1" applyFill="1" applyBorder="1" applyAlignment="1">
      <alignment wrapText="1"/>
    </xf>
    <xf numFmtId="3" fontId="35" fillId="0" borderId="0" xfId="2" applyNumberFormat="1" applyFont="1"/>
    <xf numFmtId="0" fontId="35" fillId="0" borderId="0" xfId="2" applyFont="1"/>
    <xf numFmtId="4" fontId="24" fillId="0" borderId="0" xfId="2" quotePrefix="1" applyNumberFormat="1" applyFont="1" applyFill="1" applyBorder="1" applyAlignment="1">
      <alignment wrapText="1"/>
    </xf>
    <xf numFmtId="4" fontId="24" fillId="0" borderId="0" xfId="2" applyNumberFormat="1" applyFont="1"/>
    <xf numFmtId="0" fontId="24" fillId="0" borderId="0" xfId="2" quotePrefix="1" applyFont="1"/>
    <xf numFmtId="4" fontId="21" fillId="0" borderId="0" xfId="2" applyNumberFormat="1" applyFont="1" applyFill="1" applyBorder="1" applyAlignment="1">
      <alignment wrapText="1"/>
    </xf>
    <xf numFmtId="4" fontId="24" fillId="2" borderId="20" xfId="2" applyNumberFormat="1" applyFont="1" applyFill="1" applyBorder="1" applyAlignment="1">
      <alignment horizontal="left" vertical="center"/>
    </xf>
    <xf numFmtId="164" fontId="24" fillId="2" borderId="6" xfId="2" quotePrefix="1" applyNumberFormat="1" applyFont="1" applyFill="1" applyBorder="1" applyAlignment="1">
      <alignment horizontal="left" vertical="center"/>
    </xf>
    <xf numFmtId="4" fontId="24" fillId="2" borderId="6" xfId="2" applyNumberFormat="1" applyFont="1" applyFill="1" applyBorder="1" applyAlignment="1">
      <alignment horizontal="center"/>
    </xf>
    <xf numFmtId="164" fontId="24" fillId="0" borderId="0" xfId="2" applyNumberFormat="1" applyFont="1" applyFill="1" applyBorder="1"/>
    <xf numFmtId="4" fontId="24" fillId="0" borderId="0" xfId="2" quotePrefix="1" applyNumberFormat="1" applyFont="1" applyFill="1" applyBorder="1" applyAlignment="1">
      <alignment horizontal="left" vertical="center" wrapText="1"/>
    </xf>
    <xf numFmtId="4" fontId="24" fillId="0" borderId="6" xfId="2" applyNumberFormat="1" applyFont="1" applyBorder="1" applyAlignment="1">
      <alignment horizontal="right" vertical="center" indent="1"/>
    </xf>
    <xf numFmtId="164" fontId="24" fillId="0" borderId="6" xfId="2" quotePrefix="1" applyNumberFormat="1" applyFont="1" applyBorder="1" applyAlignment="1">
      <alignment horizontal="left" vertical="center"/>
    </xf>
    <xf numFmtId="4" fontId="24" fillId="0" borderId="6" xfId="2" applyNumberFormat="1" applyFont="1" applyBorder="1" applyAlignment="1">
      <alignment horizontal="center"/>
    </xf>
    <xf numFmtId="164" fontId="24" fillId="0" borderId="6" xfId="2" applyNumberFormat="1" applyFont="1" applyBorder="1" applyAlignment="1">
      <alignment horizontal="right" vertical="center" indent="1"/>
    </xf>
    <xf numFmtId="164" fontId="24" fillId="0" borderId="6" xfId="2" applyNumberFormat="1" applyFont="1" applyBorder="1" applyAlignment="1">
      <alignment horizontal="left" vertical="center"/>
    </xf>
    <xf numFmtId="4" fontId="24" fillId="0" borderId="0" xfId="2" applyNumberFormat="1" applyFont="1" applyBorder="1" applyAlignment="1">
      <alignment horizontal="center"/>
    </xf>
    <xf numFmtId="4" fontId="25" fillId="2" borderId="6" xfId="2" applyNumberFormat="1" applyFont="1" applyFill="1" applyBorder="1" applyAlignment="1">
      <alignment horizontal="right" vertical="center" indent="1"/>
    </xf>
    <xf numFmtId="164" fontId="25" fillId="2" borderId="6" xfId="2" applyNumberFormat="1" applyFont="1" applyFill="1" applyBorder="1" applyAlignment="1">
      <alignment horizontal="left" vertical="center"/>
    </xf>
    <xf numFmtId="0" fontId="24" fillId="0" borderId="0" xfId="2" applyFont="1"/>
    <xf numFmtId="3" fontId="24" fillId="0" borderId="0" xfId="2" applyNumberFormat="1" applyFont="1" applyAlignment="1">
      <alignment horizontal="right" indent="2"/>
    </xf>
    <xf numFmtId="9" fontId="18" fillId="0" borderId="0" xfId="4" applyFont="1" applyAlignment="1">
      <alignment horizontal="right" indent="1"/>
    </xf>
    <xf numFmtId="0" fontId="18" fillId="0" borderId="0" xfId="2" quotePrefix="1" applyFont="1"/>
    <xf numFmtId="0" fontId="34" fillId="0" borderId="0" xfId="2" applyFont="1"/>
    <xf numFmtId="0" fontId="18" fillId="0" borderId="21" xfId="2" applyFont="1" applyBorder="1"/>
    <xf numFmtId="0" fontId="21" fillId="0" borderId="21" xfId="2" applyFont="1" applyBorder="1"/>
    <xf numFmtId="4" fontId="24" fillId="2" borderId="6" xfId="2" applyNumberFormat="1" applyFont="1" applyFill="1" applyBorder="1"/>
    <xf numFmtId="4" fontId="24" fillId="2" borderId="6" xfId="2" applyNumberFormat="1" applyFont="1" applyFill="1" applyBorder="1" applyAlignment="1">
      <alignment horizontal="right" indent="1"/>
    </xf>
    <xf numFmtId="165" fontId="18" fillId="0" borderId="0" xfId="2" applyNumberFormat="1" applyFont="1"/>
    <xf numFmtId="4" fontId="24" fillId="2" borderId="41" xfId="2" applyNumberFormat="1" applyFont="1" applyFill="1" applyBorder="1"/>
    <xf numFmtId="4" fontId="24" fillId="2" borderId="45" xfId="2" applyNumberFormat="1" applyFont="1" applyFill="1" applyBorder="1" applyAlignment="1">
      <alignment horizontal="right" indent="1"/>
    </xf>
    <xf numFmtId="4" fontId="24" fillId="0" borderId="23" xfId="2" applyNumberFormat="1" applyFont="1" applyBorder="1"/>
    <xf numFmtId="4" fontId="24" fillId="0" borderId="46" xfId="2" applyNumberFormat="1" applyFont="1" applyBorder="1" applyAlignment="1">
      <alignment horizontal="right" indent="1"/>
    </xf>
    <xf numFmtId="4" fontId="24" fillId="2" borderId="23" xfId="2" applyNumberFormat="1" applyFont="1" applyFill="1" applyBorder="1"/>
    <xf numFmtId="4" fontId="24" fillId="2" borderId="46" xfId="2" applyNumberFormat="1" applyFont="1" applyFill="1" applyBorder="1" applyAlignment="1">
      <alignment horizontal="right" indent="1"/>
    </xf>
    <xf numFmtId="4" fontId="24" fillId="0" borderId="25" xfId="2" applyNumberFormat="1" applyFont="1" applyBorder="1"/>
    <xf numFmtId="4" fontId="24" fillId="0" borderId="47" xfId="2" applyNumberFormat="1" applyFont="1" applyBorder="1" applyAlignment="1">
      <alignment horizontal="right" indent="1"/>
    </xf>
    <xf numFmtId="3" fontId="18" fillId="0" borderId="0" xfId="2" applyNumberFormat="1" applyFont="1" applyAlignment="1">
      <alignment horizontal="right" indent="1"/>
    </xf>
    <xf numFmtId="4" fontId="21" fillId="0" borderId="0" xfId="2" applyNumberFormat="1" applyFont="1" applyAlignment="1">
      <alignment horizontal="right" indent="1"/>
    </xf>
    <xf numFmtId="0" fontId="18" fillId="0" borderId="0" xfId="2" applyFont="1" applyAlignment="1">
      <alignment horizontal="left" wrapText="1"/>
    </xf>
    <xf numFmtId="4" fontId="24" fillId="0" borderId="0" xfId="2" applyNumberFormat="1" applyFont="1" applyFill="1" applyBorder="1" applyAlignment="1">
      <alignment wrapText="1"/>
    </xf>
    <xf numFmtId="0" fontId="22" fillId="0" borderId="21" xfId="2" applyFont="1" applyBorder="1" applyAlignment="1">
      <alignment horizontal="center"/>
    </xf>
    <xf numFmtId="4" fontId="24" fillId="2" borderId="20" xfId="2" applyNumberFormat="1" applyFont="1" applyFill="1" applyBorder="1"/>
    <xf numFmtId="4" fontId="24" fillId="2" borderId="6" xfId="2" applyNumberFormat="1" applyFont="1" applyFill="1" applyBorder="1" applyAlignment="1">
      <alignment horizontal="right" indent="2"/>
    </xf>
    <xf numFmtId="9" fontId="24" fillId="2" borderId="6" xfId="4" applyFont="1" applyFill="1" applyBorder="1" applyAlignment="1">
      <alignment horizontal="right" indent="2"/>
    </xf>
    <xf numFmtId="164" fontId="24" fillId="2" borderId="6" xfId="2" quotePrefix="1" applyNumberFormat="1" applyFont="1" applyFill="1" applyBorder="1"/>
    <xf numFmtId="164" fontId="24" fillId="2" borderId="6" xfId="2" applyNumberFormat="1" applyFont="1" applyFill="1" applyBorder="1"/>
    <xf numFmtId="4" fontId="24" fillId="0" borderId="20" xfId="2" applyNumberFormat="1" applyFont="1" applyBorder="1"/>
    <xf numFmtId="4" fontId="24" fillId="0" borderId="6" xfId="2" applyNumberFormat="1" applyFont="1" applyBorder="1" applyAlignment="1">
      <alignment horizontal="right" indent="2"/>
    </xf>
    <xf numFmtId="9" fontId="24" fillId="0" borderId="6" xfId="4" applyFont="1" applyBorder="1" applyAlignment="1">
      <alignment horizontal="right" indent="2"/>
    </xf>
    <xf numFmtId="164" fontId="24" fillId="0" borderId="6" xfId="2" quotePrefix="1" applyNumberFormat="1" applyFont="1" applyBorder="1"/>
    <xf numFmtId="4" fontId="24" fillId="0" borderId="6" xfId="2" applyNumberFormat="1" applyFont="1" applyBorder="1"/>
    <xf numFmtId="164" fontId="24" fillId="0" borderId="6" xfId="2" applyNumberFormat="1" applyFont="1" applyBorder="1"/>
    <xf numFmtId="4" fontId="24" fillId="2" borderId="48" xfId="2" applyNumberFormat="1" applyFont="1" applyFill="1" applyBorder="1"/>
    <xf numFmtId="4" fontId="24" fillId="2" borderId="49" xfId="2" applyNumberFormat="1" applyFont="1" applyFill="1" applyBorder="1" applyAlignment="1">
      <alignment horizontal="right" indent="2"/>
    </xf>
    <xf numFmtId="9" fontId="24" fillId="2" borderId="50" xfId="4" applyFont="1" applyFill="1" applyBorder="1" applyAlignment="1">
      <alignment horizontal="right" indent="2"/>
    </xf>
    <xf numFmtId="4" fontId="24" fillId="0" borderId="0" xfId="2" applyNumberFormat="1" applyFont="1" applyAlignment="1">
      <alignment horizontal="right" indent="2"/>
    </xf>
    <xf numFmtId="9" fontId="18" fillId="0" borderId="0" xfId="4" applyFont="1" applyAlignment="1">
      <alignment horizontal="right" indent="2"/>
    </xf>
    <xf numFmtId="43" fontId="18" fillId="0" borderId="0" xfId="3" applyNumberFormat="1" applyFont="1" applyAlignment="1">
      <alignment horizontal="right"/>
    </xf>
    <xf numFmtId="166" fontId="18" fillId="0" borderId="0" xfId="2" applyNumberFormat="1" applyFont="1"/>
    <xf numFmtId="0" fontId="18" fillId="0" borderId="0" xfId="2" quotePrefix="1" applyFont="1" applyAlignment="1">
      <alignment wrapText="1"/>
    </xf>
    <xf numFmtId="9" fontId="18" fillId="0" borderId="0" xfId="4" applyFont="1"/>
    <xf numFmtId="0" fontId="18" fillId="0" borderId="0" xfId="2" applyFont="1" applyAlignment="1">
      <alignment horizontal="left" indent="1"/>
    </xf>
    <xf numFmtId="43" fontId="18" fillId="0" borderId="0" xfId="3" applyNumberFormat="1" applyFont="1"/>
    <xf numFmtId="0" fontId="18" fillId="0" borderId="27" xfId="2" applyFont="1" applyBorder="1" applyAlignment="1">
      <alignment wrapText="1"/>
    </xf>
    <xf numFmtId="43" fontId="18" fillId="0" borderId="27" xfId="3" applyNumberFormat="1" applyFont="1" applyBorder="1"/>
    <xf numFmtId="0" fontId="18" fillId="0" borderId="27" xfId="2" applyFont="1" applyBorder="1"/>
    <xf numFmtId="0" fontId="24" fillId="0" borderId="0" xfId="2" applyFont="1" applyAlignment="1">
      <alignment wrapText="1"/>
    </xf>
    <xf numFmtId="43" fontId="24" fillId="0" borderId="0" xfId="3" applyNumberFormat="1" applyFont="1"/>
    <xf numFmtId="0" fontId="24" fillId="0" borderId="0" xfId="2" applyFont="1" applyFill="1" applyBorder="1"/>
    <xf numFmtId="9" fontId="24" fillId="2" borderId="6" xfId="4" applyFont="1" applyFill="1" applyBorder="1" applyAlignment="1">
      <alignment horizontal="right" indent="4"/>
    </xf>
    <xf numFmtId="9" fontId="24" fillId="0" borderId="6" xfId="4" applyFont="1" applyBorder="1" applyAlignment="1">
      <alignment horizontal="right" indent="4"/>
    </xf>
    <xf numFmtId="4" fontId="24" fillId="2" borderId="0" xfId="2" applyNumberFormat="1" applyFont="1" applyFill="1" applyBorder="1"/>
    <xf numFmtId="164" fontId="24" fillId="2" borderId="0" xfId="2" applyNumberFormat="1" applyFont="1" applyFill="1" applyBorder="1"/>
    <xf numFmtId="4" fontId="24" fillId="0" borderId="0" xfId="2" applyNumberFormat="1" applyFont="1" applyBorder="1"/>
    <xf numFmtId="164" fontId="24" fillId="0" borderId="0" xfId="2" applyNumberFormat="1" applyFont="1" applyBorder="1"/>
    <xf numFmtId="4" fontId="24" fillId="2" borderId="27" xfId="2" applyNumberFormat="1" applyFont="1" applyFill="1" applyBorder="1"/>
    <xf numFmtId="4" fontId="24" fillId="2" borderId="49" xfId="2" applyNumberFormat="1" applyFont="1" applyFill="1" applyBorder="1"/>
    <xf numFmtId="0" fontId="18" fillId="0" borderId="0" xfId="2" applyFont="1" applyBorder="1" applyAlignment="1">
      <alignment wrapText="1"/>
    </xf>
    <xf numFmtId="4" fontId="18" fillId="0" borderId="0" xfId="2" applyNumberFormat="1" applyFont="1" applyAlignment="1">
      <alignment horizontal="right" indent="2"/>
    </xf>
    <xf numFmtId="4" fontId="24" fillId="2" borderId="6" xfId="2" quotePrefix="1" applyNumberFormat="1" applyFont="1" applyFill="1" applyBorder="1"/>
    <xf numFmtId="4" fontId="24" fillId="0" borderId="6" xfId="2" quotePrefix="1" applyNumberFormat="1" applyFont="1" applyBorder="1"/>
    <xf numFmtId="9" fontId="24" fillId="2" borderId="50" xfId="4" applyFont="1" applyFill="1" applyBorder="1" applyAlignment="1">
      <alignment horizontal="right" indent="4"/>
    </xf>
    <xf numFmtId="9" fontId="18" fillId="0" borderId="0" xfId="2" applyNumberFormat="1" applyFont="1" applyAlignment="1">
      <alignment horizontal="right" indent="4"/>
    </xf>
    <xf numFmtId="0" fontId="24" fillId="0" borderId="0" xfId="2" applyFont="1" applyAlignment="1">
      <alignment horizontal="left" wrapText="1"/>
    </xf>
    <xf numFmtId="4" fontId="24" fillId="0" borderId="6" xfId="2" applyNumberFormat="1" applyFont="1" applyBorder="1" applyAlignment="1">
      <alignment horizontal="right" indent="1"/>
    </xf>
    <xf numFmtId="167" fontId="18" fillId="0" borderId="0" xfId="2" applyNumberFormat="1" applyFont="1"/>
    <xf numFmtId="0" fontId="24" fillId="0" borderId="0" xfId="2" applyFont="1" applyBorder="1" applyAlignment="1">
      <alignment wrapText="1"/>
    </xf>
    <xf numFmtId="0" fontId="18" fillId="0" borderId="0" xfId="2" applyFont="1" applyBorder="1"/>
    <xf numFmtId="0" fontId="35" fillId="0" borderId="0" xfId="2" applyFont="1" applyBorder="1" applyAlignment="1">
      <alignment wrapText="1"/>
    </xf>
    <xf numFmtId="9" fontId="18" fillId="0" borderId="0" xfId="2" applyNumberFormat="1" applyFont="1"/>
    <xf numFmtId="167" fontId="18" fillId="0" borderId="0" xfId="3" applyNumberFormat="1" applyFont="1"/>
    <xf numFmtId="167" fontId="35" fillId="0" borderId="0" xfId="2" applyNumberFormat="1" applyFont="1"/>
    <xf numFmtId="0" fontId="18" fillId="0" borderId="21" xfId="2" applyFont="1" applyBorder="1" applyAlignment="1">
      <alignment horizontal="center"/>
    </xf>
    <xf numFmtId="0" fontId="18" fillId="0" borderId="21" xfId="2" applyFont="1" applyBorder="1" applyAlignment="1">
      <alignment horizontal="center" wrapText="1"/>
    </xf>
    <xf numFmtId="4" fontId="38" fillId="2" borderId="20" xfId="2" applyNumberFormat="1" applyFont="1" applyFill="1" applyBorder="1"/>
    <xf numFmtId="4" fontId="25" fillId="2" borderId="6" xfId="2" applyNumberFormat="1" applyFont="1" applyFill="1" applyBorder="1"/>
    <xf numFmtId="4" fontId="39" fillId="2" borderId="0" xfId="2" applyNumberFormat="1" applyFont="1" applyFill="1" applyBorder="1"/>
    <xf numFmtId="4" fontId="38" fillId="0" borderId="20" xfId="2" applyNumberFormat="1" applyFont="1" applyBorder="1"/>
    <xf numFmtId="4" fontId="25" fillId="0" borderId="6" xfId="2" applyNumberFormat="1" applyFont="1" applyBorder="1"/>
    <xf numFmtId="4" fontId="39" fillId="0" borderId="0" xfId="2" applyNumberFormat="1" applyFont="1" applyBorder="1"/>
    <xf numFmtId="0" fontId="24" fillId="0" borderId="21" xfId="2" applyFont="1" applyBorder="1"/>
    <xf numFmtId="43" fontId="18" fillId="0" borderId="21" xfId="2" applyNumberFormat="1" applyFont="1" applyBorder="1"/>
    <xf numFmtId="0" fontId="40" fillId="0" borderId="0" xfId="2" applyFont="1"/>
    <xf numFmtId="4" fontId="18" fillId="0" borderId="0" xfId="2" applyNumberFormat="1" applyFont="1"/>
    <xf numFmtId="0" fontId="21" fillId="0" borderId="0" xfId="2" applyFont="1" applyAlignment="1">
      <alignment wrapText="1"/>
    </xf>
    <xf numFmtId="2" fontId="21" fillId="0" borderId="0" xfId="2" applyNumberFormat="1" applyFont="1"/>
    <xf numFmtId="0" fontId="36" fillId="0" borderId="0" xfId="2" applyFont="1" applyBorder="1" applyAlignment="1">
      <alignment vertical="top" wrapText="1"/>
    </xf>
    <xf numFmtId="0" fontId="24" fillId="0" borderId="21" xfId="2" applyFont="1" applyBorder="1" applyAlignment="1">
      <alignment wrapText="1"/>
    </xf>
    <xf numFmtId="0" fontId="42" fillId="0" borderId="0" xfId="2" applyFont="1" applyFill="1" applyBorder="1"/>
    <xf numFmtId="0" fontId="43" fillId="0" borderId="0" xfId="2" applyFont="1" applyFill="1" applyBorder="1"/>
    <xf numFmtId="0" fontId="10" fillId="0" borderId="0" xfId="2" applyFont="1" applyFill="1"/>
    <xf numFmtId="0" fontId="45" fillId="0" borderId="0" xfId="2" applyFont="1" applyFill="1" applyBorder="1"/>
    <xf numFmtId="0" fontId="44" fillId="0" borderId="0" xfId="2" applyFont="1" applyFill="1" applyBorder="1"/>
    <xf numFmtId="0" fontId="9" fillId="0" borderId="0" xfId="2" applyFill="1"/>
    <xf numFmtId="0" fontId="9" fillId="0" borderId="0" xfId="2" applyFont="1"/>
    <xf numFmtId="0" fontId="46" fillId="0" borderId="0" xfId="6"/>
    <xf numFmtId="0" fontId="13" fillId="0" borderId="0" xfId="2" applyFont="1"/>
    <xf numFmtId="0" fontId="47" fillId="0" borderId="0" xfId="2" applyFont="1" applyFill="1" applyBorder="1"/>
    <xf numFmtId="2" fontId="9" fillId="0" borderId="0" xfId="2" applyNumberFormat="1"/>
    <xf numFmtId="168" fontId="48" fillId="0" borderId="0" xfId="4" applyNumberFormat="1" applyFont="1"/>
    <xf numFmtId="169" fontId="9" fillId="0" borderId="0" xfId="2" applyNumberFormat="1"/>
    <xf numFmtId="0" fontId="49" fillId="0" borderId="0" xfId="2" applyFont="1" applyFill="1" applyBorder="1"/>
    <xf numFmtId="0" fontId="50" fillId="0" borderId="0" xfId="2" applyFont="1"/>
    <xf numFmtId="0" fontId="9" fillId="5" borderId="51" xfId="2" applyFont="1" applyFill="1" applyBorder="1" applyAlignment="1">
      <alignment horizontal="center"/>
    </xf>
    <xf numFmtId="0" fontId="9" fillId="0" borderId="0" xfId="2" applyAlignment="1">
      <alignment horizontal="left"/>
    </xf>
    <xf numFmtId="2" fontId="9" fillId="2" borderId="51" xfId="2" applyNumberFormat="1" applyFont="1" applyFill="1" applyBorder="1" applyAlignment="1">
      <alignment horizontal="center"/>
    </xf>
    <xf numFmtId="168" fontId="9" fillId="2" borderId="51" xfId="2" applyNumberFormat="1" applyFont="1" applyFill="1" applyBorder="1" applyAlignment="1">
      <alignment horizontal="center"/>
    </xf>
    <xf numFmtId="4" fontId="9" fillId="2" borderId="51" xfId="2" applyNumberFormat="1" applyFont="1" applyFill="1" applyBorder="1" applyAlignment="1">
      <alignment horizontal="center"/>
    </xf>
    <xf numFmtId="4" fontId="9" fillId="0" borderId="51" xfId="2" applyNumberFormat="1" applyFont="1" applyBorder="1" applyAlignment="1">
      <alignment horizontal="center"/>
    </xf>
    <xf numFmtId="0" fontId="51" fillId="6" borderId="52" xfId="2" applyFont="1" applyFill="1" applyBorder="1" applyAlignment="1">
      <alignment horizontal="left" vertical="top"/>
    </xf>
    <xf numFmtId="0" fontId="51" fillId="6" borderId="51" xfId="2" applyFont="1" applyFill="1" applyBorder="1" applyAlignment="1">
      <alignment horizontal="left" vertical="top" wrapText="1"/>
    </xf>
    <xf numFmtId="0" fontId="51" fillId="6" borderId="51" xfId="2" applyFont="1" applyFill="1" applyBorder="1" applyAlignment="1">
      <alignment horizontal="left" vertical="top"/>
    </xf>
    <xf numFmtId="0" fontId="51" fillId="6" borderId="53" xfId="2" applyFont="1" applyFill="1" applyBorder="1" applyAlignment="1">
      <alignment horizontal="left" vertical="top" wrapText="1"/>
    </xf>
    <xf numFmtId="0" fontId="9" fillId="0" borderId="0" xfId="2" applyAlignment="1">
      <alignment horizontal="left" vertical="top"/>
    </xf>
    <xf numFmtId="4" fontId="43" fillId="0" borderId="0" xfId="2" applyNumberFormat="1" applyFont="1" applyFill="1" applyBorder="1" applyAlignment="1">
      <alignment wrapText="1"/>
    </xf>
    <xf numFmtId="4" fontId="43" fillId="0" borderId="0" xfId="2" applyNumberFormat="1" applyFont="1" applyFill="1" applyBorder="1" applyAlignment="1">
      <alignment horizontal="right" wrapText="1"/>
    </xf>
    <xf numFmtId="4" fontId="45" fillId="7" borderId="0" xfId="2" applyNumberFormat="1" applyFont="1" applyFill="1" applyBorder="1" applyAlignment="1">
      <alignment wrapText="1"/>
    </xf>
    <xf numFmtId="4" fontId="45" fillId="0" borderId="36" xfId="2" applyNumberFormat="1" applyFont="1" applyFill="1" applyBorder="1" applyAlignment="1">
      <alignment wrapText="1"/>
    </xf>
    <xf numFmtId="4" fontId="45" fillId="0" borderId="0" xfId="2" applyNumberFormat="1" applyFont="1" applyFill="1" applyBorder="1" applyAlignment="1">
      <alignment horizontal="right" wrapText="1"/>
    </xf>
    <xf numFmtId="4" fontId="45" fillId="0" borderId="21" xfId="2" applyNumberFormat="1" applyFont="1" applyFill="1" applyBorder="1" applyAlignment="1">
      <alignment horizontal="right" wrapText="1"/>
    </xf>
    <xf numFmtId="4" fontId="45" fillId="0" borderId="54" xfId="2" applyNumberFormat="1" applyFont="1" applyFill="1" applyBorder="1" applyAlignment="1">
      <alignment horizontal="right" wrapText="1"/>
    </xf>
    <xf numFmtId="4" fontId="45" fillId="0" borderId="55" xfId="2" applyNumberFormat="1" applyFont="1" applyFill="1" applyBorder="1" applyAlignment="1">
      <alignment horizontal="center" wrapText="1"/>
    </xf>
    <xf numFmtId="4" fontId="53" fillId="0" borderId="0" xfId="2" applyNumberFormat="1" applyFont="1" applyFill="1" applyBorder="1" applyAlignment="1">
      <alignment wrapText="1"/>
    </xf>
    <xf numFmtId="4" fontId="43" fillId="0" borderId="56" xfId="2" applyNumberFormat="1" applyFont="1" applyFill="1" applyBorder="1" applyAlignment="1">
      <alignment wrapText="1"/>
    </xf>
    <xf numFmtId="164" fontId="43" fillId="0" borderId="43" xfId="2" applyNumberFormat="1" applyFont="1" applyFill="1" applyBorder="1" applyAlignment="1">
      <alignment wrapText="1"/>
    </xf>
    <xf numFmtId="164" fontId="43" fillId="0" borderId="42" xfId="2" applyNumberFormat="1" applyFont="1" applyFill="1" applyBorder="1" applyAlignment="1">
      <alignment wrapText="1"/>
    </xf>
    <xf numFmtId="4" fontId="43" fillId="0" borderId="43" xfId="2" applyNumberFormat="1" applyFont="1" applyFill="1" applyBorder="1" applyAlignment="1">
      <alignment wrapText="1"/>
    </xf>
    <xf numFmtId="164" fontId="43" fillId="0" borderId="57" xfId="2" applyNumberFormat="1" applyFont="1" applyFill="1" applyBorder="1" applyAlignment="1">
      <alignment horizontal="right" wrapText="1"/>
    </xf>
    <xf numFmtId="4" fontId="43" fillId="0" borderId="36" xfId="2" applyNumberFormat="1" applyFont="1" applyFill="1" applyBorder="1" applyAlignment="1">
      <alignment wrapText="1"/>
    </xf>
    <xf numFmtId="164" fontId="43" fillId="0" borderId="0" xfId="2" applyNumberFormat="1" applyFont="1" applyFill="1" applyBorder="1" applyAlignment="1">
      <alignment wrapText="1"/>
    </xf>
    <xf numFmtId="164" fontId="43" fillId="0" borderId="24" xfId="2" applyNumberFormat="1" applyFont="1" applyFill="1" applyBorder="1" applyAlignment="1">
      <alignment wrapText="1"/>
    </xf>
    <xf numFmtId="164" fontId="43" fillId="0" borderId="18" xfId="2" applyNumberFormat="1" applyFont="1" applyFill="1" applyBorder="1" applyAlignment="1">
      <alignment horizontal="right" wrapText="1"/>
    </xf>
    <xf numFmtId="4" fontId="43" fillId="0" borderId="58" xfId="2" applyNumberFormat="1" applyFont="1" applyFill="1" applyBorder="1" applyAlignment="1">
      <alignment wrapText="1"/>
    </xf>
    <xf numFmtId="164" fontId="43" fillId="0" borderId="26" xfId="2" applyNumberFormat="1" applyFont="1" applyFill="1" applyBorder="1" applyAlignment="1">
      <alignment wrapText="1"/>
    </xf>
    <xf numFmtId="4" fontId="43" fillId="0" borderId="21" xfId="2" applyNumberFormat="1" applyFont="1" applyFill="1" applyBorder="1" applyAlignment="1">
      <alignment wrapText="1"/>
    </xf>
    <xf numFmtId="164" fontId="43" fillId="0" borderId="59" xfId="2" applyNumberFormat="1" applyFont="1" applyFill="1" applyBorder="1" applyAlignment="1">
      <alignment horizontal="right" wrapText="1"/>
    </xf>
    <xf numFmtId="164" fontId="43" fillId="0" borderId="43" xfId="2" applyNumberFormat="1" applyFont="1" applyFill="1" applyBorder="1" applyAlignment="1">
      <alignment horizontal="right" wrapText="1"/>
    </xf>
    <xf numFmtId="164" fontId="43" fillId="0" borderId="0" xfId="2" applyNumberFormat="1" applyFont="1" applyFill="1" applyBorder="1" applyAlignment="1">
      <alignment horizontal="right" wrapText="1"/>
    </xf>
    <xf numFmtId="4" fontId="54" fillId="0" borderId="36" xfId="2" applyNumberFormat="1" applyFont="1" applyFill="1" applyBorder="1" applyAlignment="1">
      <alignment vertical="center" wrapText="1"/>
    </xf>
    <xf numFmtId="16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vertical="center" wrapText="1"/>
    </xf>
    <xf numFmtId="164" fontId="43" fillId="0" borderId="18" xfId="2" applyNumberFormat="1" applyFont="1" applyFill="1" applyBorder="1" applyAlignment="1">
      <alignment horizontal="right" vertical="center" wrapText="1"/>
    </xf>
    <xf numFmtId="4" fontId="45" fillId="7" borderId="0" xfId="2" applyNumberFormat="1" applyFont="1" applyFill="1" applyBorder="1" applyAlignment="1">
      <alignment vertical="center" wrapText="1"/>
    </xf>
    <xf numFmtId="4" fontId="49" fillId="0" borderId="0" xfId="2" applyNumberFormat="1" applyFont="1" applyFill="1" applyBorder="1" applyAlignment="1">
      <alignment wrapText="1"/>
    </xf>
    <xf numFmtId="2" fontId="43" fillId="0" borderId="0" xfId="2" applyNumberFormat="1" applyFont="1" applyFill="1" applyBorder="1" applyAlignment="1">
      <alignment wrapText="1"/>
    </xf>
    <xf numFmtId="4" fontId="45" fillId="0" borderId="60" xfId="2" applyNumberFormat="1" applyFont="1" applyFill="1" applyBorder="1" applyAlignment="1">
      <alignment vertical="center" wrapText="1"/>
    </xf>
    <xf numFmtId="164" fontId="45" fillId="0" borderId="61" xfId="2" applyNumberFormat="1" applyFont="1" applyFill="1" applyBorder="1" applyAlignment="1">
      <alignment horizontal="right" vertical="center" wrapText="1"/>
    </xf>
    <xf numFmtId="164" fontId="45" fillId="0" borderId="62" xfId="2" applyNumberFormat="1" applyFont="1" applyFill="1" applyBorder="1" applyAlignment="1">
      <alignment horizontal="right" vertical="center" wrapText="1"/>
    </xf>
    <xf numFmtId="4" fontId="45" fillId="0" borderId="63" xfId="2" applyNumberFormat="1" applyFont="1" applyFill="1" applyBorder="1" applyAlignment="1">
      <alignment vertical="center" wrapText="1"/>
    </xf>
    <xf numFmtId="164" fontId="45" fillId="0" borderId="64" xfId="2" applyNumberFormat="1" applyFont="1" applyFill="1" applyBorder="1" applyAlignment="1">
      <alignment horizontal="right" vertical="center" wrapText="1"/>
    </xf>
    <xf numFmtId="170" fontId="43" fillId="0" borderId="0" xfId="2" applyNumberFormat="1" applyFont="1" applyFill="1" applyBorder="1" applyAlignment="1">
      <alignment wrapText="1"/>
    </xf>
    <xf numFmtId="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horizontal="center" vertical="center" wrapText="1"/>
    </xf>
    <xf numFmtId="4" fontId="43" fillId="9" borderId="64" xfId="2" applyNumberFormat="1" applyFont="1" applyFill="1" applyBorder="1" applyAlignment="1">
      <alignment vertical="center" wrapText="1"/>
    </xf>
    <xf numFmtId="4" fontId="43" fillId="9" borderId="65" xfId="2" applyNumberFormat="1" applyFont="1" applyFill="1" applyBorder="1" applyAlignment="1">
      <alignment vertical="center" wrapText="1"/>
    </xf>
    <xf numFmtId="4" fontId="53" fillId="0" borderId="0" xfId="2" applyNumberFormat="1" applyFont="1" applyFill="1" applyBorder="1" applyAlignment="1">
      <alignment horizontal="right" vertical="center" wrapText="1"/>
    </xf>
    <xf numFmtId="4" fontId="53" fillId="0" borderId="0" xfId="2" applyNumberFormat="1" applyFont="1" applyFill="1" applyBorder="1" applyAlignment="1">
      <alignment vertical="center" wrapText="1"/>
    </xf>
    <xf numFmtId="4" fontId="55" fillId="0" borderId="0" xfId="2" applyNumberFormat="1" applyFont="1" applyFill="1" applyBorder="1" applyAlignment="1">
      <alignment vertical="center" wrapText="1"/>
    </xf>
    <xf numFmtId="4" fontId="43" fillId="9" borderId="18" xfId="2" applyNumberFormat="1" applyFont="1" applyFill="1" applyBorder="1" applyAlignment="1">
      <alignment wrapText="1"/>
    </xf>
    <xf numFmtId="4" fontId="43" fillId="9" borderId="37" xfId="2" applyNumberFormat="1" applyFont="1" applyFill="1" applyBorder="1" applyAlignment="1">
      <alignment wrapText="1"/>
    </xf>
    <xf numFmtId="2" fontId="53" fillId="0" borderId="0" xfId="2" applyNumberFormat="1" applyFont="1" applyFill="1" applyBorder="1" applyAlignment="1">
      <alignment wrapText="1"/>
    </xf>
    <xf numFmtId="4" fontId="43" fillId="9" borderId="59" xfId="2" applyNumberFormat="1" applyFont="1" applyFill="1" applyBorder="1" applyAlignment="1">
      <alignment wrapText="1"/>
    </xf>
    <xf numFmtId="4" fontId="43" fillId="0" borderId="28" xfId="2" applyNumberFormat="1" applyFont="1" applyFill="1" applyBorder="1" applyAlignment="1">
      <alignment vertical="center" wrapText="1"/>
    </xf>
    <xf numFmtId="4" fontId="56" fillId="0" borderId="0" xfId="2" applyNumberFormat="1" applyFont="1" applyFill="1" applyBorder="1" applyAlignment="1">
      <alignment horizontal="right" wrapText="1"/>
    </xf>
    <xf numFmtId="4" fontId="57" fillId="7" borderId="0" xfId="2" applyNumberFormat="1" applyFont="1" applyFill="1" applyBorder="1" applyAlignment="1">
      <alignment wrapText="1"/>
    </xf>
    <xf numFmtId="4" fontId="58" fillId="0" borderId="0" xfId="2" applyNumberFormat="1" applyFont="1" applyFill="1" applyBorder="1" applyAlignment="1">
      <alignment wrapText="1"/>
    </xf>
    <xf numFmtId="2" fontId="58" fillId="0" borderId="0" xfId="2" applyNumberFormat="1" applyFont="1" applyFill="1" applyBorder="1" applyAlignment="1">
      <alignment wrapText="1"/>
    </xf>
    <xf numFmtId="4" fontId="59" fillId="0" borderId="0" xfId="2" applyNumberFormat="1" applyFont="1" applyFill="1" applyBorder="1" applyAlignment="1">
      <alignment wrapText="1"/>
    </xf>
    <xf numFmtId="171" fontId="58" fillId="0" borderId="0" xfId="2" applyNumberFormat="1" applyFont="1" applyFill="1" applyBorder="1" applyAlignment="1">
      <alignment wrapText="1"/>
    </xf>
    <xf numFmtId="4" fontId="54" fillId="0" borderId="0" xfId="2" applyNumberFormat="1" applyFont="1" applyFill="1" applyBorder="1" applyAlignment="1">
      <alignment wrapText="1"/>
    </xf>
    <xf numFmtId="4" fontId="45" fillId="0" borderId="0" xfId="2" applyNumberFormat="1" applyFont="1" applyFill="1" applyBorder="1" applyAlignment="1">
      <alignment wrapText="1"/>
    </xf>
    <xf numFmtId="2" fontId="59" fillId="0" borderId="0" xfId="2" applyNumberFormat="1" applyFont="1" applyFill="1" applyBorder="1" applyAlignment="1">
      <alignment wrapText="1"/>
    </xf>
    <xf numFmtId="4" fontId="55" fillId="0" borderId="0" xfId="2" applyNumberFormat="1" applyFont="1" applyFill="1" applyBorder="1" applyAlignment="1">
      <alignment wrapText="1"/>
    </xf>
    <xf numFmtId="4" fontId="60" fillId="0" borderId="0" xfId="2" applyNumberFormat="1" applyFont="1" applyFill="1" applyBorder="1" applyAlignment="1">
      <alignment wrapText="1"/>
    </xf>
    <xf numFmtId="0" fontId="12" fillId="0" borderId="0" xfId="2" applyFont="1"/>
    <xf numFmtId="0" fontId="10" fillId="8" borderId="0" xfId="2" applyFont="1" applyFill="1" applyAlignment="1">
      <alignment horizontal="center"/>
    </xf>
    <xf numFmtId="0" fontId="10" fillId="0" borderId="0" xfId="2" applyFont="1" applyFill="1" applyAlignment="1">
      <alignment horizontal="center"/>
    </xf>
    <xf numFmtId="1" fontId="9" fillId="0" borderId="0" xfId="2" applyNumberFormat="1"/>
    <xf numFmtId="0" fontId="62" fillId="0" borderId="0" xfId="2" applyFont="1"/>
    <xf numFmtId="0" fontId="51" fillId="6" borderId="66" xfId="2" applyFont="1" applyFill="1" applyBorder="1" applyAlignment="1">
      <alignment horizontal="left"/>
    </xf>
    <xf numFmtId="0" fontId="51" fillId="6" borderId="67" xfId="2" applyFont="1" applyFill="1" applyBorder="1" applyAlignment="1">
      <alignment horizontal="left"/>
    </xf>
    <xf numFmtId="0" fontId="9" fillId="5" borderId="68" xfId="2" applyFont="1" applyFill="1" applyBorder="1" applyAlignment="1">
      <alignment horizontal="center"/>
    </xf>
    <xf numFmtId="0" fontId="41" fillId="0" borderId="0" xfId="5"/>
    <xf numFmtId="4" fontId="59" fillId="0" borderId="0" xfId="2" applyNumberFormat="1" applyFont="1" applyFill="1" applyBorder="1" applyAlignment="1">
      <alignment horizontal="right"/>
    </xf>
    <xf numFmtId="43" fontId="59" fillId="0" borderId="0" xfId="1" applyFont="1" applyFill="1" applyBorder="1" applyAlignment="1">
      <alignment wrapText="1"/>
    </xf>
    <xf numFmtId="0" fontId="51"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1" fillId="6" borderId="51" xfId="0" applyFont="1" applyFill="1" applyBorder="1" applyAlignment="1">
      <alignment wrapText="1"/>
    </xf>
    <xf numFmtId="0" fontId="64" fillId="0" borderId="0" xfId="0" applyFont="1"/>
    <xf numFmtId="3" fontId="0" fillId="0" borderId="0" xfId="0" applyNumberFormat="1"/>
    <xf numFmtId="168" fontId="0" fillId="0" borderId="0" xfId="0" applyNumberFormat="1"/>
    <xf numFmtId="0" fontId="23" fillId="0" borderId="0" xfId="0" quotePrefix="1" applyFont="1" applyBorder="1" applyAlignment="1">
      <alignment vertical="center" wrapText="1"/>
    </xf>
    <xf numFmtId="0" fontId="18" fillId="0" borderId="0" xfId="0" applyFont="1" applyBorder="1" applyAlignment="1">
      <alignment horizontal="right"/>
    </xf>
    <xf numFmtId="0" fontId="18" fillId="0" borderId="0" xfId="0" applyFont="1" applyBorder="1"/>
    <xf numFmtId="4" fontId="24" fillId="0" borderId="51" xfId="0" applyNumberFormat="1" applyFont="1" applyBorder="1"/>
    <xf numFmtId="0" fontId="18" fillId="0" borderId="51" xfId="0" applyFont="1" applyBorder="1"/>
    <xf numFmtId="4" fontId="24" fillId="0" borderId="71" xfId="0" applyNumberFormat="1" applyFont="1" applyBorder="1" applyAlignment="1">
      <alignment horizontal="right" indent="2"/>
    </xf>
    <xf numFmtId="4" fontId="24" fillId="0" borderId="72" xfId="0" applyNumberFormat="1" applyFont="1" applyBorder="1"/>
    <xf numFmtId="4" fontId="24" fillId="0" borderId="52" xfId="0" applyNumberFormat="1" applyFont="1" applyBorder="1"/>
    <xf numFmtId="4" fontId="25" fillId="0" borderId="70" xfId="0" applyNumberFormat="1" applyFont="1" applyBorder="1" applyAlignment="1">
      <alignment horizontal="right" indent="3"/>
    </xf>
    <xf numFmtId="0" fontId="18" fillId="0" borderId="0" xfId="0" applyFont="1" applyFill="1" applyAlignment="1">
      <alignment vertical="center"/>
    </xf>
    <xf numFmtId="49" fontId="22" fillId="0" borderId="0" xfId="0" applyNumberFormat="1" applyFont="1" applyAlignment="1">
      <alignment horizontal="left"/>
    </xf>
    <xf numFmtId="49" fontId="67" fillId="0" borderId="0" xfId="0" applyNumberFormat="1" applyFont="1" applyAlignment="1">
      <alignment horizontal="left"/>
    </xf>
    <xf numFmtId="4" fontId="24" fillId="2" borderId="73" xfId="0" applyNumberFormat="1" applyFont="1" applyFill="1" applyBorder="1"/>
    <xf numFmtId="4" fontId="24" fillId="2" borderId="4" xfId="0" applyNumberFormat="1" applyFont="1" applyFill="1" applyBorder="1"/>
    <xf numFmtId="4" fontId="24" fillId="2" borderId="2" xfId="0" applyNumberFormat="1" applyFont="1" applyFill="1" applyBorder="1"/>
    <xf numFmtId="0" fontId="18" fillId="2" borderId="2" xfId="0" applyFont="1" applyFill="1" applyBorder="1"/>
    <xf numFmtId="4" fontId="24" fillId="2" borderId="74" xfId="0" applyNumberFormat="1" applyFont="1" applyFill="1" applyBorder="1" applyAlignment="1">
      <alignment horizontal="right" indent="1"/>
    </xf>
    <xf numFmtId="4" fontId="25" fillId="2" borderId="75" xfId="0" applyNumberFormat="1" applyFont="1" applyFill="1" applyBorder="1" applyAlignment="1">
      <alignment horizontal="right" indent="1"/>
    </xf>
    <xf numFmtId="164" fontId="24" fillId="2" borderId="75" xfId="0" applyNumberFormat="1" applyFont="1" applyFill="1" applyBorder="1"/>
    <xf numFmtId="4" fontId="24" fillId="2" borderId="74" xfId="0" applyNumberFormat="1" applyFont="1" applyFill="1" applyBorder="1" applyAlignment="1">
      <alignment horizontal="right" indent="2"/>
    </xf>
    <xf numFmtId="4" fontId="24" fillId="2" borderId="2" xfId="0" applyNumberFormat="1" applyFont="1" applyFill="1" applyBorder="1" applyAlignment="1">
      <alignment horizontal="right" indent="2"/>
    </xf>
    <xf numFmtId="4" fontId="25" fillId="2" borderId="75" xfId="0" applyNumberFormat="1" applyFont="1" applyFill="1" applyBorder="1" applyAlignment="1">
      <alignment horizontal="right" indent="2"/>
    </xf>
    <xf numFmtId="4" fontId="24" fillId="0" borderId="69" xfId="0" applyNumberFormat="1" applyFont="1" applyBorder="1"/>
    <xf numFmtId="4" fontId="24" fillId="0" borderId="76" xfId="0" applyNumberFormat="1" applyFont="1" applyBorder="1"/>
    <xf numFmtId="4" fontId="24" fillId="0" borderId="68" xfId="0" applyNumberFormat="1" applyFont="1" applyBorder="1"/>
    <xf numFmtId="0" fontId="18" fillId="0" borderId="68" xfId="0" applyFont="1" applyBorder="1"/>
    <xf numFmtId="4" fontId="24" fillId="2" borderId="77" xfId="0" applyNumberFormat="1" applyFont="1" applyFill="1" applyBorder="1" applyAlignment="1">
      <alignment horizontal="right" indent="1"/>
    </xf>
    <xf numFmtId="4" fontId="25" fillId="0" borderId="78" xfId="0" applyNumberFormat="1" applyFont="1" applyBorder="1" applyAlignment="1">
      <alignment horizontal="right" indent="1"/>
    </xf>
    <xf numFmtId="164" fontId="24" fillId="0" borderId="78" xfId="0" applyNumberFormat="1" applyFont="1" applyBorder="1"/>
    <xf numFmtId="4" fontId="24" fillId="2" borderId="77" xfId="0" applyNumberFormat="1" applyFont="1" applyFill="1" applyBorder="1" applyAlignment="1">
      <alignment horizontal="right" indent="2"/>
    </xf>
    <xf numFmtId="4" fontId="24" fillId="2" borderId="68" xfId="0" applyNumberFormat="1" applyFont="1" applyFill="1" applyBorder="1" applyAlignment="1">
      <alignment horizontal="right" indent="2"/>
    </xf>
    <xf numFmtId="4" fontId="25" fillId="0" borderId="78" xfId="0" applyNumberFormat="1" applyFont="1" applyBorder="1" applyAlignment="1">
      <alignment horizontal="right" indent="2"/>
    </xf>
    <xf numFmtId="4" fontId="25" fillId="0" borderId="79" xfId="0" applyNumberFormat="1" applyFont="1" applyBorder="1" applyAlignment="1">
      <alignment horizontal="right" indent="3"/>
    </xf>
    <xf numFmtId="4" fontId="24" fillId="2" borderId="69" xfId="0" applyNumberFormat="1" applyFont="1" applyFill="1" applyBorder="1"/>
    <xf numFmtId="4" fontId="24" fillId="2" borderId="76" xfId="0" applyNumberFormat="1" applyFont="1" applyFill="1" applyBorder="1"/>
    <xf numFmtId="4" fontId="24" fillId="2" borderId="68" xfId="0" applyNumberFormat="1" applyFont="1" applyFill="1" applyBorder="1"/>
    <xf numFmtId="0" fontId="18" fillId="2" borderId="68" xfId="0" applyFont="1" applyFill="1" applyBorder="1"/>
    <xf numFmtId="4" fontId="25" fillId="2" borderId="78" xfId="0" applyNumberFormat="1" applyFont="1" applyFill="1" applyBorder="1" applyAlignment="1">
      <alignment horizontal="right" indent="1"/>
    </xf>
    <xf numFmtId="164" fontId="24" fillId="2" borderId="78" xfId="0" applyNumberFormat="1" applyFont="1" applyFill="1" applyBorder="1"/>
    <xf numFmtId="4" fontId="25" fillId="2" borderId="78" xfId="0" applyNumberFormat="1" applyFont="1" applyFill="1" applyBorder="1" applyAlignment="1">
      <alignment horizontal="right" indent="2"/>
    </xf>
    <xf numFmtId="4" fontId="25" fillId="2" borderId="79" xfId="0" applyNumberFormat="1" applyFont="1" applyFill="1" applyBorder="1" applyAlignment="1">
      <alignment horizontal="right" indent="3"/>
    </xf>
    <xf numFmtId="4" fontId="24" fillId="0" borderId="68" xfId="0" applyNumberFormat="1" applyFont="1" applyBorder="1" applyAlignment="1">
      <alignment horizontal="right" indent="2"/>
    </xf>
    <xf numFmtId="4" fontId="24" fillId="2" borderId="80" xfId="0" applyNumberFormat="1" applyFont="1" applyFill="1" applyBorder="1" applyAlignment="1">
      <alignment horizontal="right" indent="1"/>
    </xf>
    <xf numFmtId="4" fontId="25" fillId="0" borderId="81" xfId="0" applyNumberFormat="1" applyFont="1" applyBorder="1" applyAlignment="1">
      <alignment horizontal="right" indent="1"/>
    </xf>
    <xf numFmtId="164" fontId="24" fillId="0" borderId="82" xfId="0" applyNumberFormat="1" applyFont="1" applyBorder="1"/>
    <xf numFmtId="4" fontId="24" fillId="2" borderId="80" xfId="0" applyNumberFormat="1" applyFont="1" applyFill="1" applyBorder="1" applyAlignment="1">
      <alignment horizontal="right" indent="2"/>
    </xf>
    <xf numFmtId="4" fontId="25" fillId="0" borderId="81" xfId="0" applyNumberFormat="1" applyFont="1" applyBorder="1" applyAlignment="1">
      <alignment horizontal="right" indent="2"/>
    </xf>
    <xf numFmtId="49" fontId="68" fillId="6" borderId="6" xfId="0" applyNumberFormat="1" applyFont="1" applyFill="1" applyBorder="1" applyAlignment="1">
      <alignment horizontal="left"/>
    </xf>
    <xf numFmtId="49" fontId="68" fillId="6" borderId="0" xfId="0" applyNumberFormat="1" applyFont="1" applyFill="1" applyBorder="1" applyAlignment="1">
      <alignment horizontal="left"/>
    </xf>
    <xf numFmtId="49" fontId="68" fillId="6" borderId="5" xfId="0" applyNumberFormat="1" applyFont="1" applyFill="1" applyBorder="1" applyAlignment="1">
      <alignment horizontal="left"/>
    </xf>
    <xf numFmtId="0" fontId="7" fillId="0" borderId="0" xfId="2" applyFont="1"/>
    <xf numFmtId="1" fontId="9" fillId="0" borderId="0" xfId="2" applyNumberFormat="1" applyFill="1"/>
    <xf numFmtId="0" fontId="69" fillId="0" borderId="0" xfId="2" applyFont="1"/>
    <xf numFmtId="0" fontId="11" fillId="0" borderId="0" xfId="2" applyFont="1"/>
    <xf numFmtId="2" fontId="11" fillId="0" borderId="0" xfId="2" applyNumberFormat="1" applyFont="1" applyFill="1"/>
    <xf numFmtId="2" fontId="22" fillId="0" borderId="0" xfId="2" applyNumberFormat="1" applyFont="1"/>
    <xf numFmtId="0" fontId="6" fillId="0" borderId="0" xfId="2" applyFont="1"/>
    <xf numFmtId="2" fontId="9" fillId="5" borderId="51" xfId="2" applyNumberFormat="1" applyFont="1" applyFill="1" applyBorder="1" applyAlignment="1">
      <alignment horizontal="center"/>
    </xf>
    <xf numFmtId="2" fontId="9" fillId="5" borderId="68" xfId="2" applyNumberFormat="1" applyFont="1" applyFill="1" applyBorder="1" applyAlignment="1">
      <alignment horizontal="center"/>
    </xf>
    <xf numFmtId="0" fontId="9" fillId="5" borderId="0" xfId="2" applyFill="1"/>
    <xf numFmtId="0" fontId="5" fillId="0" borderId="0" xfId="2" applyFont="1"/>
    <xf numFmtId="1" fontId="9" fillId="41" borderId="51" xfId="2" applyNumberFormat="1" applyFont="1" applyFill="1" applyBorder="1" applyAlignment="1">
      <alignment horizontal="center"/>
    </xf>
    <xf numFmtId="1" fontId="9" fillId="41" borderId="68" xfId="2" applyNumberFormat="1" applyFont="1" applyFill="1" applyBorder="1" applyAlignment="1">
      <alignment horizontal="center"/>
    </xf>
    <xf numFmtId="0" fontId="9" fillId="41" borderId="0" xfId="2" applyFill="1"/>
    <xf numFmtId="2" fontId="9" fillId="3" borderId="51" xfId="2" applyNumberFormat="1" applyFont="1" applyFill="1" applyBorder="1" applyAlignment="1">
      <alignment horizontal="center"/>
    </xf>
    <xf numFmtId="0" fontId="9" fillId="3" borderId="0" xfId="2" applyFill="1"/>
    <xf numFmtId="4" fontId="9" fillId="3" borderId="51" xfId="2" applyNumberFormat="1" applyFont="1" applyFill="1" applyBorder="1" applyAlignment="1">
      <alignment horizontal="center"/>
    </xf>
    <xf numFmtId="0" fontId="9" fillId="42" borderId="51" xfId="2" applyFont="1" applyFill="1" applyBorder="1" applyAlignment="1">
      <alignment horizontal="center"/>
    </xf>
    <xf numFmtId="0" fontId="9" fillId="42" borderId="52" xfId="2" applyFont="1" applyFill="1" applyBorder="1" applyAlignment="1">
      <alignment horizontal="center"/>
    </xf>
    <xf numFmtId="0" fontId="9" fillId="42" borderId="68" xfId="2" applyFont="1" applyFill="1" applyBorder="1" applyAlignment="1">
      <alignment horizontal="center"/>
    </xf>
    <xf numFmtId="0" fontId="9" fillId="42" borderId="69" xfId="2" applyFont="1" applyFill="1" applyBorder="1" applyAlignment="1">
      <alignment horizontal="center"/>
    </xf>
    <xf numFmtId="0" fontId="9" fillId="42" borderId="0" xfId="2" applyFill="1"/>
    <xf numFmtId="0" fontId="9" fillId="43" borderId="0" xfId="2" applyFill="1"/>
    <xf numFmtId="2" fontId="9" fillId="43" borderId="51" xfId="2" applyNumberFormat="1" applyFont="1" applyFill="1" applyBorder="1" applyAlignment="1">
      <alignment horizontal="center"/>
    </xf>
    <xf numFmtId="0" fontId="9" fillId="42" borderId="51" xfId="2" applyNumberFormat="1" applyFont="1" applyFill="1" applyBorder="1" applyAlignment="1">
      <alignment horizontal="center"/>
    </xf>
    <xf numFmtId="0" fontId="9" fillId="42" borderId="68" xfId="2" applyNumberFormat="1" applyFont="1" applyFill="1" applyBorder="1" applyAlignment="1">
      <alignment horizontal="center"/>
    </xf>
    <xf numFmtId="4" fontId="43" fillId="0" borderId="0" xfId="2" applyNumberFormat="1" applyFont="1" applyFill="1" applyBorder="1" applyAlignment="1">
      <alignment wrapText="1"/>
    </xf>
    <xf numFmtId="4" fontId="43" fillId="0" borderId="0" xfId="2" applyNumberFormat="1" applyFont="1" applyFill="1" applyBorder="1" applyAlignment="1">
      <alignment vertical="center" wrapText="1"/>
    </xf>
    <xf numFmtId="0" fontId="9" fillId="8" borderId="0" xfId="2" applyFill="1"/>
    <xf numFmtId="0" fontId="4" fillId="0" borderId="0" xfId="2" applyFont="1"/>
    <xf numFmtId="0" fontId="9" fillId="44" borderId="0" xfId="2" applyFill="1"/>
    <xf numFmtId="0" fontId="9" fillId="45" borderId="0" xfId="2" applyFill="1"/>
    <xf numFmtId="0" fontId="31" fillId="0" borderId="0" xfId="2" applyFont="1"/>
    <xf numFmtId="43" fontId="21" fillId="0" borderId="0" xfId="2" applyNumberFormat="1" applyFont="1"/>
    <xf numFmtId="4" fontId="47" fillId="0" borderId="0" xfId="2" applyNumberFormat="1" applyFont="1" applyFill="1" applyBorder="1" applyAlignment="1">
      <alignment wrapText="1"/>
    </xf>
    <xf numFmtId="4" fontId="83" fillId="46" borderId="0" xfId="2" applyNumberFormat="1" applyFont="1" applyFill="1" applyBorder="1" applyAlignment="1">
      <alignment wrapText="1"/>
    </xf>
    <xf numFmtId="4" fontId="47" fillId="0" borderId="27" xfId="2" applyNumberFormat="1" applyFont="1" applyFill="1" applyBorder="1" applyAlignment="1">
      <alignment wrapText="1"/>
    </xf>
    <xf numFmtId="164" fontId="53" fillId="0" borderId="0" xfId="2" applyNumberFormat="1" applyFont="1" applyFill="1" applyBorder="1" applyAlignment="1">
      <alignment wrapText="1"/>
    </xf>
    <xf numFmtId="4" fontId="84" fillId="0" borderId="0" xfId="2" applyNumberFormat="1" applyFont="1" applyFill="1" applyBorder="1" applyAlignment="1">
      <alignment wrapText="1"/>
    </xf>
    <xf numFmtId="172" fontId="9" fillId="0" borderId="0" xfId="2" applyNumberFormat="1"/>
    <xf numFmtId="0" fontId="65" fillId="0" borderId="0" xfId="53" applyFont="1"/>
    <xf numFmtId="0" fontId="66" fillId="0" borderId="0" xfId="53" applyFont="1" applyAlignment="1">
      <alignment horizontal="center" vertical="center"/>
    </xf>
    <xf numFmtId="0" fontId="66" fillId="0" borderId="0" xfId="53" applyFont="1" applyAlignment="1">
      <alignment horizontal="justify" vertical="center"/>
    </xf>
    <xf numFmtId="0" fontId="63" fillId="0" borderId="0" xfId="53" applyFont="1"/>
    <xf numFmtId="0" fontId="50" fillId="0" borderId="0" xfId="53" applyFont="1" applyAlignment="1">
      <alignment horizontal="center" vertical="center"/>
    </xf>
    <xf numFmtId="0" fontId="50" fillId="0" borderId="0" xfId="53" applyFont="1" applyAlignment="1">
      <alignment horizontal="justify" vertical="center"/>
    </xf>
    <xf numFmtId="0" fontId="3" fillId="0" borderId="0" xfId="53"/>
    <xf numFmtId="0" fontId="13" fillId="0" borderId="0" xfId="53" applyFont="1" applyAlignment="1">
      <alignment horizontal="center" vertical="center"/>
    </xf>
    <xf numFmtId="0" fontId="10" fillId="0" borderId="0" xfId="53" applyFont="1" applyAlignment="1">
      <alignment horizontal="justify" vertical="center"/>
    </xf>
    <xf numFmtId="0" fontId="10" fillId="0" borderId="0" xfId="53" applyFont="1" applyAlignment="1">
      <alignment horizontal="right"/>
    </xf>
    <xf numFmtId="0" fontId="10" fillId="0" borderId="0" xfId="53" applyFont="1"/>
    <xf numFmtId="0" fontId="15" fillId="0" borderId="0" xfId="53" applyFont="1" applyAlignment="1">
      <alignment horizontal="center" vertical="center"/>
    </xf>
    <xf numFmtId="0" fontId="3" fillId="0" borderId="0" xfId="53" applyAlignment="1">
      <alignment horizontal="justify" vertical="center"/>
    </xf>
    <xf numFmtId="0" fontId="3" fillId="0" borderId="0" xfId="53" applyAlignment="1"/>
    <xf numFmtId="0" fontId="3" fillId="0" borderId="0" xfId="53" applyFont="1"/>
    <xf numFmtId="0" fontId="14" fillId="0" borderId="0" xfId="53" applyFont="1" applyAlignment="1">
      <alignment horizontal="center" vertical="center"/>
    </xf>
    <xf numFmtId="0" fontId="3" fillId="0" borderId="0" xfId="53" applyFont="1" applyAlignment="1">
      <alignment horizontal="right"/>
    </xf>
    <xf numFmtId="0" fontId="10" fillId="0" borderId="0" xfId="53" applyFont="1" applyAlignment="1">
      <alignment vertical="center"/>
    </xf>
    <xf numFmtId="0" fontId="10" fillId="0" borderId="0" xfId="53" applyFont="1" applyAlignment="1">
      <alignment horizontal="justify" vertical="top"/>
    </xf>
    <xf numFmtId="0" fontId="3" fillId="0" borderId="0" xfId="53" applyFont="1" applyAlignment="1">
      <alignment vertical="top"/>
    </xf>
    <xf numFmtId="0" fontId="3" fillId="0" borderId="0" xfId="53" applyFont="1" applyAlignment="1">
      <alignment horizontal="right" vertical="top"/>
    </xf>
    <xf numFmtId="0" fontId="3" fillId="0" borderId="0" xfId="53" applyAlignment="1">
      <alignment vertical="top"/>
    </xf>
    <xf numFmtId="0" fontId="15" fillId="0" borderId="0" xfId="53" applyFont="1" applyAlignment="1">
      <alignment horizontal="center" vertical="top"/>
    </xf>
    <xf numFmtId="4" fontId="43" fillId="0" borderId="0" xfId="2" applyNumberFormat="1" applyFont="1" applyFill="1" applyBorder="1" applyAlignment="1">
      <alignment wrapText="1"/>
    </xf>
    <xf numFmtId="169" fontId="11" fillId="0" borderId="0" xfId="2" applyNumberFormat="1" applyFont="1"/>
    <xf numFmtId="169" fontId="11" fillId="0" borderId="0" xfId="2" applyNumberFormat="1" applyFont="1" applyFill="1"/>
    <xf numFmtId="169" fontId="43" fillId="0" borderId="0" xfId="2" applyNumberFormat="1" applyFont="1" applyFill="1" applyBorder="1" applyAlignment="1">
      <alignment wrapText="1"/>
    </xf>
    <xf numFmtId="3" fontId="43" fillId="0" borderId="0" xfId="2" applyNumberFormat="1" applyFont="1" applyFill="1" applyBorder="1" applyAlignment="1">
      <alignment wrapText="1"/>
    </xf>
    <xf numFmtId="0" fontId="21" fillId="0" borderId="0" xfId="2" applyFont="1" applyAlignment="1">
      <alignment horizontal="center"/>
    </xf>
    <xf numFmtId="169" fontId="18" fillId="0" borderId="0" xfId="2" applyNumberFormat="1" applyFont="1"/>
    <xf numFmtId="0" fontId="18" fillId="8" borderId="0" xfId="2" applyFont="1" applyFill="1"/>
    <xf numFmtId="4" fontId="18" fillId="8" borderId="0" xfId="2" applyNumberFormat="1" applyFont="1" applyFill="1"/>
    <xf numFmtId="0" fontId="31" fillId="8" borderId="0" xfId="2" applyFont="1" applyFill="1"/>
    <xf numFmtId="0" fontId="22" fillId="8" borderId="0" xfId="2" applyFont="1" applyFill="1"/>
    <xf numFmtId="14" fontId="22" fillId="8" borderId="0" xfId="2" applyNumberFormat="1" applyFont="1" applyFill="1" applyAlignment="1">
      <alignment horizontal="left"/>
    </xf>
    <xf numFmtId="0" fontId="22" fillId="8" borderId="0" xfId="2" applyFont="1" applyFill="1" applyAlignment="1">
      <alignment horizontal="left"/>
    </xf>
    <xf numFmtId="169" fontId="85" fillId="0" borderId="0" xfId="2" applyNumberFormat="1" applyFont="1"/>
    <xf numFmtId="0" fontId="2" fillId="42" borderId="51" xfId="2" applyFont="1" applyFill="1" applyBorder="1" applyAlignment="1">
      <alignment horizontal="center"/>
    </xf>
    <xf numFmtId="0" fontId="2" fillId="42" borderId="52" xfId="2" applyFont="1" applyFill="1" applyBorder="1" applyAlignment="1">
      <alignment horizontal="center"/>
    </xf>
    <xf numFmtId="0" fontId="2" fillId="0" borderId="0" xfId="2" applyFont="1"/>
    <xf numFmtId="0" fontId="3" fillId="0" borderId="0" xfId="53" applyFont="1" applyAlignment="1">
      <alignment horizontal="left" vertical="top" wrapText="1"/>
    </xf>
    <xf numFmtId="0" fontId="3" fillId="0" borderId="0" xfId="53" applyAlignment="1">
      <alignment horizontal="left" vertical="top" wrapText="1"/>
    </xf>
    <xf numFmtId="0" fontId="3" fillId="0" borderId="0" xfId="53" applyFont="1" applyAlignment="1">
      <alignment wrapText="1"/>
    </xf>
    <xf numFmtId="0" fontId="3" fillId="0" borderId="0" xfId="53" applyAlignment="1">
      <alignment horizontal="left" vertical="top" wrapText="1" indent="1"/>
    </xf>
    <xf numFmtId="0" fontId="18" fillId="0" borderId="0" xfId="2" applyFont="1" applyAlignment="1">
      <alignment horizontal="left"/>
    </xf>
    <xf numFmtId="0" fontId="18" fillId="0" borderId="0" xfId="2" applyFont="1" applyAlignment="1">
      <alignment horizontal="left" vertical="top" wrapText="1"/>
    </xf>
    <xf numFmtId="0" fontId="21" fillId="0" borderId="27" xfId="2" applyFont="1" applyBorder="1" applyAlignment="1">
      <alignment horizontal="center"/>
    </xf>
    <xf numFmtId="0" fontId="21" fillId="0" borderId="4" xfId="0"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7" xfId="0" applyFont="1" applyBorder="1" applyAlignment="1">
      <alignment horizontal="center" vertical="center" textRotation="90"/>
    </xf>
    <xf numFmtId="0" fontId="21" fillId="0" borderId="1" xfId="0" applyFont="1" applyBorder="1" applyAlignment="1">
      <alignment horizontal="center" vertical="center" textRotation="90"/>
    </xf>
    <xf numFmtId="0" fontId="21" fillId="0" borderId="5" xfId="0" applyFont="1" applyBorder="1" applyAlignment="1">
      <alignment horizontal="center" vertical="center" textRotation="90"/>
    </xf>
    <xf numFmtId="0" fontId="18" fillId="0" borderId="0" xfId="0" applyFont="1" applyAlignment="1">
      <alignment horizontal="left" wrapText="1"/>
    </xf>
    <xf numFmtId="0" fontId="17" fillId="0" borderId="0" xfId="0"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center"/>
    </xf>
    <xf numFmtId="0" fontId="21" fillId="0" borderId="4" xfId="0" applyFont="1" applyBorder="1" applyAlignment="1">
      <alignment horizontal="center"/>
    </xf>
    <xf numFmtId="0" fontId="21" fillId="0" borderId="2" xfId="0" applyFont="1" applyBorder="1" applyAlignment="1">
      <alignment horizontal="center"/>
    </xf>
    <xf numFmtId="0" fontId="21" fillId="0" borderId="3" xfId="0" applyFont="1" applyBorder="1" applyAlignment="1">
      <alignment horizontal="center"/>
    </xf>
    <xf numFmtId="0" fontId="18" fillId="0" borderId="0" xfId="2" applyFont="1" applyAlignment="1">
      <alignment horizontal="left" wrapText="1"/>
    </xf>
    <xf numFmtId="0" fontId="16" fillId="0" borderId="0" xfId="2" applyFont="1" applyAlignment="1">
      <alignment horizontal="left" wrapText="1"/>
    </xf>
    <xf numFmtId="0" fontId="33" fillId="0" borderId="41" xfId="2" applyFont="1" applyBorder="1" applyAlignment="1">
      <alignment horizontal="left" vertical="top" wrapText="1"/>
    </xf>
    <xf numFmtId="0" fontId="33" fillId="0" borderId="42" xfId="2" applyFont="1" applyBorder="1" applyAlignment="1">
      <alignment horizontal="left" vertical="top" wrapText="1"/>
    </xf>
    <xf numFmtId="0" fontId="33" fillId="0" borderId="23" xfId="2" applyFont="1" applyBorder="1" applyAlignment="1">
      <alignment horizontal="left" vertical="top" wrapText="1"/>
    </xf>
    <xf numFmtId="0" fontId="33" fillId="0" borderId="24" xfId="2" applyFont="1" applyBorder="1" applyAlignment="1">
      <alignment horizontal="left" vertical="top" wrapText="1"/>
    </xf>
    <xf numFmtId="0" fontId="33" fillId="0" borderId="25" xfId="2" applyFont="1" applyBorder="1" applyAlignment="1">
      <alignment horizontal="left" vertical="top" wrapText="1"/>
    </xf>
    <xf numFmtId="0" fontId="33" fillId="0" borderId="26" xfId="2" applyFont="1" applyBorder="1" applyAlignment="1">
      <alignment horizontal="left" vertical="top" wrapText="1"/>
    </xf>
    <xf numFmtId="0" fontId="18" fillId="0" borderId="0" xfId="2" applyFont="1" applyBorder="1" applyAlignment="1">
      <alignment horizontal="left" vertical="center" wrapText="1" indent="2"/>
    </xf>
    <xf numFmtId="0" fontId="36" fillId="0" borderId="41" xfId="2" applyFont="1" applyBorder="1" applyAlignment="1">
      <alignment horizontal="left" vertical="top" wrapText="1"/>
    </xf>
    <xf numFmtId="0" fontId="36" fillId="0" borderId="43" xfId="2" applyFont="1" applyBorder="1" applyAlignment="1">
      <alignment horizontal="left" vertical="top" wrapText="1"/>
    </xf>
    <xf numFmtId="0" fontId="36" fillId="0" borderId="42" xfId="2" applyFont="1" applyBorder="1" applyAlignment="1">
      <alignment horizontal="left" vertical="top" wrapText="1"/>
    </xf>
    <xf numFmtId="0" fontId="36" fillId="0" borderId="23" xfId="2" applyFont="1" applyBorder="1" applyAlignment="1">
      <alignment horizontal="left" vertical="top" wrapText="1"/>
    </xf>
    <xf numFmtId="0" fontId="36" fillId="0" borderId="0" xfId="2" applyFont="1" applyBorder="1" applyAlignment="1">
      <alignment horizontal="left" vertical="top" wrapText="1"/>
    </xf>
    <xf numFmtId="0" fontId="36" fillId="0" borderId="24" xfId="2" applyFont="1" applyBorder="1" applyAlignment="1">
      <alignment horizontal="left" vertical="top" wrapText="1"/>
    </xf>
    <xf numFmtId="0" fontId="36" fillId="0" borderId="25" xfId="2" applyFont="1" applyBorder="1" applyAlignment="1">
      <alignment horizontal="left" vertical="top" wrapText="1"/>
    </xf>
    <xf numFmtId="0" fontId="36" fillId="0" borderId="21" xfId="2" applyFont="1" applyBorder="1" applyAlignment="1">
      <alignment horizontal="left" vertical="top" wrapText="1"/>
    </xf>
    <xf numFmtId="0" fontId="36" fillId="0" borderId="26" xfId="2" applyFont="1" applyBorder="1" applyAlignment="1">
      <alignment horizontal="left" vertical="top" wrapText="1"/>
    </xf>
    <xf numFmtId="0" fontId="37" fillId="0" borderId="4" xfId="2" applyFont="1" applyBorder="1" applyAlignment="1">
      <alignment horizontal="center" vertical="center" textRotation="90"/>
    </xf>
    <xf numFmtId="0" fontId="37" fillId="0" borderId="6" xfId="2" applyFont="1" applyBorder="1" applyAlignment="1">
      <alignment horizontal="center" vertical="center" textRotation="90"/>
    </xf>
    <xf numFmtId="0" fontId="37" fillId="0" borderId="7" xfId="2" applyFont="1" applyBorder="1" applyAlignment="1">
      <alignment horizontal="center" vertical="center" textRotation="90"/>
    </xf>
    <xf numFmtId="4" fontId="24" fillId="2" borderId="6" xfId="2" applyNumberFormat="1" applyFont="1" applyFill="1" applyBorder="1" applyAlignment="1">
      <alignment horizontal="center"/>
    </xf>
    <xf numFmtId="4" fontId="24" fillId="2" borderId="0" xfId="2" applyNumberFormat="1" applyFont="1" applyFill="1" applyBorder="1" applyAlignment="1">
      <alignment horizontal="center"/>
    </xf>
    <xf numFmtId="4" fontId="24" fillId="0" borderId="6" xfId="2" applyNumberFormat="1" applyFont="1" applyBorder="1" applyAlignment="1">
      <alignment horizontal="center"/>
    </xf>
    <xf numFmtId="4" fontId="24" fillId="0" borderId="0" xfId="2" applyNumberFormat="1" applyFont="1" applyBorder="1" applyAlignment="1">
      <alignment horizontal="center"/>
    </xf>
    <xf numFmtId="0" fontId="21" fillId="0" borderId="0" xfId="2" applyFont="1" applyAlignment="1">
      <alignment horizontal="left" wrapText="1"/>
    </xf>
    <xf numFmtId="0" fontId="25" fillId="0" borderId="0" xfId="2" applyFont="1" applyBorder="1" applyAlignment="1">
      <alignment horizontal="center" wrapText="1"/>
    </xf>
    <xf numFmtId="0" fontId="44" fillId="0" borderId="0" xfId="2" applyFont="1" applyFill="1" applyBorder="1" applyAlignment="1">
      <alignment wrapText="1"/>
    </xf>
    <xf numFmtId="4" fontId="52" fillId="0" borderId="28" xfId="2" applyNumberFormat="1" applyFont="1" applyFill="1" applyBorder="1" applyAlignment="1">
      <alignment wrapText="1"/>
    </xf>
    <xf numFmtId="0" fontId="52" fillId="0" borderId="30" xfId="2" applyFont="1" applyFill="1" applyBorder="1" applyAlignment="1">
      <alignment wrapText="1"/>
    </xf>
    <xf numFmtId="0" fontId="52" fillId="0" borderId="31" xfId="2" applyFont="1" applyFill="1" applyBorder="1" applyAlignment="1">
      <alignment wrapText="1"/>
    </xf>
    <xf numFmtId="4" fontId="43" fillId="0" borderId="0" xfId="2" applyNumberFormat="1" applyFont="1" applyFill="1" applyBorder="1" applyAlignment="1">
      <alignment wrapText="1"/>
    </xf>
    <xf numFmtId="0" fontId="43" fillId="0" borderId="0" xfId="2" applyFont="1" applyFill="1" applyBorder="1" applyAlignment="1">
      <alignment wrapText="1"/>
    </xf>
    <xf numFmtId="4" fontId="43" fillId="0" borderId="0" xfId="2" applyNumberFormat="1" applyFont="1" applyFill="1" applyBorder="1" applyAlignment="1">
      <alignment vertical="center" wrapText="1"/>
    </xf>
    <xf numFmtId="0" fontId="43" fillId="0" borderId="0" xfId="2" applyFont="1" applyFill="1" applyBorder="1" applyAlignment="1">
      <alignment vertical="center" wrapText="1"/>
    </xf>
    <xf numFmtId="0" fontId="61" fillId="0" borderId="0" xfId="2" applyFont="1" applyAlignment="1">
      <alignment horizontal="center"/>
    </xf>
  </cellXfs>
  <cellStyles count="54">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cellStyle name="Comma 3" xfId="49"/>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cellStyle name="Input" xfId="15" builtinId="20" customBuiltin="1"/>
    <cellStyle name="Linked Cell" xfId="18" builtinId="24" customBuiltin="1"/>
    <cellStyle name="Neutral" xfId="14" builtinId="28" customBuiltin="1"/>
    <cellStyle name="Normal" xfId="0" builtinId="0"/>
    <cellStyle name="Normal 2" xfId="2"/>
    <cellStyle name="Normal 2 2" xfId="51"/>
    <cellStyle name="Normal 2 3" xfId="53"/>
    <cellStyle name="Normal 3" xfId="47"/>
    <cellStyle name="Note 2" xfId="48"/>
    <cellStyle name="Output" xfId="16" builtinId="21" customBuiltin="1"/>
    <cellStyle name="Percent 2" xfId="4"/>
    <cellStyle name="Percent 2 2" xfId="52"/>
    <cellStyle name="Percent 3" xfId="50"/>
    <cellStyle name="Title" xfId="7" builtinId="15" customBuiltin="1"/>
    <cellStyle name="Total" xfId="22" builtinId="25" customBuiltin="1"/>
    <cellStyle name="Warning Text" xfId="20" builtinId="11" customBuiltin="1"/>
  </cellStyles>
  <dxfs count="80">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s>
  <tableStyles count="0" defaultTableStyle="TableStyleMedium2" defaultPivotStyle="PivotStyleLight16"/>
  <colors>
    <mruColors>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 xmlns:a16="http://schemas.microsoft.com/office/drawing/2014/main"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 xmlns:a16="http://schemas.microsoft.com/office/drawing/2014/main"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 xmlns:a16="http://schemas.microsoft.com/office/drawing/2014/main"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 xmlns:a16="http://schemas.microsoft.com/office/drawing/2014/main"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tables/table1.xml><?xml version="1.0" encoding="utf-8"?>
<table xmlns="http://schemas.openxmlformats.org/spreadsheetml/2006/main" id="9" name="LoadRates" displayName="LoadRates" ref="B16:AA32" totalsRowShown="0" headerRowDxfId="79" tableBorderDxfId="78">
  <autoFilter ref="B16:AA32"/>
  <tableColumns count="26">
    <tableColumn id="1" name="Source" dataDxfId="77"/>
    <tableColumn id="2" name="area_ac" dataDxfId="76">
      <calculatedColumnFormula>+'MMW Output'!C22</calculatedColumnFormula>
    </tableColumn>
    <tableColumn id="3" name="runoff_in" dataDxfId="75"/>
    <tableColumn id="4" name="erosion_tons" dataDxfId="74"/>
    <tableColumn id="5" name="Column1" dataDxfId="73"/>
    <tableColumn id="6" name="sediment_tons" dataDxfId="72">
      <calculatedColumnFormula>+'MMW Output'!D22</calculatedColumnFormula>
    </tableColumn>
    <tableColumn id="7" name="DN_lbs" dataDxfId="71"/>
    <tableColumn id="8" name="Column2" dataDxfId="70"/>
    <tableColumn id="9" name="TN_lbs" dataDxfId="69">
      <calculatedColumnFormula>+'MMW Output'!E22</calculatedColumnFormula>
    </tableColumn>
    <tableColumn id="10" name="DP_lbs" dataDxfId="68"/>
    <tableColumn id="11" name="Column3" dataDxfId="67"/>
    <tableColumn id="12" name="TP_lbs" dataDxfId="66">
      <calculatedColumnFormula>+'MMW Output'!F22</calculatedColumnFormula>
    </tableColumn>
    <tableColumn id="13" name="Column4" dataDxfId="65"/>
    <tableColumn id="14" name="TSS_LoadRateLand_lbPerAcPerY" dataDxfId="64">
      <calculatedColumnFormula>IF(C17=0,0,(G17*2000/C17))</calculatedColumnFormula>
    </tableColumn>
    <tableColumn id="15" name="TSS_LoadRateBanks_lbPerAcPerY" dataDxfId="63">
      <calculatedColumnFormula>IF(C17=0,0,'Stream Bank SedimentLoadingRate'!E141)</calculatedColumnFormula>
    </tableColumn>
    <tableColumn id="16" name="TSS_LoadRate_lbPerAcPerY" dataDxfId="62">
      <calculatedColumnFormula>SUM(O17:P17)</calculatedColumnFormula>
    </tableColumn>
    <tableColumn id="17" name="Column5" dataDxfId="61"/>
    <tableColumn id="18" name="TN_LoadRateLand_lbPerAcPerY" dataDxfId="60">
      <calculatedColumnFormula>IF(C17=0,0,ROUND((J17/C17),2))</calculatedColumnFormula>
    </tableColumn>
    <tableColumn id="19" name="TN_LoadRateBanks_lbPerAcPerY" dataDxfId="59">
      <calculatedColumnFormula>IF(C17=0,0,ROUND('Stream Bank Nitrogen Loading'!E138,2))</calculatedColumnFormula>
    </tableColumn>
    <tableColumn id="20" name="TN_LoadRateAnimal_lbPerAcPerY" dataDxfId="58"/>
    <tableColumn id="21" name="TN_LoadRate_lbPerAcPerY" dataDxfId="57">
      <calculatedColumnFormula>SUM(S17:U17)</calculatedColumnFormula>
    </tableColumn>
    <tableColumn id="22" name="Column6" dataDxfId="56"/>
    <tableColumn id="23" name="TP_LoadRateLand_lbPerAcPerY" dataDxfId="55">
      <calculatedColumnFormula>IF(C17=0,0,ROUND((M17/C17),2))</calculatedColumnFormula>
    </tableColumn>
    <tableColumn id="24" name="TP_LoadRateBanks_lbPerAcPerY" dataDxfId="54">
      <calculatedColumnFormula>IF(C17=0,0,ROUND('Stream Bank Phosphorus Loading'!E138,2))</calculatedColumnFormula>
    </tableColumn>
    <tableColumn id="25" name="TP_LoadRateAnimal_lbPerAcPerY" dataDxfId="53"/>
    <tableColumn id="26" name="TP_LoadRate_lbPerAcPerY" dataDxfId="52">
      <calculatedColumnFormula>SUM(X17:Z17)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UrbanBMPs" displayName="UrbanBMPs" ref="A10:Y23" totalsRowShown="0" headerRowDxfId="37" dataDxfId="35" headerRowBorderDxfId="36" tableBorderDxfId="34" totalsRowBorderDxfId="33" headerRowCellStyle="Normal 2" dataCellStyle="Normal 2">
  <autoFilter ref="A10:Y23"/>
  <tableColumns count="25">
    <tableColumn id="1" name="Project_name" dataDxfId="32" dataCellStyle="Normal 2"/>
    <tableColumn id="2" name="BMP_name" dataDxfId="31" dataCellStyle="Normal 2"/>
    <tableColumn id="3" name="BMP_type" dataDxfId="30" dataCellStyle="Normal 2"/>
    <tableColumn id="4" name="Column1" dataDxfId="29" dataCellStyle="Normal 2"/>
    <tableColumn id="5" name="yearInstalled" dataDxfId="28" dataCellStyle="Normal 2"/>
    <tableColumn id="6" name="drainageLandCoverClass" dataDxfId="27" dataCellStyle="Normal 2"/>
    <tableColumn id="7" name="drainageArea_ac" dataDxfId="26" dataCellStyle="Normal 2"/>
    <tableColumn id="8" name="treatmentDepth_in" dataDxfId="25" dataCellStyle="Normal 2"/>
    <tableColumn id="9" name="lengthTreatedStream_ft" dataDxfId="24" dataCellStyle="Normal 2"/>
    <tableColumn id="10" name="lengthTreatedRoad_ft2" dataDxfId="23" dataCellStyle="Normal 2"/>
    <tableColumn id="11" name="impervArea_ac" dataDxfId="22" dataCellStyle="Normal 2"/>
    <tableColumn id="12" name="treatmentDepthNormalized_inPerImpervAc" dataDxfId="21" dataCellStyle="Normal 2"/>
    <tableColumn id="13" name="treatmentDepthNormalizedManual_inPerImpervAc" dataDxfId="20" dataCellStyle="Normal 2"/>
    <tableColumn id="14" name="treatmentDepthNormalizedEffective_inPerImpervAc" dataDxfId="19" dataCellStyle="Normal 2"/>
    <tableColumn id="15" name="impervFraction_percent" dataDxfId="18" dataCellStyle="Normal 2">
      <calculatedColumnFormula>IF(UrbanBMPs[[#This Row],[BMP_type]]="Stream Restoration",NA(),IFERROR(INDEX(Impervious[#All],MATCH(UrbanBMPs[[#This Row],[drainageLandCoverClass]],Impervious[[#All],[Source]],0),4),0))</calculatedColumnFormula>
    </tableColumn>
    <tableColumn id="16" name="TSS_Load_lbPerY" dataDxfId="17"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16"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15"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14"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13"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12"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11"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10" dataCellStyle="Normal 2"/>
    <tableColumn id="24" name="TP_Reduction_lbPerY" dataDxfId="9"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8"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Impervious" displayName="Impervious" ref="B4:E26" totalsRowShown="0" headerRowDxfId="7" tableBorderDxfId="6">
  <autoFilter ref="B4:E26"/>
  <tableColumns count="4">
    <tableColumn id="1" name="Source" dataDxfId="5"/>
    <tableColumn id="2" name="impervFraction_defaultMapShed"/>
    <tableColumn id="3" name="impervFraction_manualEntry"/>
    <tableColumn id="4" name="impervFraction_toUse" dataDxfId="4">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Street_Sweeping" displayName="Street_Sweeping" ref="B29:F30" totalsRowShown="0">
  <autoFilter ref="B29:F30"/>
  <tableColumns count="5">
    <tableColumn id="1" name="Street Sweeping"/>
    <tableColumn id="2" name="TSS Reduction (%)" dataDxfId="3">
      <calculatedColumnFormula>0.1</calculatedColumnFormula>
    </tableColumn>
    <tableColumn id="3" name="TP Reduction (%)" dataDxfId="2">
      <calculatedColumnFormula>0.1</calculatedColumnFormula>
    </tableColumn>
    <tableColumn id="4" name="TN Reduction (%)" dataDxfId="1">
      <calculatedColumnFormula>0.1</calculatedColumnFormula>
    </tableColumn>
    <tableColumn id="5" name="Road Width (ft)" dataDxfId="0"/>
  </tableColumns>
  <tableStyleInfo name="TableStyleMedium2" showFirstColumn="0" showLastColumn="0" showRowStripes="1" showColumnStripes="0"/>
</table>
</file>

<file path=xl/tables/table5.xml><?xml version="1.0" encoding="utf-8"?>
<table xmlns="http://schemas.openxmlformats.org/spreadsheetml/2006/main" id="6" name="Stream_Nutrients" displayName="Stream_Nutrients" ref="B32:E33" totalsRowShown="0">
  <autoFilter ref="B32:E33"/>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4"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support.office.com/en-us/article/overview-of-excel-tables-7ab0bb7d-3a9e-4b56-a3c9-6c94334e49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zoomScale="80" zoomScaleNormal="80" workbookViewId="0"/>
  </sheetViews>
  <sheetFormatPr defaultColWidth="9.125" defaultRowHeight="15" x14ac:dyDescent="0.25"/>
  <cols>
    <col min="1" max="1" width="9.375" style="454" customWidth="1"/>
    <col min="2" max="5" width="9.125" style="454"/>
    <col min="6" max="8" width="9.125" style="456"/>
    <col min="9" max="9" width="12.5" style="456" customWidth="1"/>
    <col min="10" max="16384" width="9.125" style="456"/>
  </cols>
  <sheetData>
    <row r="1" spans="1:12" s="450" customFormat="1" ht="26.25" x14ac:dyDescent="0.4">
      <c r="A1" s="448"/>
      <c r="B1" s="448"/>
      <c r="C1" s="448"/>
      <c r="D1" s="448"/>
      <c r="E1" s="449" t="s">
        <v>436</v>
      </c>
    </row>
    <row r="2" spans="1:12" s="453" customFormat="1" ht="21" x14ac:dyDescent="0.35">
      <c r="A2" s="451"/>
      <c r="B2" s="451"/>
      <c r="C2" s="451"/>
      <c r="D2" s="451"/>
      <c r="E2" s="452" t="s">
        <v>0</v>
      </c>
    </row>
    <row r="3" spans="1:12" x14ac:dyDescent="0.25">
      <c r="E3" s="455"/>
      <c r="F3" s="454"/>
      <c r="G3" s="454"/>
      <c r="H3" s="454"/>
      <c r="I3" s="454"/>
    </row>
    <row r="4" spans="1:12" ht="15.75" x14ac:dyDescent="0.25">
      <c r="B4" s="457" t="s">
        <v>488</v>
      </c>
      <c r="C4" s="458" t="s">
        <v>533</v>
      </c>
      <c r="E4" s="459"/>
      <c r="F4" s="454"/>
      <c r="G4" s="454"/>
      <c r="H4" s="454"/>
      <c r="I4" s="454"/>
    </row>
    <row r="5" spans="1:12" x14ac:dyDescent="0.25">
      <c r="E5" s="460"/>
    </row>
    <row r="6" spans="1:12" x14ac:dyDescent="0.25">
      <c r="A6" s="456"/>
      <c r="B6" s="457" t="s">
        <v>1</v>
      </c>
      <c r="C6" s="461" t="s">
        <v>2</v>
      </c>
      <c r="E6" s="455"/>
      <c r="F6" s="454"/>
      <c r="G6" s="454"/>
      <c r="H6" s="454"/>
      <c r="I6" s="454"/>
    </row>
    <row r="7" spans="1:12" x14ac:dyDescent="0.25">
      <c r="C7" s="462" t="s">
        <v>510</v>
      </c>
      <c r="E7" s="463"/>
      <c r="F7" s="454"/>
      <c r="G7" s="454"/>
      <c r="H7" s="454"/>
      <c r="I7" s="454"/>
    </row>
    <row r="8" spans="1:12" ht="15.75" x14ac:dyDescent="0.25">
      <c r="C8" s="454" t="s">
        <v>3</v>
      </c>
      <c r="E8" s="459"/>
    </row>
    <row r="9" spans="1:12" ht="15.75" x14ac:dyDescent="0.25">
      <c r="B9" s="464"/>
      <c r="E9" s="459"/>
      <c r="F9" s="454"/>
      <c r="G9" s="454"/>
      <c r="H9" s="454"/>
      <c r="I9" s="454"/>
    </row>
    <row r="10" spans="1:12" ht="15.75" x14ac:dyDescent="0.25">
      <c r="B10" s="457" t="s">
        <v>516</v>
      </c>
      <c r="C10" s="346" t="s">
        <v>517</v>
      </c>
      <c r="F10" s="454"/>
      <c r="G10" s="454"/>
      <c r="H10" s="454"/>
      <c r="I10" s="454"/>
    </row>
    <row r="11" spans="1:12" ht="15.75" x14ac:dyDescent="0.25">
      <c r="B11" s="457" t="s">
        <v>514</v>
      </c>
      <c r="C11" s="346" t="s">
        <v>515</v>
      </c>
    </row>
    <row r="12" spans="1:12" ht="15.75" x14ac:dyDescent="0.25">
      <c r="B12" s="457" t="s">
        <v>489</v>
      </c>
      <c r="C12" s="346" t="s">
        <v>513</v>
      </c>
      <c r="E12" s="455"/>
      <c r="F12" s="454"/>
      <c r="G12" s="454"/>
      <c r="H12" s="454"/>
      <c r="I12" s="454"/>
    </row>
    <row r="14" spans="1:12" ht="15.75" x14ac:dyDescent="0.25">
      <c r="A14" s="458" t="s">
        <v>4</v>
      </c>
      <c r="B14" s="464"/>
      <c r="E14" s="459"/>
      <c r="F14" s="454"/>
      <c r="G14" s="454"/>
      <c r="H14" s="454"/>
      <c r="I14" s="454"/>
    </row>
    <row r="15" spans="1:12" s="465" customFormat="1" ht="45" customHeight="1" x14ac:dyDescent="0.25">
      <c r="A15" s="490" t="s">
        <v>5</v>
      </c>
      <c r="B15" s="490"/>
      <c r="C15" s="490"/>
      <c r="D15" s="490"/>
      <c r="E15" s="490"/>
      <c r="F15" s="490"/>
      <c r="G15" s="490"/>
      <c r="H15" s="490"/>
      <c r="I15" s="490"/>
      <c r="J15" s="490"/>
      <c r="K15" s="490"/>
      <c r="L15" s="490"/>
    </row>
    <row r="16" spans="1:12" s="465" customFormat="1" ht="51.75" customHeight="1" x14ac:dyDescent="0.25">
      <c r="A16" s="490" t="s">
        <v>6</v>
      </c>
      <c r="B16" s="490"/>
      <c r="C16" s="490"/>
      <c r="D16" s="490"/>
      <c r="E16" s="490"/>
      <c r="F16" s="490"/>
      <c r="G16" s="490"/>
      <c r="H16" s="490"/>
      <c r="I16" s="490"/>
      <c r="J16" s="490"/>
      <c r="K16" s="490"/>
      <c r="L16" s="490"/>
    </row>
    <row r="17" spans="1:12" ht="15.75" x14ac:dyDescent="0.25">
      <c r="B17" s="464"/>
      <c r="E17" s="459"/>
      <c r="F17" s="454"/>
      <c r="G17" s="454"/>
      <c r="H17" s="454"/>
      <c r="I17" s="454"/>
    </row>
    <row r="18" spans="1:12" ht="15.75" x14ac:dyDescent="0.25">
      <c r="A18" s="458" t="s">
        <v>492</v>
      </c>
      <c r="B18" s="464"/>
      <c r="E18" s="459"/>
      <c r="F18" s="454"/>
      <c r="G18" s="454"/>
      <c r="H18" s="454"/>
      <c r="I18" s="454"/>
    </row>
    <row r="19" spans="1:12" s="466" customFormat="1" ht="70.5" customHeight="1" x14ac:dyDescent="0.25">
      <c r="A19" s="488" t="s">
        <v>493</v>
      </c>
      <c r="B19" s="488"/>
      <c r="C19" s="488"/>
      <c r="D19" s="488"/>
      <c r="E19" s="488"/>
      <c r="F19" s="488"/>
      <c r="G19" s="488"/>
      <c r="H19" s="488"/>
      <c r="I19" s="488"/>
      <c r="J19" s="488"/>
      <c r="K19" s="488"/>
      <c r="L19" s="488"/>
    </row>
    <row r="20" spans="1:12" s="466" customFormat="1" ht="63.75" customHeight="1" x14ac:dyDescent="0.25">
      <c r="A20" s="491" t="s">
        <v>490</v>
      </c>
      <c r="B20" s="491"/>
      <c r="C20" s="491"/>
      <c r="D20" s="491"/>
      <c r="E20" s="491"/>
      <c r="F20" s="491"/>
      <c r="G20" s="491"/>
      <c r="H20" s="491"/>
      <c r="I20" s="491"/>
      <c r="J20" s="491"/>
      <c r="K20" s="491"/>
      <c r="L20" s="491"/>
    </row>
    <row r="21" spans="1:12" s="466" customFormat="1" ht="94.5" customHeight="1" x14ac:dyDescent="0.25">
      <c r="A21" s="491" t="s">
        <v>491</v>
      </c>
      <c r="B21" s="491"/>
      <c r="C21" s="491"/>
      <c r="D21" s="491"/>
      <c r="E21" s="491"/>
      <c r="F21" s="491"/>
      <c r="G21" s="491"/>
      <c r="H21" s="491"/>
      <c r="I21" s="491"/>
      <c r="J21" s="491"/>
      <c r="K21" s="491"/>
      <c r="L21" s="491"/>
    </row>
    <row r="22" spans="1:12" s="466" customFormat="1" ht="15.75" x14ac:dyDescent="0.25">
      <c r="A22" s="467" t="s">
        <v>494</v>
      </c>
      <c r="B22" s="468"/>
      <c r="C22" s="469"/>
      <c r="D22" s="469"/>
      <c r="E22" s="470"/>
      <c r="F22" s="469"/>
      <c r="G22" s="469"/>
      <c r="H22" s="469"/>
      <c r="I22" s="469"/>
    </row>
    <row r="23" spans="1:12" s="466" customFormat="1" ht="15.75" x14ac:dyDescent="0.25">
      <c r="A23" s="467" t="s">
        <v>511</v>
      </c>
      <c r="B23" s="468"/>
      <c r="C23" s="469"/>
      <c r="D23" s="469"/>
      <c r="E23" s="470"/>
      <c r="F23" s="469"/>
      <c r="G23" s="469"/>
      <c r="H23" s="469"/>
      <c r="I23" s="469"/>
    </row>
    <row r="24" spans="1:12" ht="15.75" x14ac:dyDescent="0.25">
      <c r="B24" s="464"/>
      <c r="E24" s="459"/>
      <c r="F24" s="454"/>
      <c r="G24" s="454"/>
      <c r="H24" s="454"/>
      <c r="I24" s="454"/>
    </row>
    <row r="25" spans="1:12" s="2" customFormat="1" x14ac:dyDescent="0.25">
      <c r="A25" s="436"/>
      <c r="B25" s="437" t="s">
        <v>501</v>
      </c>
      <c r="C25" s="1"/>
      <c r="D25" s="1"/>
      <c r="E25" s="1"/>
    </row>
    <row r="26" spans="1:12" s="2" customFormat="1" x14ac:dyDescent="0.25">
      <c r="A26" s="438"/>
      <c r="B26" s="437" t="s">
        <v>502</v>
      </c>
      <c r="C26" s="1"/>
      <c r="D26" s="1"/>
      <c r="E26" s="1"/>
    </row>
    <row r="27" spans="1:12" s="2" customFormat="1" x14ac:dyDescent="0.25">
      <c r="A27" s="439"/>
      <c r="B27" s="437" t="s">
        <v>503</v>
      </c>
      <c r="C27" s="1"/>
      <c r="D27" s="1"/>
      <c r="E27" s="1"/>
    </row>
    <row r="28" spans="1:12" ht="15.75" x14ac:dyDescent="0.25">
      <c r="B28" s="464"/>
      <c r="E28" s="459"/>
      <c r="F28" s="454"/>
      <c r="G28" s="454"/>
      <c r="H28" s="454"/>
      <c r="I28" s="454"/>
    </row>
    <row r="29" spans="1:12" ht="15.75" x14ac:dyDescent="0.25">
      <c r="A29" s="462" t="s">
        <v>512</v>
      </c>
      <c r="B29" s="464"/>
      <c r="E29" s="459"/>
      <c r="F29" s="454"/>
      <c r="G29" s="454"/>
      <c r="H29" s="454"/>
      <c r="I29" s="346" t="s">
        <v>513</v>
      </c>
    </row>
    <row r="30" spans="1:12" ht="15.75" x14ac:dyDescent="0.25">
      <c r="A30" s="462"/>
      <c r="B30" s="464"/>
      <c r="E30" s="459"/>
      <c r="F30" s="454"/>
      <c r="G30" s="454"/>
      <c r="H30" s="454"/>
      <c r="I30" s="454"/>
    </row>
    <row r="31" spans="1:12" x14ac:dyDescent="0.25">
      <c r="A31" s="458" t="s">
        <v>518</v>
      </c>
      <c r="E31" s="460"/>
    </row>
    <row r="32" spans="1:12" ht="101.25" customHeight="1" x14ac:dyDescent="0.25">
      <c r="A32" s="488" t="s">
        <v>519</v>
      </c>
      <c r="B32" s="489"/>
      <c r="C32" s="489"/>
      <c r="D32" s="489"/>
      <c r="E32" s="489"/>
      <c r="F32" s="489"/>
      <c r="G32" s="489"/>
      <c r="H32" s="489"/>
      <c r="I32" s="489"/>
      <c r="J32" s="489"/>
      <c r="K32" s="489"/>
      <c r="L32" s="489"/>
    </row>
  </sheetData>
  <mergeCells count="6">
    <mergeCell ref="A32:L32"/>
    <mergeCell ref="A15:L15"/>
    <mergeCell ref="A16:L16"/>
    <mergeCell ref="A19:L19"/>
    <mergeCell ref="A20:L20"/>
    <mergeCell ref="A21:L21"/>
  </mergeCells>
  <hyperlinks>
    <hyperlink ref="C10" r:id="rId1"/>
    <hyperlink ref="C12" r:id="rId2"/>
    <hyperlink ref="C11" r:id="rId3"/>
    <hyperlink ref="I29" r:id="rId4"/>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68"/>
  <sheetViews>
    <sheetView zoomScale="60" zoomScaleNormal="60" workbookViewId="0">
      <pane ySplit="1" topLeftCell="A2" activePane="bottomLeft" state="frozen"/>
      <selection pane="bottomLeft" activeCell="O96" sqref="O96"/>
    </sheetView>
  </sheetViews>
  <sheetFormatPr defaultColWidth="9.125" defaultRowHeight="15" x14ac:dyDescent="0.25"/>
  <cols>
    <col min="1" max="1" width="20.5" style="278" customWidth="1"/>
    <col min="2" max="2" width="13" style="279" customWidth="1"/>
    <col min="3" max="3" width="16" style="279" customWidth="1"/>
    <col min="4" max="4" width="13.875" style="279" customWidth="1"/>
    <col min="5" max="5" width="14.875" style="279" customWidth="1"/>
    <col min="6" max="6" width="4.125" style="278" customWidth="1"/>
    <col min="7" max="7" width="18.5" style="279" customWidth="1"/>
    <col min="8" max="8" width="2.875" style="434" customWidth="1"/>
    <col min="9" max="9" width="28.125" style="278" customWidth="1"/>
    <col min="10" max="10" width="14.625" style="278" customWidth="1"/>
    <col min="11" max="11" width="14.125" style="278" customWidth="1"/>
    <col min="12" max="12" width="12.5" style="278" customWidth="1"/>
    <col min="13" max="13" width="5" style="434" customWidth="1"/>
    <col min="14" max="14" width="27.875" style="434" customWidth="1"/>
    <col min="15" max="15" width="13.875" style="434" customWidth="1"/>
    <col min="16" max="18" width="12.5" style="434" customWidth="1"/>
    <col min="19" max="19" width="49.625" style="278" customWidth="1"/>
    <col min="20" max="20" width="12.875" style="278" customWidth="1"/>
    <col min="21" max="16384" width="9.125" style="278"/>
  </cols>
  <sheetData>
    <row r="1" spans="1:19" s="434" customFormat="1" ht="39" customHeight="1" thickBot="1" x14ac:dyDescent="0.4">
      <c r="B1" s="279"/>
      <c r="C1" s="279"/>
      <c r="D1" s="279"/>
      <c r="E1" s="279"/>
      <c r="G1" s="279"/>
      <c r="I1" s="443" t="s">
        <v>507</v>
      </c>
      <c r="J1" s="444" t="s">
        <v>18</v>
      </c>
      <c r="K1" s="444" t="s">
        <v>352</v>
      </c>
      <c r="L1" s="444" t="s">
        <v>353</v>
      </c>
      <c r="N1" s="443" t="s">
        <v>508</v>
      </c>
      <c r="O1" s="444" t="s">
        <v>18</v>
      </c>
      <c r="P1" s="444" t="s">
        <v>352</v>
      </c>
      <c r="Q1" s="444" t="s">
        <v>353</v>
      </c>
      <c r="S1" s="446" t="s">
        <v>509</v>
      </c>
    </row>
    <row r="2" spans="1:19" ht="15.75" customHeight="1" thickBot="1" x14ac:dyDescent="0.3">
      <c r="A2" s="535" t="s">
        <v>350</v>
      </c>
      <c r="B2" s="536"/>
      <c r="C2" s="536"/>
      <c r="D2" s="536"/>
      <c r="E2" s="537"/>
      <c r="I2" s="280" t="s">
        <v>351</v>
      </c>
      <c r="J2" s="442"/>
      <c r="K2" s="442"/>
      <c r="L2" s="442"/>
      <c r="N2" s="280" t="s">
        <v>351</v>
      </c>
      <c r="O2" s="442"/>
      <c r="P2" s="442"/>
      <c r="Q2" s="442"/>
    </row>
    <row r="3" spans="1:19" ht="34.5" customHeight="1" x14ac:dyDescent="0.25">
      <c r="A3" s="281" t="s">
        <v>14</v>
      </c>
      <c r="B3" s="282" t="s">
        <v>140</v>
      </c>
      <c r="C3" s="283" t="s">
        <v>354</v>
      </c>
      <c r="D3" s="282" t="s">
        <v>355</v>
      </c>
      <c r="E3" s="284" t="s">
        <v>356</v>
      </c>
      <c r="G3" s="285" t="s">
        <v>357</v>
      </c>
      <c r="I3" s="278" t="s">
        <v>358</v>
      </c>
      <c r="J3" s="293">
        <f>B5</f>
        <v>0</v>
      </c>
      <c r="K3" s="471"/>
      <c r="L3" s="471"/>
      <c r="M3" s="471"/>
      <c r="N3" s="471" t="s">
        <v>358</v>
      </c>
      <c r="O3" s="474">
        <f>B5-J4</f>
        <v>0</v>
      </c>
      <c r="S3" s="286" t="s">
        <v>359</v>
      </c>
    </row>
    <row r="4" spans="1:19" ht="17.25" customHeight="1" x14ac:dyDescent="0.25">
      <c r="A4" s="287" t="s">
        <v>36</v>
      </c>
      <c r="B4" s="288">
        <f>+'MMW Output'!C22</f>
        <v>0</v>
      </c>
      <c r="C4" s="288">
        <f>+'MMW Output'!D22</f>
        <v>0</v>
      </c>
      <c r="D4" s="288">
        <f>+'MMW Output'!E22</f>
        <v>0</v>
      </c>
      <c r="E4" s="289">
        <f>+'MMW Output'!F22</f>
        <v>0</v>
      </c>
      <c r="F4" s="290"/>
      <c r="G4" s="291">
        <f t="shared" ref="G4:G19" si="0">C4*2000</f>
        <v>0</v>
      </c>
      <c r="I4" s="278" t="s">
        <v>360</v>
      </c>
      <c r="J4" s="293">
        <v>0</v>
      </c>
      <c r="K4" s="471"/>
      <c r="L4" s="471"/>
      <c r="M4" s="471"/>
      <c r="N4" s="471" t="s">
        <v>360</v>
      </c>
      <c r="O4" s="474">
        <v>0</v>
      </c>
    </row>
    <row r="5" spans="1:19" x14ac:dyDescent="0.25">
      <c r="A5" s="292" t="s">
        <v>37</v>
      </c>
      <c r="B5" s="293">
        <f>+'MMW Output'!C23</f>
        <v>0</v>
      </c>
      <c r="C5" s="293">
        <f>+'MMW Output'!D23</f>
        <v>0</v>
      </c>
      <c r="D5" s="293">
        <f>+'MMW Output'!E23</f>
        <v>0</v>
      </c>
      <c r="E5" s="294">
        <f>+'MMW Output'!F23</f>
        <v>0</v>
      </c>
      <c r="G5" s="295">
        <f t="shared" si="0"/>
        <v>0</v>
      </c>
      <c r="I5" s="278" t="s">
        <v>361</v>
      </c>
      <c r="J5" s="278">
        <v>0.35</v>
      </c>
      <c r="K5" s="278">
        <v>0.28999999999999998</v>
      </c>
      <c r="L5" s="278">
        <v>0.5</v>
      </c>
      <c r="N5" s="434" t="s">
        <v>361</v>
      </c>
      <c r="O5" s="434">
        <v>0.35</v>
      </c>
      <c r="P5" s="434">
        <v>0.28999999999999998</v>
      </c>
      <c r="Q5" s="434">
        <v>0.5</v>
      </c>
    </row>
    <row r="6" spans="1:19" x14ac:dyDescent="0.25">
      <c r="A6" s="292" t="s">
        <v>38</v>
      </c>
      <c r="B6" s="293">
        <f>+'MMW Output'!C24</f>
        <v>0</v>
      </c>
      <c r="C6" s="293">
        <f>+'MMW Output'!D24</f>
        <v>0</v>
      </c>
      <c r="D6" s="293">
        <f>+'MMW Output'!E24</f>
        <v>0</v>
      </c>
      <c r="E6" s="294">
        <f>+'MMW Output'!F24</f>
        <v>0</v>
      </c>
      <c r="G6" s="295">
        <f t="shared" si="0"/>
        <v>0</v>
      </c>
      <c r="I6" s="286" t="s">
        <v>362</v>
      </c>
      <c r="J6" s="445" t="e">
        <f>(J4/J3)*G5*J5</f>
        <v>#DIV/0!</v>
      </c>
      <c r="K6" s="445" t="e">
        <f>(J4/J3)*D5*K5</f>
        <v>#DIV/0!</v>
      </c>
      <c r="L6" s="445" t="e">
        <f>(J4/J3)*E5*L5</f>
        <v>#DIV/0!</v>
      </c>
      <c r="M6" s="286"/>
      <c r="N6" s="286" t="s">
        <v>362</v>
      </c>
      <c r="O6" s="445" t="e">
        <f>(O4/J3)*G5*O5</f>
        <v>#DIV/0!</v>
      </c>
      <c r="P6" s="286" t="e">
        <f>(O4/J3)*D5*P5</f>
        <v>#DIV/0!</v>
      </c>
      <c r="Q6" s="445" t="e">
        <f>(O4/J3)*E5*Q5</f>
        <v>#DIV/0!</v>
      </c>
      <c r="R6" s="286"/>
    </row>
    <row r="7" spans="1:19" ht="18.75" customHeight="1" x14ac:dyDescent="0.25">
      <c r="A7" s="292" t="s">
        <v>40</v>
      </c>
      <c r="B7" s="293">
        <f>+'MMW Output'!C25</f>
        <v>0</v>
      </c>
      <c r="C7" s="293">
        <f>+'MMW Output'!D25</f>
        <v>0</v>
      </c>
      <c r="D7" s="293">
        <f>+'MMW Output'!E25</f>
        <v>0</v>
      </c>
      <c r="E7" s="294">
        <f>+'MMW Output'!F25</f>
        <v>0</v>
      </c>
      <c r="G7" s="295">
        <f t="shared" si="0"/>
        <v>0</v>
      </c>
    </row>
    <row r="8" spans="1:19" x14ac:dyDescent="0.25">
      <c r="A8" s="292" t="s">
        <v>41</v>
      </c>
      <c r="B8" s="293">
        <f>+'MMW Output'!C26</f>
        <v>0</v>
      </c>
      <c r="C8" s="293">
        <f>+'MMW Output'!D26</f>
        <v>0</v>
      </c>
      <c r="D8" s="293">
        <f>+'MMW Output'!E26</f>
        <v>0</v>
      </c>
      <c r="E8" s="294">
        <f>+'MMW Output'!F26</f>
        <v>0</v>
      </c>
      <c r="G8" s="295">
        <f t="shared" si="0"/>
        <v>0</v>
      </c>
      <c r="I8" s="280" t="s">
        <v>363</v>
      </c>
      <c r="N8" s="280" t="s">
        <v>363</v>
      </c>
    </row>
    <row r="9" spans="1:19" x14ac:dyDescent="0.25">
      <c r="A9" s="292" t="s">
        <v>42</v>
      </c>
      <c r="B9" s="293">
        <f>+'MMW Output'!C27</f>
        <v>0</v>
      </c>
      <c r="C9" s="293">
        <f>+'MMW Output'!D27</f>
        <v>0</v>
      </c>
      <c r="D9" s="293">
        <f>+'MMW Output'!E27</f>
        <v>0</v>
      </c>
      <c r="E9" s="294">
        <f>+'MMW Output'!F27</f>
        <v>0</v>
      </c>
      <c r="G9" s="295">
        <f t="shared" si="0"/>
        <v>0</v>
      </c>
    </row>
    <row r="10" spans="1:19" x14ac:dyDescent="0.25">
      <c r="A10" s="292" t="s">
        <v>43</v>
      </c>
      <c r="B10" s="293">
        <f>+'MMW Output'!C28</f>
        <v>0</v>
      </c>
      <c r="C10" s="293">
        <f>+'MMW Output'!D28</f>
        <v>0</v>
      </c>
      <c r="D10" s="293">
        <f>+'MMW Output'!E28</f>
        <v>0</v>
      </c>
      <c r="E10" s="294">
        <f>+'MMW Output'!F28</f>
        <v>0</v>
      </c>
      <c r="G10" s="295">
        <f t="shared" si="0"/>
        <v>0</v>
      </c>
      <c r="I10" s="278" t="s">
        <v>358</v>
      </c>
      <c r="J10" s="293">
        <f>B5</f>
        <v>0</v>
      </c>
      <c r="K10" s="471"/>
      <c r="L10" s="471"/>
      <c r="M10" s="471"/>
      <c r="N10" s="471" t="s">
        <v>358</v>
      </c>
      <c r="O10" s="474">
        <f>B5-J11</f>
        <v>0</v>
      </c>
      <c r="S10" s="286" t="s">
        <v>364</v>
      </c>
    </row>
    <row r="11" spans="1:19" ht="15.75" customHeight="1" x14ac:dyDescent="0.25">
      <c r="A11" s="292" t="s">
        <v>44</v>
      </c>
      <c r="B11" s="293">
        <f>+'MMW Output'!C29</f>
        <v>0</v>
      </c>
      <c r="C11" s="293">
        <f>+'MMW Output'!D29</f>
        <v>0</v>
      </c>
      <c r="D11" s="293">
        <f>+'MMW Output'!E29</f>
        <v>0</v>
      </c>
      <c r="E11" s="294">
        <f>+'MMW Output'!F29</f>
        <v>0</v>
      </c>
      <c r="G11" s="295">
        <f t="shared" si="0"/>
        <v>0</v>
      </c>
      <c r="I11" s="278" t="s">
        <v>360</v>
      </c>
      <c r="J11" s="293">
        <v>0</v>
      </c>
      <c r="K11" s="471"/>
      <c r="L11" s="471"/>
      <c r="M11" s="471"/>
      <c r="N11" s="471" t="s">
        <v>360</v>
      </c>
      <c r="O11" s="474">
        <v>0</v>
      </c>
    </row>
    <row r="12" spans="1:19" x14ac:dyDescent="0.25">
      <c r="A12" s="292" t="s">
        <v>45</v>
      </c>
      <c r="B12" s="293">
        <f>+'MMW Output'!C30</f>
        <v>0</v>
      </c>
      <c r="C12" s="293">
        <f>+'MMW Output'!D30</f>
        <v>0</v>
      </c>
      <c r="D12" s="293">
        <f>+'MMW Output'!E30</f>
        <v>0</v>
      </c>
      <c r="E12" s="294">
        <f>+'MMW Output'!F30</f>
        <v>0</v>
      </c>
      <c r="G12" s="295">
        <f t="shared" si="0"/>
        <v>0</v>
      </c>
      <c r="I12" s="278" t="s">
        <v>361</v>
      </c>
      <c r="J12" s="278">
        <v>0.3</v>
      </c>
      <c r="K12" s="278">
        <v>0.08</v>
      </c>
      <c r="L12" s="278">
        <v>0.22</v>
      </c>
      <c r="N12" s="434" t="s">
        <v>361</v>
      </c>
      <c r="O12" s="434">
        <v>0.3</v>
      </c>
      <c r="P12" s="434">
        <v>0.08</v>
      </c>
      <c r="Q12" s="434">
        <v>0.22</v>
      </c>
    </row>
    <row r="13" spans="1:19" x14ac:dyDescent="0.25">
      <c r="A13" s="296" t="s">
        <v>46</v>
      </c>
      <c r="B13" s="293">
        <f>+'MMW Output'!C31</f>
        <v>0</v>
      </c>
      <c r="C13" s="293">
        <f>+'MMW Output'!D31</f>
        <v>0</v>
      </c>
      <c r="D13" s="293">
        <f>+'MMW Output'!E31</f>
        <v>0</v>
      </c>
      <c r="E13" s="297">
        <f>+'MMW Output'!F31</f>
        <v>0</v>
      </c>
      <c r="F13" s="298"/>
      <c r="G13" s="299">
        <f t="shared" si="0"/>
        <v>0</v>
      </c>
      <c r="I13" s="286" t="s">
        <v>362</v>
      </c>
      <c r="J13" s="445" t="e">
        <f>(J11/J10)*G5*J12</f>
        <v>#DIV/0!</v>
      </c>
      <c r="K13" s="445" t="e">
        <f>(J11/J10)*D5*K12</f>
        <v>#DIV/0!</v>
      </c>
      <c r="L13" s="445" t="e">
        <f>(J11/J10)*E5*L12</f>
        <v>#DIV/0!</v>
      </c>
      <c r="M13" s="286"/>
      <c r="N13" s="286" t="s">
        <v>362</v>
      </c>
      <c r="O13" s="445" t="e">
        <f>(O11/J10)*G5*O12</f>
        <v>#DIV/0!</v>
      </c>
      <c r="P13" s="445" t="e">
        <f>(O11/J10)*D5*P12</f>
        <v>#DIV/0!</v>
      </c>
      <c r="Q13" s="445" t="e">
        <f>(O11/J10)*E5*Q12</f>
        <v>#DIV/0!</v>
      </c>
      <c r="R13" s="286"/>
    </row>
    <row r="14" spans="1:19" ht="19.5" customHeight="1" x14ac:dyDescent="0.25">
      <c r="A14" s="287" t="s">
        <v>47</v>
      </c>
      <c r="B14" s="288">
        <f>+'MMW Output'!C32</f>
        <v>0</v>
      </c>
      <c r="C14" s="288">
        <f>+'MMW Output'!D32</f>
        <v>0</v>
      </c>
      <c r="D14" s="288">
        <f>+'MMW Output'!E32</f>
        <v>0</v>
      </c>
      <c r="E14" s="294">
        <f>+'MMW Output'!F32</f>
        <v>0</v>
      </c>
      <c r="F14" s="290"/>
      <c r="G14" s="291">
        <f t="shared" si="0"/>
        <v>0</v>
      </c>
    </row>
    <row r="15" spans="1:19" ht="22.5" customHeight="1" x14ac:dyDescent="0.25">
      <c r="A15" s="292" t="s">
        <v>48</v>
      </c>
      <c r="B15" s="293">
        <f>+'MMW Output'!C33</f>
        <v>0</v>
      </c>
      <c r="C15" s="293">
        <f>+'MMW Output'!D33</f>
        <v>0</v>
      </c>
      <c r="D15" s="293">
        <f>+'MMW Output'!E33</f>
        <v>0</v>
      </c>
      <c r="E15" s="294">
        <f>+'MMW Output'!F33</f>
        <v>0</v>
      </c>
      <c r="G15" s="295">
        <f t="shared" si="0"/>
        <v>0</v>
      </c>
      <c r="I15" s="280" t="s">
        <v>365</v>
      </c>
      <c r="N15" s="280" t="s">
        <v>365</v>
      </c>
      <c r="S15" s="286" t="s">
        <v>366</v>
      </c>
    </row>
    <row r="16" spans="1:19" ht="15.75" customHeight="1" x14ac:dyDescent="0.25">
      <c r="A16" s="292" t="s">
        <v>49</v>
      </c>
      <c r="B16" s="293">
        <f>+'MMW Output'!C34</f>
        <v>0</v>
      </c>
      <c r="C16" s="293">
        <f>+'MMW Output'!D34</f>
        <v>0</v>
      </c>
      <c r="D16" s="293">
        <f>+'MMW Output'!E34</f>
        <v>0</v>
      </c>
      <c r="E16" s="294">
        <f>+'MMW Output'!F34</f>
        <v>0</v>
      </c>
      <c r="G16" s="295">
        <f t="shared" si="0"/>
        <v>0</v>
      </c>
      <c r="I16" s="278" t="s">
        <v>358</v>
      </c>
      <c r="J16" s="471">
        <f>B5</f>
        <v>0</v>
      </c>
      <c r="K16" s="471"/>
      <c r="L16" s="471"/>
      <c r="M16" s="471"/>
      <c r="N16" s="471" t="s">
        <v>358</v>
      </c>
      <c r="O16" s="475">
        <f>B5-J19</f>
        <v>0</v>
      </c>
      <c r="S16" s="286" t="s">
        <v>367</v>
      </c>
    </row>
    <row r="17" spans="1:19" x14ac:dyDescent="0.25">
      <c r="A17" s="292" t="s">
        <v>50</v>
      </c>
      <c r="B17" s="293">
        <f>+'MMW Output'!C35</f>
        <v>0</v>
      </c>
      <c r="C17" s="293">
        <f>+'MMW Output'!D35</f>
        <v>0</v>
      </c>
      <c r="D17" s="293">
        <f>+'MMW Output'!E35</f>
        <v>0</v>
      </c>
      <c r="E17" s="294">
        <f>+'MMW Output'!F35</f>
        <v>0</v>
      </c>
      <c r="G17" s="295">
        <f t="shared" si="0"/>
        <v>0</v>
      </c>
      <c r="I17" s="278" t="s">
        <v>528</v>
      </c>
      <c r="J17" s="471">
        <v>0</v>
      </c>
      <c r="K17" s="471"/>
      <c r="L17" s="471"/>
      <c r="M17" s="471"/>
      <c r="N17" s="471" t="s">
        <v>528</v>
      </c>
      <c r="O17" s="471">
        <v>0</v>
      </c>
      <c r="S17" s="286" t="s">
        <v>368</v>
      </c>
    </row>
    <row r="18" spans="1:19" x14ac:dyDescent="0.25">
      <c r="A18" s="292" t="s">
        <v>51</v>
      </c>
      <c r="B18" s="293">
        <f>+'MMW Output'!C36</f>
        <v>0</v>
      </c>
      <c r="C18" s="293">
        <f>+'MMW Output'!D36</f>
        <v>0</v>
      </c>
      <c r="D18" s="293">
        <f>+'MMW Output'!E36</f>
        <v>0</v>
      </c>
      <c r="E18" s="294">
        <f>+'MMW Output'!F36</f>
        <v>0</v>
      </c>
      <c r="G18" s="295">
        <f t="shared" si="0"/>
        <v>0</v>
      </c>
      <c r="I18" s="278" t="s">
        <v>369</v>
      </c>
      <c r="J18" s="278">
        <f>(J17*100)/43560</f>
        <v>0</v>
      </c>
      <c r="N18" s="434" t="s">
        <v>369</v>
      </c>
      <c r="O18" s="434">
        <f>(O17*100)/43560</f>
        <v>0</v>
      </c>
    </row>
    <row r="19" spans="1:19" x14ac:dyDescent="0.25">
      <c r="A19" s="296" t="s">
        <v>52</v>
      </c>
      <c r="B19" s="293">
        <f>+'MMW Output'!C37</f>
        <v>0</v>
      </c>
      <c r="C19" s="293">
        <f>+'MMW Output'!D37</f>
        <v>0</v>
      </c>
      <c r="D19" s="293">
        <f>+'MMW Output'!E37</f>
        <v>0</v>
      </c>
      <c r="E19" s="297">
        <f>+'MMW Output'!F37</f>
        <v>0</v>
      </c>
      <c r="F19" s="298"/>
      <c r="G19" s="299">
        <f t="shared" si="0"/>
        <v>0</v>
      </c>
      <c r="I19" s="278" t="s">
        <v>360</v>
      </c>
      <c r="J19" s="278">
        <f>J18*2</f>
        <v>0</v>
      </c>
      <c r="N19" s="434" t="s">
        <v>360</v>
      </c>
      <c r="O19" s="434">
        <f>O18*2</f>
        <v>0</v>
      </c>
    </row>
    <row r="20" spans="1:19" ht="15" customHeight="1" x14ac:dyDescent="0.25">
      <c r="A20" s="287" t="s">
        <v>54</v>
      </c>
      <c r="B20" s="300" t="s">
        <v>66</v>
      </c>
      <c r="C20" s="288">
        <f>+'MMW Output'!D38</f>
        <v>0</v>
      </c>
      <c r="D20" s="288">
        <f>+'MMW Output'!E38</f>
        <v>0</v>
      </c>
      <c r="E20" s="294">
        <f>+'MMW Output'!F38</f>
        <v>0</v>
      </c>
      <c r="F20" s="290"/>
      <c r="G20" s="291"/>
      <c r="I20" s="278" t="s">
        <v>361</v>
      </c>
      <c r="J20" s="278">
        <v>0.54</v>
      </c>
      <c r="K20" s="278">
        <v>0.41</v>
      </c>
      <c r="L20" s="278">
        <v>0.4</v>
      </c>
      <c r="N20" s="434" t="s">
        <v>361</v>
      </c>
      <c r="O20" s="434">
        <v>0.54</v>
      </c>
      <c r="P20" s="434">
        <v>0.41</v>
      </c>
      <c r="Q20" s="434">
        <v>0.4</v>
      </c>
    </row>
    <row r="21" spans="1:19" ht="15" customHeight="1" x14ac:dyDescent="0.25">
      <c r="A21" s="292" t="s">
        <v>55</v>
      </c>
      <c r="B21" s="301" t="s">
        <v>66</v>
      </c>
      <c r="C21" s="293">
        <f>+'MMW Output'!D39</f>
        <v>0</v>
      </c>
      <c r="D21" s="293">
        <f>+'MMW Output'!E39</f>
        <v>0</v>
      </c>
      <c r="E21" s="294">
        <f>+'MMW Output'!F39</f>
        <v>0</v>
      </c>
      <c r="G21" s="295">
        <f>C21*2000</f>
        <v>0</v>
      </c>
      <c r="I21" s="286" t="s">
        <v>362</v>
      </c>
      <c r="J21" s="445" t="e">
        <f>(J19*J20*C32)+(J18*(C32-C33))</f>
        <v>#DIV/0!</v>
      </c>
      <c r="K21" s="286" t="e">
        <f>(J19*K20*D32)+(J18*(D32-D33))</f>
        <v>#DIV/0!</v>
      </c>
      <c r="L21" s="286" t="e">
        <f>(J19*L20*E32)+(J18*(E32-E33))</f>
        <v>#DIV/0!</v>
      </c>
      <c r="M21" s="286"/>
      <c r="N21" s="286" t="s">
        <v>362</v>
      </c>
      <c r="O21" s="445" t="e">
        <f>(O19*O20*C32)+(O18*(C32-C33))</f>
        <v>#DIV/0!</v>
      </c>
      <c r="P21" s="286" t="e">
        <f>(O19*P20*D32)+(O18*(D32-D33))</f>
        <v>#DIV/0!</v>
      </c>
      <c r="Q21" s="286" t="e">
        <f>(O19*Q20*E32)+(O18*(E32-E33))</f>
        <v>#DIV/0!</v>
      </c>
      <c r="R21" s="286"/>
    </row>
    <row r="22" spans="1:19" s="304" customFormat="1" ht="15" customHeight="1" x14ac:dyDescent="0.25">
      <c r="A22" s="302" t="s">
        <v>370</v>
      </c>
      <c r="B22" s="303" t="s">
        <v>66</v>
      </c>
      <c r="C22" s="293">
        <f>+'MMW Output'!D40</f>
        <v>0</v>
      </c>
      <c r="D22" s="293">
        <f>+'MMW Output'!E40</f>
        <v>0</v>
      </c>
      <c r="E22" s="294">
        <f>+'MMW Output'!F40</f>
        <v>0</v>
      </c>
      <c r="G22" s="305">
        <f>C22*2000</f>
        <v>0</v>
      </c>
      <c r="H22" s="435"/>
      <c r="M22" s="435"/>
      <c r="N22" s="435"/>
      <c r="O22" s="435"/>
      <c r="P22" s="435"/>
      <c r="Q22" s="435"/>
      <c r="R22" s="435"/>
    </row>
    <row r="23" spans="1:19" s="304" customFormat="1" ht="15" customHeight="1" x14ac:dyDescent="0.25">
      <c r="A23" s="302" t="s">
        <v>56</v>
      </c>
      <c r="B23" s="303"/>
      <c r="C23" s="293">
        <f>+'MMW Output'!D41</f>
        <v>0</v>
      </c>
      <c r="D23" s="293">
        <f>+'MMW Output'!E41</f>
        <v>0</v>
      </c>
      <c r="E23" s="294">
        <f>+'MMW Output'!F41</f>
        <v>0</v>
      </c>
      <c r="G23" s="305"/>
      <c r="H23" s="435"/>
      <c r="I23" s="306" t="s">
        <v>371</v>
      </c>
      <c r="M23" s="435"/>
      <c r="N23" s="306" t="s">
        <v>371</v>
      </c>
      <c r="O23" s="435"/>
      <c r="P23" s="435"/>
      <c r="Q23" s="435"/>
      <c r="R23" s="435"/>
    </row>
    <row r="24" spans="1:19" s="304" customFormat="1" ht="15" customHeight="1" x14ac:dyDescent="0.25">
      <c r="A24" s="302" t="s">
        <v>57</v>
      </c>
      <c r="B24" s="303"/>
      <c r="C24" s="293">
        <f>+'MMW Output'!D42</f>
        <v>0</v>
      </c>
      <c r="D24" s="293">
        <f>+'MMW Output'!E42</f>
        <v>0</v>
      </c>
      <c r="E24" s="294">
        <f>+'MMW Output'!F42</f>
        <v>0</v>
      </c>
      <c r="G24" s="305"/>
      <c r="H24" s="435"/>
      <c r="I24" s="278"/>
      <c r="J24" s="278"/>
      <c r="K24" s="278"/>
      <c r="L24" s="278"/>
      <c r="M24" s="434"/>
      <c r="N24" s="434"/>
      <c r="O24" s="434"/>
      <c r="P24" s="434"/>
      <c r="Q24" s="434"/>
      <c r="R24" s="434"/>
      <c r="S24" s="278"/>
    </row>
    <row r="25" spans="1:19" s="304" customFormat="1" ht="15" customHeight="1" thickBot="1" x14ac:dyDescent="0.3">
      <c r="A25" s="302" t="s">
        <v>58</v>
      </c>
      <c r="B25" s="303"/>
      <c r="C25" s="293">
        <f>+'MMW Output'!D43</f>
        <v>0</v>
      </c>
      <c r="D25" s="293">
        <f>+'MMW Output'!E43</f>
        <v>0</v>
      </c>
      <c r="E25" s="297">
        <f>+'MMW Output'!F43</f>
        <v>0</v>
      </c>
      <c r="G25" s="305"/>
      <c r="H25" s="435"/>
      <c r="I25" s="307" t="s">
        <v>372</v>
      </c>
      <c r="J25" s="308"/>
      <c r="K25" s="308"/>
      <c r="L25" s="308"/>
      <c r="M25" s="308"/>
      <c r="N25" s="307" t="s">
        <v>372</v>
      </c>
      <c r="O25" s="308"/>
      <c r="P25" s="308"/>
      <c r="Q25" s="308"/>
      <c r="R25" s="308"/>
      <c r="S25" s="278"/>
    </row>
    <row r="26" spans="1:19" s="304" customFormat="1" ht="15" customHeight="1" thickBot="1" x14ac:dyDescent="0.3">
      <c r="A26" s="309" t="s">
        <v>373</v>
      </c>
      <c r="B26" s="310">
        <f>SUM(B4:B22)</f>
        <v>0</v>
      </c>
      <c r="C26" s="310">
        <f t="shared" ref="C26" si="1">SUM(C4:C22)</f>
        <v>0</v>
      </c>
      <c r="D26" s="310">
        <f>SUM(D4:D25)</f>
        <v>0</v>
      </c>
      <c r="E26" s="311">
        <f>SUM(E4:E25)</f>
        <v>0</v>
      </c>
      <c r="F26" s="312"/>
      <c r="G26" s="313">
        <f>SUM(G4:G22)</f>
        <v>0</v>
      </c>
      <c r="H26" s="435"/>
      <c r="I26" s="304" t="s">
        <v>394</v>
      </c>
      <c r="J26" s="304">
        <f>+'MMW Output'!M30</f>
        <v>0</v>
      </c>
      <c r="N26" s="304" t="s">
        <v>394</v>
      </c>
      <c r="O26" s="304">
        <f>J26-J27</f>
        <v>0</v>
      </c>
      <c r="R26" s="308"/>
      <c r="S26" s="278"/>
    </row>
    <row r="27" spans="1:19" ht="15" customHeight="1" x14ac:dyDescent="0.25">
      <c r="A27" s="538" t="s">
        <v>375</v>
      </c>
      <c r="B27" s="539"/>
      <c r="C27" s="539"/>
      <c r="I27" s="278" t="s">
        <v>374</v>
      </c>
      <c r="J27" s="308">
        <v>0</v>
      </c>
      <c r="K27" s="308"/>
      <c r="L27" s="308"/>
      <c r="M27" s="308"/>
      <c r="N27" s="471" t="s">
        <v>374</v>
      </c>
      <c r="O27" s="308">
        <v>0</v>
      </c>
      <c r="P27" s="308"/>
      <c r="Q27" s="308"/>
      <c r="R27" s="314"/>
    </row>
    <row r="28" spans="1:19" s="304" customFormat="1" ht="15" customHeight="1" x14ac:dyDescent="0.25">
      <c r="A28" s="540" t="s">
        <v>377</v>
      </c>
      <c r="B28" s="541"/>
      <c r="C28" s="541"/>
      <c r="D28" s="315"/>
      <c r="E28" s="315"/>
      <c r="G28" s="315"/>
      <c r="H28" s="435"/>
      <c r="I28" s="278" t="s">
        <v>376</v>
      </c>
      <c r="J28" s="308">
        <v>115</v>
      </c>
      <c r="K28" s="314">
        <v>0.192</v>
      </c>
      <c r="L28" s="314">
        <v>0.17399999999999999</v>
      </c>
      <c r="M28" s="314"/>
      <c r="N28" s="434" t="s">
        <v>376</v>
      </c>
      <c r="O28" s="308">
        <v>115</v>
      </c>
      <c r="P28" s="314">
        <v>0.192</v>
      </c>
      <c r="Q28" s="314">
        <v>0.17399999999999999</v>
      </c>
      <c r="R28" s="308"/>
      <c r="S28" s="278"/>
    </row>
    <row r="29" spans="1:19" s="304" customFormat="1" ht="15" customHeight="1" thickBot="1" x14ac:dyDescent="0.3">
      <c r="A29" s="316" t="s">
        <v>379</v>
      </c>
      <c r="B29" s="316" t="s">
        <v>380</v>
      </c>
      <c r="C29" s="315"/>
      <c r="D29" s="315"/>
      <c r="E29" s="315"/>
      <c r="G29" s="315"/>
      <c r="H29" s="435"/>
      <c r="I29" s="278" t="s">
        <v>378</v>
      </c>
      <c r="J29" s="308">
        <f>J27*J28</f>
        <v>0</v>
      </c>
      <c r="K29" s="308">
        <f>J27*K28</f>
        <v>0</v>
      </c>
      <c r="L29" s="308">
        <f>J27*L28</f>
        <v>0</v>
      </c>
      <c r="M29" s="308"/>
      <c r="N29" s="434" t="s">
        <v>378</v>
      </c>
      <c r="O29" s="308">
        <f>O27*O28</f>
        <v>0</v>
      </c>
      <c r="P29" s="308">
        <f>O27*P28</f>
        <v>0</v>
      </c>
      <c r="Q29" s="308">
        <f>O27*Q28</f>
        <v>0</v>
      </c>
      <c r="R29" s="308"/>
      <c r="S29" s="278"/>
    </row>
    <row r="30" spans="1:19" s="304" customFormat="1" ht="29.25" customHeight="1" thickBot="1" x14ac:dyDescent="0.3">
      <c r="A30" s="317" t="s">
        <v>381</v>
      </c>
      <c r="B30" s="318">
        <f>SUM(B31:B40)</f>
        <v>0</v>
      </c>
      <c r="C30" s="319" t="s">
        <v>382</v>
      </c>
      <c r="D30" s="319" t="s">
        <v>383</v>
      </c>
      <c r="E30" s="319" t="s">
        <v>384</v>
      </c>
      <c r="F30" s="320"/>
      <c r="G30" s="319"/>
      <c r="H30" s="435"/>
      <c r="I30" s="278"/>
      <c r="J30" s="308"/>
      <c r="K30" s="308"/>
      <c r="L30" s="308"/>
      <c r="M30" s="308"/>
      <c r="N30" s="434"/>
      <c r="O30" s="308"/>
      <c r="P30" s="308"/>
      <c r="Q30" s="308"/>
      <c r="R30" s="435"/>
    </row>
    <row r="31" spans="1:19" s="304" customFormat="1" ht="15" customHeight="1" x14ac:dyDescent="0.25">
      <c r="A31" s="322" t="s">
        <v>36</v>
      </c>
      <c r="B31" s="323">
        <f t="shared" ref="B31:B40" si="2">B4</f>
        <v>0</v>
      </c>
      <c r="C31" s="304" t="e">
        <f>G4/B31</f>
        <v>#DIV/0!</v>
      </c>
      <c r="D31" s="304" t="e">
        <f>D4/B31</f>
        <v>#DIV/0!</v>
      </c>
      <c r="E31" s="304" t="e">
        <f>E4/B31</f>
        <v>#DIV/0!</v>
      </c>
      <c r="G31" s="315"/>
      <c r="H31" s="435"/>
      <c r="I31" s="321" t="s">
        <v>385</v>
      </c>
      <c r="M31" s="435"/>
      <c r="N31" s="321" t="s">
        <v>385</v>
      </c>
      <c r="O31" s="435"/>
      <c r="P31" s="435"/>
      <c r="Q31" s="435"/>
      <c r="R31" s="435"/>
    </row>
    <row r="32" spans="1:19" s="304" customFormat="1" x14ac:dyDescent="0.25">
      <c r="A32" s="322" t="s">
        <v>37</v>
      </c>
      <c r="B32" s="323">
        <f t="shared" si="2"/>
        <v>0</v>
      </c>
      <c r="C32" s="304" t="e">
        <f t="shared" ref="C32:C40" si="3">G5/B32</f>
        <v>#DIV/0!</v>
      </c>
      <c r="D32" s="304" t="e">
        <f t="shared" ref="D32:D40" si="4">D5/B32</f>
        <v>#DIV/0!</v>
      </c>
      <c r="E32" s="304" t="e">
        <f t="shared" ref="E32:E40" si="5">E5/B32</f>
        <v>#DIV/0!</v>
      </c>
      <c r="G32" s="315"/>
      <c r="H32" s="435"/>
      <c r="I32" s="304" t="s">
        <v>386</v>
      </c>
      <c r="J32" s="304">
        <v>0.1</v>
      </c>
      <c r="M32" s="435"/>
      <c r="N32" s="435" t="s">
        <v>386</v>
      </c>
      <c r="O32" s="435">
        <v>0.1</v>
      </c>
      <c r="P32" s="435"/>
      <c r="Q32" s="435"/>
      <c r="R32" s="435"/>
    </row>
    <row r="33" spans="1:19" s="304" customFormat="1" ht="15" customHeight="1" x14ac:dyDescent="0.25">
      <c r="A33" s="322" t="s">
        <v>38</v>
      </c>
      <c r="B33" s="323">
        <f t="shared" si="2"/>
        <v>0</v>
      </c>
      <c r="C33" s="304" t="e">
        <f t="shared" si="3"/>
        <v>#DIV/0!</v>
      </c>
      <c r="D33" s="304" t="e">
        <f t="shared" si="4"/>
        <v>#DIV/0!</v>
      </c>
      <c r="E33" s="304" t="e">
        <f t="shared" si="5"/>
        <v>#DIV/0!</v>
      </c>
      <c r="G33" s="315"/>
      <c r="H33" s="435"/>
      <c r="I33" s="304" t="s">
        <v>387</v>
      </c>
      <c r="J33" s="304">
        <f>J32*J29</f>
        <v>0</v>
      </c>
      <c r="K33" s="304">
        <f>J32*K29</f>
        <v>0</v>
      </c>
      <c r="L33" s="304">
        <f>J32*L29</f>
        <v>0</v>
      </c>
      <c r="M33" s="435"/>
      <c r="N33" s="435" t="s">
        <v>387</v>
      </c>
      <c r="O33" s="435">
        <f>O32*O29</f>
        <v>0</v>
      </c>
      <c r="P33" s="435">
        <f>O32*P29</f>
        <v>0</v>
      </c>
      <c r="Q33" s="435">
        <f>O32*Q29</f>
        <v>0</v>
      </c>
      <c r="R33" s="435"/>
    </row>
    <row r="34" spans="1:19" s="304" customFormat="1" ht="15" customHeight="1" x14ac:dyDescent="0.25">
      <c r="A34" s="322" t="s">
        <v>40</v>
      </c>
      <c r="B34" s="323">
        <f t="shared" si="2"/>
        <v>0</v>
      </c>
      <c r="C34" s="304" t="e">
        <f t="shared" si="3"/>
        <v>#DIV/0!</v>
      </c>
      <c r="D34" s="304" t="e">
        <f t="shared" si="4"/>
        <v>#DIV/0!</v>
      </c>
      <c r="E34" s="304" t="e">
        <f t="shared" si="5"/>
        <v>#DIV/0!</v>
      </c>
      <c r="G34" s="315"/>
      <c r="H34" s="435"/>
      <c r="M34" s="435"/>
      <c r="N34" s="435"/>
      <c r="O34" s="435"/>
      <c r="P34" s="435"/>
      <c r="Q34" s="435"/>
      <c r="R34" s="324"/>
      <c r="S34" s="278"/>
    </row>
    <row r="35" spans="1:19" s="304" customFormat="1" ht="15" customHeight="1" x14ac:dyDescent="0.25">
      <c r="A35" s="322" t="s">
        <v>41</v>
      </c>
      <c r="B35" s="323">
        <f t="shared" si="2"/>
        <v>0</v>
      </c>
      <c r="C35" s="304" t="e">
        <f t="shared" si="3"/>
        <v>#DIV/0!</v>
      </c>
      <c r="D35" s="304" t="e">
        <f t="shared" si="4"/>
        <v>#DIV/0!</v>
      </c>
      <c r="E35" s="304" t="e">
        <f t="shared" si="5"/>
        <v>#DIV/0!</v>
      </c>
      <c r="G35" s="315"/>
      <c r="H35" s="435"/>
      <c r="I35" s="286" t="s">
        <v>388</v>
      </c>
      <c r="J35" s="324">
        <f>J29+J33</f>
        <v>0</v>
      </c>
      <c r="K35" s="324">
        <f t="shared" ref="K35:L35" si="6">K29+K33</f>
        <v>0</v>
      </c>
      <c r="L35" s="324">
        <f t="shared" si="6"/>
        <v>0</v>
      </c>
      <c r="M35" s="324"/>
      <c r="N35" s="286" t="s">
        <v>388</v>
      </c>
      <c r="O35" s="324">
        <f>O29+O33</f>
        <v>0</v>
      </c>
      <c r="P35" s="324">
        <f t="shared" ref="P35:Q35" si="7">P29+P33</f>
        <v>0</v>
      </c>
      <c r="Q35" s="324">
        <f t="shared" si="7"/>
        <v>0</v>
      </c>
      <c r="R35" s="308"/>
      <c r="S35" s="278"/>
    </row>
    <row r="36" spans="1:19" s="304" customFormat="1" ht="15" customHeight="1" x14ac:dyDescent="0.25">
      <c r="A36" s="322" t="s">
        <v>42</v>
      </c>
      <c r="B36" s="323">
        <f t="shared" si="2"/>
        <v>0</v>
      </c>
      <c r="C36" s="304" t="e">
        <f t="shared" si="3"/>
        <v>#DIV/0!</v>
      </c>
      <c r="D36" s="304" t="e">
        <f t="shared" si="4"/>
        <v>#DIV/0!</v>
      </c>
      <c r="E36" s="304" t="e">
        <f t="shared" si="5"/>
        <v>#DIV/0!</v>
      </c>
      <c r="G36" s="315"/>
      <c r="H36" s="435"/>
      <c r="I36" s="278"/>
      <c r="J36" s="308"/>
      <c r="K36" s="308"/>
      <c r="L36" s="308"/>
      <c r="M36" s="308"/>
      <c r="N36" s="434"/>
      <c r="O36" s="308"/>
      <c r="P36" s="308"/>
      <c r="Q36" s="308"/>
      <c r="R36" s="308"/>
      <c r="S36" s="278"/>
    </row>
    <row r="37" spans="1:19" s="304" customFormat="1" ht="15" customHeight="1" x14ac:dyDescent="0.25">
      <c r="A37" s="322" t="s">
        <v>43</v>
      </c>
      <c r="B37" s="323">
        <f t="shared" si="2"/>
        <v>0</v>
      </c>
      <c r="C37" s="304" t="e">
        <f t="shared" si="3"/>
        <v>#DIV/0!</v>
      </c>
      <c r="D37" s="304" t="e">
        <f t="shared" si="4"/>
        <v>#DIV/0!</v>
      </c>
      <c r="E37" s="304" t="e">
        <f t="shared" si="5"/>
        <v>#DIV/0!</v>
      </c>
      <c r="G37" s="315"/>
      <c r="H37" s="435"/>
      <c r="I37" s="280" t="s">
        <v>389</v>
      </c>
      <c r="J37" s="308"/>
      <c r="K37" s="308"/>
      <c r="L37" s="308"/>
      <c r="M37" s="308"/>
      <c r="N37" s="280" t="s">
        <v>389</v>
      </c>
      <c r="O37" s="308"/>
      <c r="P37" s="308"/>
      <c r="Q37" s="308"/>
      <c r="R37" s="308"/>
      <c r="S37" s="278"/>
    </row>
    <row r="38" spans="1:19" s="304" customFormat="1" ht="15" customHeight="1" x14ac:dyDescent="0.25">
      <c r="A38" s="322" t="s">
        <v>44</v>
      </c>
      <c r="B38" s="323">
        <f t="shared" si="2"/>
        <v>0</v>
      </c>
      <c r="C38" s="304" t="e">
        <f t="shared" si="3"/>
        <v>#DIV/0!</v>
      </c>
      <c r="D38" s="304" t="e">
        <f t="shared" si="4"/>
        <v>#DIV/0!</v>
      </c>
      <c r="E38" s="304" t="e">
        <f t="shared" si="5"/>
        <v>#DIV/0!</v>
      </c>
      <c r="G38" s="315"/>
      <c r="H38" s="435"/>
      <c r="I38" s="278" t="s">
        <v>358</v>
      </c>
      <c r="J38" s="308">
        <f>B4</f>
        <v>0</v>
      </c>
      <c r="K38" s="308"/>
      <c r="L38" s="308"/>
      <c r="M38" s="308"/>
      <c r="N38" s="471" t="s">
        <v>358</v>
      </c>
      <c r="O38" s="308">
        <f>B4-J39</f>
        <v>0</v>
      </c>
      <c r="P38" s="308"/>
      <c r="Q38" s="308"/>
      <c r="R38" s="308"/>
      <c r="S38" s="278"/>
    </row>
    <row r="39" spans="1:19" s="304" customFormat="1" ht="15" customHeight="1" x14ac:dyDescent="0.25">
      <c r="A39" s="322" t="s">
        <v>45</v>
      </c>
      <c r="B39" s="323">
        <f t="shared" si="2"/>
        <v>0</v>
      </c>
      <c r="C39" s="304" t="e">
        <f t="shared" si="3"/>
        <v>#DIV/0!</v>
      </c>
      <c r="D39" s="304" t="e">
        <f t="shared" si="4"/>
        <v>#DIV/0!</v>
      </c>
      <c r="E39" s="304" t="e">
        <f t="shared" si="5"/>
        <v>#DIV/0!</v>
      </c>
      <c r="G39" s="315"/>
      <c r="H39" s="435"/>
      <c r="I39" s="278" t="s">
        <v>360</v>
      </c>
      <c r="J39" s="308">
        <v>0</v>
      </c>
      <c r="K39" s="308"/>
      <c r="L39" s="471"/>
      <c r="M39" s="308"/>
      <c r="N39" s="471" t="s">
        <v>360</v>
      </c>
      <c r="O39" s="308">
        <v>0</v>
      </c>
      <c r="P39" s="308"/>
      <c r="Q39" s="308"/>
      <c r="R39" s="308"/>
      <c r="S39" s="278"/>
    </row>
    <row r="40" spans="1:19" ht="15.75" thickBot="1" x14ac:dyDescent="0.3">
      <c r="A40" s="322" t="s">
        <v>46</v>
      </c>
      <c r="B40" s="325">
        <f t="shared" si="2"/>
        <v>0</v>
      </c>
      <c r="C40" s="304" t="e">
        <f t="shared" si="3"/>
        <v>#DIV/0!</v>
      </c>
      <c r="D40" s="304" t="e">
        <f t="shared" si="4"/>
        <v>#DIV/0!</v>
      </c>
      <c r="E40" s="304" t="e">
        <f t="shared" si="5"/>
        <v>#DIV/0!</v>
      </c>
      <c r="I40" s="278" t="s">
        <v>390</v>
      </c>
      <c r="J40" s="308">
        <v>0.3</v>
      </c>
      <c r="K40" s="308">
        <v>0.3</v>
      </c>
      <c r="L40" s="308">
        <v>0.3</v>
      </c>
      <c r="M40" s="308"/>
      <c r="N40" s="434" t="s">
        <v>390</v>
      </c>
      <c r="O40" s="308">
        <v>0.3</v>
      </c>
      <c r="P40" s="308">
        <v>0.3</v>
      </c>
      <c r="Q40" s="308">
        <v>0.3</v>
      </c>
      <c r="R40" s="324"/>
    </row>
    <row r="41" spans="1:19" ht="31.5" customHeight="1" x14ac:dyDescent="0.25">
      <c r="A41" s="326"/>
      <c r="B41" s="304"/>
      <c r="I41" s="286" t="s">
        <v>362</v>
      </c>
      <c r="J41" s="324" t="e">
        <f>(J39/J38)*J40*G4</f>
        <v>#DIV/0!</v>
      </c>
      <c r="K41" s="324" t="e">
        <f>(J39/J38)*K40*D4</f>
        <v>#DIV/0!</v>
      </c>
      <c r="L41" s="324" t="e">
        <f>(J39/J38)*L40*E4</f>
        <v>#DIV/0!</v>
      </c>
      <c r="M41" s="324"/>
      <c r="N41" s="286" t="s">
        <v>362</v>
      </c>
      <c r="O41" s="324" t="e">
        <f>(O39/J38)*O40*G4</f>
        <v>#DIV/0!</v>
      </c>
      <c r="P41" s="324" t="e">
        <f>(O39/J38)*P40*D4</f>
        <v>#DIV/0!</v>
      </c>
      <c r="Q41" s="324" t="e">
        <f>(O39/J38)*Q40*E4</f>
        <v>#DIV/0!</v>
      </c>
      <c r="R41" s="308"/>
    </row>
    <row r="42" spans="1:19" x14ac:dyDescent="0.25">
      <c r="B42" s="278"/>
      <c r="J42" s="308"/>
      <c r="K42" s="308"/>
      <c r="L42" s="308"/>
      <c r="M42" s="308"/>
      <c r="O42" s="308"/>
      <c r="P42" s="308"/>
      <c r="Q42" s="308"/>
      <c r="R42" s="308"/>
    </row>
    <row r="43" spans="1:19" x14ac:dyDescent="0.25">
      <c r="B43" s="278"/>
      <c r="C43" s="286"/>
      <c r="D43" s="286"/>
      <c r="E43" s="327"/>
      <c r="I43" s="280" t="s">
        <v>391</v>
      </c>
      <c r="J43" s="308"/>
      <c r="K43" s="308"/>
      <c r="L43" s="308"/>
      <c r="M43" s="308"/>
      <c r="N43" s="280" t="s">
        <v>391</v>
      </c>
      <c r="O43" s="308"/>
      <c r="P43" s="308"/>
      <c r="Q43" s="308"/>
      <c r="R43" s="308"/>
    </row>
    <row r="44" spans="1:19" x14ac:dyDescent="0.25">
      <c r="B44" s="278"/>
      <c r="C44" s="286"/>
      <c r="D44" s="286"/>
      <c r="E44" s="327"/>
      <c r="I44" s="278" t="s">
        <v>358</v>
      </c>
      <c r="J44" s="308">
        <f>B5</f>
        <v>0</v>
      </c>
      <c r="K44" s="308"/>
      <c r="L44" s="308"/>
      <c r="M44" s="308"/>
      <c r="N44" s="434" t="s">
        <v>358</v>
      </c>
      <c r="O44" s="308">
        <f>B5-J45</f>
        <v>0</v>
      </c>
      <c r="P44" s="308"/>
      <c r="Q44" s="308"/>
      <c r="R44" s="308"/>
    </row>
    <row r="45" spans="1:19" x14ac:dyDescent="0.25">
      <c r="B45" s="278"/>
      <c r="C45" s="286"/>
      <c r="D45" s="286"/>
      <c r="E45" s="327"/>
      <c r="I45" s="278" t="s">
        <v>392</v>
      </c>
      <c r="J45" s="308">
        <v>0</v>
      </c>
      <c r="K45" s="308"/>
      <c r="L45" s="308"/>
      <c r="M45" s="308"/>
      <c r="N45" s="434" t="s">
        <v>392</v>
      </c>
      <c r="O45" s="308">
        <v>0</v>
      </c>
      <c r="P45" s="308"/>
      <c r="Q45" s="308"/>
      <c r="R45" s="324"/>
    </row>
    <row r="46" spans="1:19" x14ac:dyDescent="0.25">
      <c r="B46" s="278"/>
      <c r="C46" s="286"/>
      <c r="D46" s="286"/>
      <c r="I46" s="286" t="s">
        <v>362</v>
      </c>
      <c r="J46" s="324" t="e">
        <f>(C32-C33)*J45</f>
        <v>#DIV/0!</v>
      </c>
      <c r="K46" s="324" t="e">
        <f>(D32-D33)*J45</f>
        <v>#DIV/0!</v>
      </c>
      <c r="L46" s="324" t="e">
        <f>(E32-E33)*J45</f>
        <v>#DIV/0!</v>
      </c>
      <c r="M46" s="324"/>
      <c r="N46" s="286" t="s">
        <v>362</v>
      </c>
      <c r="O46" s="324" t="e">
        <f>(C32-C33)*O45</f>
        <v>#DIV/0!</v>
      </c>
      <c r="P46" s="324" t="e">
        <f>(D32-D33)*O45</f>
        <v>#DIV/0!</v>
      </c>
      <c r="Q46" s="324" t="e">
        <f>(E32-E33)*O45</f>
        <v>#DIV/0!</v>
      </c>
      <c r="R46" s="308"/>
    </row>
    <row r="47" spans="1:19" x14ac:dyDescent="0.25">
      <c r="B47" s="278"/>
      <c r="J47" s="308"/>
      <c r="K47" s="308"/>
      <c r="L47" s="308"/>
      <c r="M47" s="308"/>
      <c r="O47" s="308"/>
      <c r="P47" s="308"/>
      <c r="Q47" s="308"/>
      <c r="R47" s="308"/>
    </row>
    <row r="48" spans="1:19" x14ac:dyDescent="0.25">
      <c r="A48" s="304"/>
      <c r="B48" s="304"/>
      <c r="I48" s="280" t="s">
        <v>393</v>
      </c>
      <c r="J48" s="308"/>
      <c r="K48" s="308"/>
      <c r="L48" s="308"/>
      <c r="M48" s="308"/>
      <c r="N48" s="280" t="s">
        <v>393</v>
      </c>
      <c r="O48" s="308"/>
      <c r="P48" s="308"/>
      <c r="Q48" s="308"/>
      <c r="R48" s="308"/>
    </row>
    <row r="49" spans="1:18" x14ac:dyDescent="0.25">
      <c r="A49" s="304"/>
      <c r="B49" s="304"/>
      <c r="I49" s="278" t="s">
        <v>394</v>
      </c>
      <c r="J49" s="308">
        <f>O26-O27</f>
        <v>0</v>
      </c>
      <c r="K49" s="308"/>
      <c r="L49" s="308"/>
      <c r="M49" s="308"/>
      <c r="N49" s="434" t="s">
        <v>394</v>
      </c>
      <c r="O49" s="308">
        <f>J49-J50</f>
        <v>0</v>
      </c>
      <c r="P49" s="308"/>
      <c r="Q49" s="308"/>
      <c r="R49" s="308"/>
    </row>
    <row r="50" spans="1:18" x14ac:dyDescent="0.25">
      <c r="A50" s="304"/>
      <c r="B50" s="304"/>
      <c r="I50" s="278" t="s">
        <v>374</v>
      </c>
      <c r="J50" s="308">
        <v>0</v>
      </c>
      <c r="K50" s="308"/>
      <c r="L50" s="308"/>
      <c r="M50" s="308"/>
      <c r="N50" s="434" t="s">
        <v>374</v>
      </c>
      <c r="O50" s="308">
        <v>0</v>
      </c>
      <c r="P50" s="308"/>
      <c r="Q50" s="308"/>
      <c r="R50" s="308"/>
    </row>
    <row r="51" spans="1:18" x14ac:dyDescent="0.25">
      <c r="B51" s="304"/>
      <c r="I51" s="278" t="s">
        <v>395</v>
      </c>
      <c r="J51" s="308">
        <v>115</v>
      </c>
      <c r="K51" s="308">
        <v>0.192</v>
      </c>
      <c r="L51" s="308">
        <v>0.17399999999999999</v>
      </c>
      <c r="M51" s="308"/>
      <c r="N51" s="434" t="s">
        <v>395</v>
      </c>
      <c r="O51" s="308">
        <v>115</v>
      </c>
      <c r="P51" s="308">
        <v>0.192</v>
      </c>
      <c r="Q51" s="308">
        <v>0.17399999999999999</v>
      </c>
      <c r="R51" s="324"/>
    </row>
    <row r="52" spans="1:18" x14ac:dyDescent="0.25">
      <c r="B52" s="278"/>
      <c r="C52" s="278"/>
      <c r="D52" s="278"/>
      <c r="E52" s="278"/>
      <c r="G52" s="278"/>
      <c r="I52" s="286" t="s">
        <v>362</v>
      </c>
      <c r="J52" s="324">
        <f>J50*J51</f>
        <v>0</v>
      </c>
      <c r="K52" s="324">
        <f>J50*K51</f>
        <v>0</v>
      </c>
      <c r="L52" s="324">
        <f>J50*L51</f>
        <v>0</v>
      </c>
      <c r="M52" s="324"/>
      <c r="N52" s="286" t="s">
        <v>362</v>
      </c>
      <c r="O52" s="324">
        <f>O50*O51</f>
        <v>0</v>
      </c>
      <c r="P52" s="324">
        <f>O50*P51</f>
        <v>0</v>
      </c>
      <c r="Q52" s="324">
        <f>O50*Q51</f>
        <v>0</v>
      </c>
      <c r="R52" s="324"/>
    </row>
    <row r="53" spans="1:18" x14ac:dyDescent="0.25">
      <c r="B53" s="278"/>
      <c r="C53" s="278"/>
      <c r="D53" s="278"/>
      <c r="E53" s="278"/>
      <c r="G53" s="278"/>
      <c r="I53" s="286"/>
      <c r="J53" s="324"/>
      <c r="K53" s="324"/>
      <c r="L53" s="324"/>
      <c r="M53" s="324"/>
      <c r="N53" s="286"/>
      <c r="O53" s="324"/>
      <c r="P53" s="324"/>
      <c r="Q53" s="324"/>
      <c r="R53" s="324"/>
    </row>
    <row r="54" spans="1:18" x14ac:dyDescent="0.25">
      <c r="B54" s="278"/>
      <c r="C54" s="278"/>
      <c r="D54" s="278"/>
      <c r="E54" s="278"/>
      <c r="G54" s="278"/>
      <c r="I54" s="328" t="s">
        <v>396</v>
      </c>
      <c r="J54" s="324"/>
      <c r="K54" s="324"/>
      <c r="L54" s="324"/>
      <c r="M54" s="324"/>
      <c r="N54" s="328" t="s">
        <v>396</v>
      </c>
      <c r="O54" s="324"/>
      <c r="P54" s="324"/>
      <c r="Q54" s="324"/>
      <c r="R54" s="330"/>
    </row>
    <row r="55" spans="1:18" x14ac:dyDescent="0.25">
      <c r="B55" s="278"/>
      <c r="E55" s="278"/>
      <c r="G55" s="278"/>
      <c r="I55" s="329" t="s">
        <v>358</v>
      </c>
      <c r="J55" s="330">
        <f>B5</f>
        <v>0</v>
      </c>
      <c r="K55" s="330"/>
      <c r="L55" s="330"/>
      <c r="M55" s="330"/>
      <c r="N55" s="329" t="s">
        <v>358</v>
      </c>
      <c r="O55" s="330">
        <f>B5-J56</f>
        <v>0</v>
      </c>
      <c r="P55" s="330"/>
      <c r="Q55" s="330"/>
      <c r="R55" s="330"/>
    </row>
    <row r="56" spans="1:18" x14ac:dyDescent="0.25">
      <c r="B56" s="278"/>
      <c r="E56" s="278"/>
      <c r="G56" s="278"/>
      <c r="I56" s="329" t="s">
        <v>360</v>
      </c>
      <c r="J56" s="330">
        <v>0</v>
      </c>
      <c r="K56" s="330"/>
      <c r="L56" s="330"/>
      <c r="M56" s="330"/>
      <c r="N56" s="329" t="s">
        <v>360</v>
      </c>
      <c r="O56" s="330">
        <v>0</v>
      </c>
      <c r="P56" s="330"/>
      <c r="Q56" s="330"/>
      <c r="R56" s="330"/>
    </row>
    <row r="57" spans="1:18" x14ac:dyDescent="0.25">
      <c r="B57" s="278"/>
      <c r="E57" s="278"/>
      <c r="G57" s="278"/>
      <c r="I57" s="329" t="s">
        <v>361</v>
      </c>
      <c r="J57" s="330">
        <v>0.16</v>
      </c>
      <c r="K57" s="330">
        <v>0.05</v>
      </c>
      <c r="L57" s="330">
        <v>0.1</v>
      </c>
      <c r="M57" s="330"/>
      <c r="N57" s="329" t="s">
        <v>361</v>
      </c>
      <c r="O57" s="330">
        <v>0.16</v>
      </c>
      <c r="P57" s="330">
        <v>0.05</v>
      </c>
      <c r="Q57" s="330">
        <v>0.1</v>
      </c>
      <c r="R57" s="324"/>
    </row>
    <row r="58" spans="1:18" x14ac:dyDescent="0.25">
      <c r="B58" s="278"/>
      <c r="E58" s="278"/>
      <c r="G58" s="278"/>
      <c r="I58" s="286" t="s">
        <v>362</v>
      </c>
      <c r="J58" s="324" t="e">
        <f>(J56/J55)*J57*G5</f>
        <v>#DIV/0!</v>
      </c>
      <c r="K58" s="324" t="e">
        <f>(J56/J55)*K57*D5</f>
        <v>#DIV/0!</v>
      </c>
      <c r="L58" s="324" t="e">
        <f>(J56/J55)*L57*E5</f>
        <v>#DIV/0!</v>
      </c>
      <c r="M58" s="324"/>
      <c r="N58" s="286" t="s">
        <v>362</v>
      </c>
      <c r="O58" s="324" t="e">
        <f>(O56/J55)*O57*G5</f>
        <v>#DIV/0!</v>
      </c>
      <c r="P58" s="324" t="e">
        <f>(O56/J55)*P57*D5</f>
        <v>#DIV/0!</v>
      </c>
      <c r="Q58" s="324" t="e">
        <f>(O56/J55)*Q57*E5</f>
        <v>#DIV/0!</v>
      </c>
      <c r="R58" s="324"/>
    </row>
    <row r="59" spans="1:18" x14ac:dyDescent="0.25">
      <c r="B59" s="278"/>
      <c r="C59" s="278"/>
      <c r="D59" s="278"/>
      <c r="E59" s="278"/>
      <c r="G59" s="278"/>
      <c r="I59" s="286"/>
      <c r="J59" s="324"/>
      <c r="K59" s="324"/>
      <c r="L59" s="324"/>
      <c r="M59" s="324"/>
      <c r="N59" s="286"/>
      <c r="O59" s="324"/>
      <c r="P59" s="324"/>
      <c r="Q59" s="324"/>
      <c r="R59" s="324"/>
    </row>
    <row r="60" spans="1:18" x14ac:dyDescent="0.25">
      <c r="B60" s="278"/>
      <c r="C60" s="278"/>
      <c r="D60" s="278"/>
      <c r="E60" s="278"/>
      <c r="G60" s="278"/>
      <c r="I60" s="328" t="s">
        <v>397</v>
      </c>
      <c r="J60" s="324"/>
      <c r="K60" s="324"/>
      <c r="L60" s="324"/>
      <c r="M60" s="324"/>
      <c r="N60" s="328" t="s">
        <v>397</v>
      </c>
      <c r="O60" s="324"/>
      <c r="P60" s="324"/>
      <c r="Q60" s="324"/>
      <c r="R60" s="330"/>
    </row>
    <row r="61" spans="1:18" x14ac:dyDescent="0.25">
      <c r="A61" s="331"/>
      <c r="B61" s="278"/>
      <c r="C61" s="278"/>
      <c r="D61" s="278"/>
      <c r="E61" s="278"/>
      <c r="G61" s="278"/>
      <c r="I61" s="329" t="s">
        <v>394</v>
      </c>
      <c r="J61" s="330">
        <f>+'MMW Output'!M30</f>
        <v>0</v>
      </c>
      <c r="K61" s="330"/>
      <c r="L61" s="330"/>
      <c r="M61" s="330"/>
      <c r="N61" s="329" t="s">
        <v>394</v>
      </c>
      <c r="O61" s="330">
        <f>J61-J62</f>
        <v>0</v>
      </c>
      <c r="P61" s="330"/>
      <c r="Q61" s="330"/>
      <c r="R61" s="330"/>
    </row>
    <row r="62" spans="1:18" x14ac:dyDescent="0.25">
      <c r="B62" s="278"/>
      <c r="C62" s="278"/>
      <c r="D62" s="278"/>
      <c r="E62" s="278"/>
      <c r="G62" s="278"/>
      <c r="I62" s="329" t="s">
        <v>398</v>
      </c>
      <c r="J62" s="330">
        <v>0</v>
      </c>
      <c r="K62" s="330"/>
      <c r="L62" s="330"/>
      <c r="M62" s="330"/>
      <c r="N62" s="329" t="s">
        <v>398</v>
      </c>
      <c r="O62" s="330">
        <v>0</v>
      </c>
      <c r="P62" s="330"/>
      <c r="Q62" s="330"/>
      <c r="R62" s="332"/>
    </row>
    <row r="63" spans="1:18" x14ac:dyDescent="0.25">
      <c r="B63" s="278"/>
      <c r="C63" s="278"/>
      <c r="D63" s="278"/>
      <c r="E63" s="278"/>
      <c r="G63" s="278"/>
      <c r="I63" s="329" t="s">
        <v>399</v>
      </c>
      <c r="J63" s="330">
        <v>2.5499999999999998</v>
      </c>
      <c r="K63" s="330">
        <v>0.02</v>
      </c>
      <c r="L63" s="332">
        <v>3.5000000000000001E-3</v>
      </c>
      <c r="M63" s="332"/>
      <c r="N63" s="329" t="s">
        <v>399</v>
      </c>
      <c r="O63" s="330">
        <v>2.5499999999999998</v>
      </c>
      <c r="P63" s="330">
        <v>0.02</v>
      </c>
      <c r="Q63" s="332">
        <v>3.5000000000000001E-3</v>
      </c>
      <c r="R63" s="324"/>
    </row>
    <row r="64" spans="1:18" x14ac:dyDescent="0.25">
      <c r="B64" s="278"/>
      <c r="C64" s="278"/>
      <c r="D64" s="278"/>
      <c r="E64" s="278"/>
      <c r="G64" s="278"/>
      <c r="I64" s="286" t="s">
        <v>362</v>
      </c>
      <c r="J64" s="324">
        <f>J62*J63</f>
        <v>0</v>
      </c>
      <c r="K64" s="324">
        <f>J62*K63</f>
        <v>0</v>
      </c>
      <c r="L64" s="324">
        <f>J62*L63</f>
        <v>0</v>
      </c>
      <c r="M64" s="324"/>
      <c r="N64" s="286" t="s">
        <v>362</v>
      </c>
      <c r="O64" s="324">
        <f>O62*O63</f>
        <v>0</v>
      </c>
      <c r="P64" s="324">
        <f>O62*P63</f>
        <v>0</v>
      </c>
      <c r="Q64" s="324">
        <f>O62*Q63</f>
        <v>0</v>
      </c>
      <c r="R64" s="324"/>
    </row>
    <row r="65" spans="2:18" x14ac:dyDescent="0.25">
      <c r="B65" s="278"/>
      <c r="C65" s="278"/>
      <c r="D65" s="278"/>
      <c r="E65" s="278"/>
      <c r="G65" s="278"/>
      <c r="I65" s="286"/>
      <c r="J65" s="324"/>
      <c r="K65" s="324"/>
      <c r="L65" s="324"/>
      <c r="M65" s="324"/>
      <c r="N65" s="286"/>
      <c r="O65" s="324"/>
      <c r="P65" s="324"/>
      <c r="Q65" s="324"/>
      <c r="R65" s="308"/>
    </row>
    <row r="66" spans="2:18" x14ac:dyDescent="0.25">
      <c r="B66" s="278"/>
      <c r="C66" s="278"/>
      <c r="D66" s="278"/>
      <c r="E66" s="278"/>
      <c r="G66" s="278"/>
      <c r="I66" s="280" t="s">
        <v>400</v>
      </c>
      <c r="J66" s="308"/>
      <c r="K66" s="308"/>
      <c r="L66" s="308"/>
      <c r="M66" s="308"/>
      <c r="N66" s="280" t="s">
        <v>400</v>
      </c>
      <c r="O66" s="308"/>
      <c r="P66" s="308"/>
      <c r="Q66" s="308"/>
      <c r="R66" s="308"/>
    </row>
    <row r="67" spans="2:18" x14ac:dyDescent="0.25">
      <c r="B67" s="278"/>
      <c r="C67" s="278"/>
      <c r="D67" s="278"/>
      <c r="E67" s="278"/>
      <c r="G67" s="278"/>
      <c r="I67" s="307" t="s">
        <v>401</v>
      </c>
      <c r="J67" s="308"/>
      <c r="K67" s="308"/>
      <c r="L67" s="308"/>
      <c r="M67" s="308"/>
      <c r="N67" s="307" t="s">
        <v>401</v>
      </c>
      <c r="O67" s="308"/>
      <c r="P67" s="308"/>
      <c r="Q67" s="308"/>
      <c r="R67" s="308"/>
    </row>
    <row r="68" spans="2:18" x14ac:dyDescent="0.25">
      <c r="B68" s="278"/>
      <c r="C68" s="278"/>
      <c r="D68" s="278"/>
      <c r="E68" s="278"/>
      <c r="G68" s="278"/>
      <c r="I68" s="333" t="s">
        <v>358</v>
      </c>
      <c r="J68" s="308">
        <f>B5</f>
        <v>0</v>
      </c>
      <c r="K68" s="308"/>
      <c r="L68" s="308"/>
      <c r="M68" s="308"/>
      <c r="N68" s="333" t="s">
        <v>358</v>
      </c>
      <c r="O68" s="308">
        <f>B5-J69</f>
        <v>0</v>
      </c>
      <c r="P68" s="308"/>
      <c r="Q68" s="308"/>
      <c r="R68" s="308"/>
    </row>
    <row r="69" spans="2:18" x14ac:dyDescent="0.25">
      <c r="B69" s="278"/>
      <c r="C69" s="278"/>
      <c r="D69" s="278"/>
      <c r="E69" s="278"/>
      <c r="G69" s="278"/>
      <c r="I69" s="333" t="s">
        <v>360</v>
      </c>
      <c r="J69" s="308">
        <v>0</v>
      </c>
      <c r="K69" s="308"/>
      <c r="L69" s="308"/>
      <c r="M69" s="308"/>
      <c r="N69" s="333" t="s">
        <v>360</v>
      </c>
      <c r="O69" s="308">
        <v>0</v>
      </c>
      <c r="P69" s="308"/>
      <c r="Q69" s="308"/>
      <c r="R69" s="308"/>
    </row>
    <row r="70" spans="2:18" x14ac:dyDescent="0.25">
      <c r="B70" s="278"/>
      <c r="C70" s="278"/>
      <c r="D70" s="278"/>
      <c r="E70" s="278"/>
      <c r="G70" s="278"/>
      <c r="I70" s="333" t="s">
        <v>361</v>
      </c>
      <c r="J70" s="308">
        <v>0</v>
      </c>
      <c r="K70" s="308">
        <v>0.28999999999999998</v>
      </c>
      <c r="L70" s="308">
        <v>0.44</v>
      </c>
      <c r="M70" s="308"/>
      <c r="N70" s="333" t="s">
        <v>361</v>
      </c>
      <c r="O70" s="308">
        <v>0</v>
      </c>
      <c r="P70" s="308">
        <v>0.28999999999999998</v>
      </c>
      <c r="Q70" s="308">
        <v>0.44</v>
      </c>
      <c r="R70" s="308"/>
    </row>
    <row r="71" spans="2:18" x14ac:dyDescent="0.25">
      <c r="B71" s="278"/>
      <c r="C71" s="278"/>
      <c r="D71" s="278"/>
      <c r="E71" s="278"/>
      <c r="G71" s="278"/>
      <c r="I71" s="278" t="s">
        <v>362</v>
      </c>
      <c r="J71" s="308"/>
      <c r="K71" s="308" t="e">
        <f>(J69/J68)*D5*K70</f>
        <v>#DIV/0!</v>
      </c>
      <c r="L71" s="308" t="e">
        <f>(J69/J68)*E5*L70</f>
        <v>#DIV/0!</v>
      </c>
      <c r="M71" s="308"/>
      <c r="N71" s="434" t="s">
        <v>362</v>
      </c>
      <c r="O71" s="308"/>
      <c r="P71" s="308" t="e">
        <f>(O69/J68)*D5*P70</f>
        <v>#DIV/0!</v>
      </c>
      <c r="Q71" s="308" t="e">
        <f>(O69/J68)*E5*Q70</f>
        <v>#DIV/0!</v>
      </c>
      <c r="R71" s="308"/>
    </row>
    <row r="72" spans="2:18" x14ac:dyDescent="0.25">
      <c r="B72" s="278"/>
      <c r="C72" s="278"/>
      <c r="D72" s="278"/>
      <c r="E72" s="278"/>
      <c r="G72" s="278"/>
      <c r="I72" s="334"/>
      <c r="J72" s="308"/>
      <c r="K72" s="308"/>
      <c r="L72" s="308"/>
      <c r="M72" s="308"/>
      <c r="N72" s="334"/>
      <c r="O72" s="308"/>
      <c r="P72" s="308"/>
      <c r="Q72" s="308"/>
      <c r="R72" s="308"/>
    </row>
    <row r="73" spans="2:18" x14ac:dyDescent="0.25">
      <c r="B73" s="278"/>
      <c r="C73" s="278"/>
      <c r="D73" s="278"/>
      <c r="E73" s="278"/>
      <c r="G73" s="278"/>
      <c r="I73" s="307" t="s">
        <v>402</v>
      </c>
      <c r="J73" s="308"/>
      <c r="K73" s="308"/>
      <c r="L73" s="308"/>
      <c r="M73" s="308"/>
      <c r="N73" s="307" t="s">
        <v>402</v>
      </c>
      <c r="O73" s="308"/>
      <c r="P73" s="308"/>
      <c r="Q73" s="308"/>
      <c r="R73" s="308"/>
    </row>
    <row r="74" spans="2:18" x14ac:dyDescent="0.25">
      <c r="B74" s="278"/>
      <c r="C74" s="278"/>
      <c r="D74" s="278"/>
      <c r="E74" s="278"/>
      <c r="G74" s="278"/>
      <c r="I74" s="333" t="s">
        <v>361</v>
      </c>
      <c r="J74" s="308"/>
      <c r="K74" s="308">
        <v>0.15</v>
      </c>
      <c r="L74" s="308">
        <v>0.1</v>
      </c>
      <c r="M74" s="308"/>
      <c r="N74" s="333" t="s">
        <v>361</v>
      </c>
      <c r="O74" s="308">
        <v>0</v>
      </c>
      <c r="P74" s="308">
        <v>0.15</v>
      </c>
      <c r="Q74" s="308">
        <v>0.1</v>
      </c>
      <c r="R74" s="308"/>
    </row>
    <row r="75" spans="2:18" x14ac:dyDescent="0.25">
      <c r="B75" s="278"/>
      <c r="C75" s="278"/>
      <c r="D75" s="278"/>
      <c r="E75" s="278"/>
      <c r="G75" s="278"/>
      <c r="I75" s="333" t="s">
        <v>362</v>
      </c>
      <c r="J75" s="308"/>
      <c r="K75" s="308" t="e">
        <f>(J69/J68)*D23*K74</f>
        <v>#DIV/0!</v>
      </c>
      <c r="L75" s="308" t="e">
        <f>(J69/J68)*E23*L74</f>
        <v>#DIV/0!</v>
      </c>
      <c r="M75" s="308"/>
      <c r="N75" s="333" t="s">
        <v>362</v>
      </c>
      <c r="O75" s="308">
        <v>0</v>
      </c>
      <c r="P75" s="308" t="e">
        <f>(O69/J68)*D23*P74</f>
        <v>#DIV/0!</v>
      </c>
      <c r="Q75" s="308" t="e">
        <f>(O69/J68)*E23*Q74</f>
        <v>#DIV/0!</v>
      </c>
      <c r="R75" s="308"/>
    </row>
    <row r="76" spans="2:18" x14ac:dyDescent="0.25">
      <c r="B76" s="278"/>
      <c r="C76" s="278"/>
      <c r="D76" s="278"/>
      <c r="E76" s="278"/>
      <c r="G76" s="278"/>
      <c r="I76" s="334"/>
      <c r="J76" s="308"/>
      <c r="K76" s="308"/>
      <c r="L76" s="308"/>
      <c r="M76" s="308"/>
      <c r="N76" s="334"/>
      <c r="O76" s="308"/>
      <c r="P76" s="308"/>
      <c r="Q76" s="308"/>
      <c r="R76" s="324"/>
    </row>
    <row r="77" spans="2:18" x14ac:dyDescent="0.25">
      <c r="B77" s="278"/>
      <c r="C77" s="278"/>
      <c r="D77" s="278"/>
      <c r="E77" s="278"/>
      <c r="G77" s="278"/>
      <c r="I77" s="286" t="s">
        <v>403</v>
      </c>
      <c r="J77" s="324">
        <v>0</v>
      </c>
      <c r="K77" s="324" t="e">
        <f>K71+K75</f>
        <v>#DIV/0!</v>
      </c>
      <c r="L77" s="324" t="e">
        <f>L71+L75</f>
        <v>#DIV/0!</v>
      </c>
      <c r="M77" s="324"/>
      <c r="N77" s="286" t="s">
        <v>403</v>
      </c>
      <c r="O77" s="324">
        <v>0</v>
      </c>
      <c r="P77" s="324" t="e">
        <f>P71+P75</f>
        <v>#DIV/0!</v>
      </c>
      <c r="Q77" s="324" t="e">
        <f>Q71+Q75</f>
        <v>#DIV/0!</v>
      </c>
      <c r="R77" s="308"/>
    </row>
    <row r="78" spans="2:18" x14ac:dyDescent="0.25">
      <c r="B78" s="278"/>
      <c r="C78" s="278"/>
      <c r="D78" s="278"/>
      <c r="E78" s="278"/>
      <c r="G78" s="278"/>
      <c r="I78" s="334"/>
      <c r="J78" s="308"/>
      <c r="K78" s="308"/>
      <c r="L78" s="308"/>
      <c r="M78" s="308"/>
      <c r="N78" s="334"/>
      <c r="O78" s="308"/>
      <c r="P78" s="308"/>
      <c r="Q78" s="308"/>
      <c r="R78" s="308"/>
    </row>
    <row r="79" spans="2:18" x14ac:dyDescent="0.25">
      <c r="B79" s="278"/>
      <c r="C79" s="278"/>
      <c r="D79" s="278"/>
      <c r="E79" s="278"/>
      <c r="G79" s="278"/>
      <c r="J79" s="308"/>
      <c r="K79" s="308"/>
      <c r="L79" s="308"/>
      <c r="M79" s="308"/>
      <c r="O79" s="308"/>
      <c r="P79" s="308"/>
      <c r="Q79" s="308"/>
      <c r="R79" s="308"/>
    </row>
    <row r="80" spans="2:18" x14ac:dyDescent="0.25">
      <c r="B80" s="278"/>
      <c r="C80" s="278"/>
      <c r="D80" s="278"/>
      <c r="E80" s="278"/>
      <c r="G80" s="278"/>
      <c r="I80" s="280" t="s">
        <v>404</v>
      </c>
      <c r="J80" s="308"/>
      <c r="K80" s="308"/>
      <c r="L80" s="308"/>
      <c r="M80" s="308"/>
      <c r="N80" s="280" t="s">
        <v>404</v>
      </c>
      <c r="O80" s="308"/>
      <c r="P80" s="308"/>
      <c r="Q80" s="308"/>
      <c r="R80" s="308"/>
    </row>
    <row r="81" spans="2:18" x14ac:dyDescent="0.25">
      <c r="B81" s="278"/>
      <c r="C81" s="278"/>
      <c r="D81" s="278"/>
      <c r="E81" s="278"/>
      <c r="G81" s="278"/>
      <c r="I81" s="278" t="s">
        <v>405</v>
      </c>
      <c r="J81" s="308">
        <v>0</v>
      </c>
      <c r="K81" s="308">
        <f>D20</f>
        <v>0</v>
      </c>
      <c r="L81" s="308">
        <f>E20</f>
        <v>0</v>
      </c>
      <c r="M81" s="308"/>
      <c r="N81" s="434" t="s">
        <v>405</v>
      </c>
      <c r="O81" s="308">
        <v>0</v>
      </c>
      <c r="P81" s="308">
        <f>D20</f>
        <v>0</v>
      </c>
      <c r="Q81" s="308">
        <f>E20</f>
        <v>0</v>
      </c>
      <c r="R81" s="308"/>
    </row>
    <row r="82" spans="2:18" x14ac:dyDescent="0.25">
      <c r="B82" s="278"/>
      <c r="C82" s="278"/>
      <c r="D82" s="278"/>
      <c r="E82" s="278"/>
      <c r="G82" s="278"/>
      <c r="I82" s="278" t="s">
        <v>406</v>
      </c>
      <c r="J82" s="308">
        <v>0</v>
      </c>
      <c r="K82" s="308"/>
      <c r="L82" s="308"/>
      <c r="M82" s="308"/>
      <c r="N82" s="434" t="s">
        <v>406</v>
      </c>
      <c r="O82" s="308">
        <v>0</v>
      </c>
      <c r="P82" s="308"/>
      <c r="Q82" s="308"/>
      <c r="R82" s="308"/>
    </row>
    <row r="83" spans="2:18" x14ac:dyDescent="0.25">
      <c r="B83" s="278"/>
      <c r="C83" s="278"/>
      <c r="D83" s="278"/>
      <c r="E83" s="278"/>
      <c r="G83" s="278"/>
      <c r="I83" s="278" t="s">
        <v>361</v>
      </c>
      <c r="J83" s="308">
        <v>0</v>
      </c>
      <c r="K83" s="308">
        <v>0.75</v>
      </c>
      <c r="L83" s="308">
        <v>0.75</v>
      </c>
      <c r="M83" s="308"/>
      <c r="N83" s="434" t="s">
        <v>361</v>
      </c>
      <c r="O83" s="308">
        <v>0</v>
      </c>
      <c r="P83" s="308">
        <v>0.75</v>
      </c>
      <c r="Q83" s="308">
        <v>0.75</v>
      </c>
      <c r="R83" s="324"/>
    </row>
    <row r="84" spans="2:18" x14ac:dyDescent="0.25">
      <c r="B84" s="278"/>
      <c r="C84" s="278"/>
      <c r="D84" s="278"/>
      <c r="E84" s="278"/>
      <c r="G84" s="278"/>
      <c r="I84" s="286" t="s">
        <v>362</v>
      </c>
      <c r="J84" s="308"/>
      <c r="K84" s="324">
        <f>K81*(J82/100)*K83</f>
        <v>0</v>
      </c>
      <c r="L84" s="324">
        <f>L81*(J82/100)*L83</f>
        <v>0</v>
      </c>
      <c r="M84" s="324"/>
      <c r="N84" s="286" t="s">
        <v>362</v>
      </c>
      <c r="O84" s="308"/>
      <c r="P84" s="324">
        <f>P81*(O82/100)*P83</f>
        <v>0</v>
      </c>
      <c r="Q84" s="324">
        <f>Q81*(O82/100)*Q83</f>
        <v>0</v>
      </c>
      <c r="R84" s="308"/>
    </row>
    <row r="85" spans="2:18" x14ac:dyDescent="0.25">
      <c r="B85" s="278"/>
      <c r="C85" s="278"/>
      <c r="D85" s="278"/>
      <c r="E85" s="278"/>
      <c r="G85" s="278"/>
      <c r="J85" s="308"/>
      <c r="K85" s="308"/>
      <c r="L85" s="308"/>
      <c r="M85" s="308"/>
      <c r="O85" s="308"/>
      <c r="P85" s="308"/>
      <c r="Q85" s="308"/>
      <c r="R85" s="308"/>
    </row>
    <row r="86" spans="2:18" x14ac:dyDescent="0.25">
      <c r="B86" s="278"/>
      <c r="C86" s="278"/>
      <c r="D86" s="278"/>
      <c r="E86" s="278"/>
      <c r="G86" s="278"/>
      <c r="J86" s="308"/>
      <c r="K86" s="308"/>
      <c r="L86" s="308"/>
      <c r="M86" s="308"/>
      <c r="O86" s="308"/>
      <c r="P86" s="308"/>
      <c r="Q86" s="308"/>
      <c r="R86" s="308"/>
    </row>
    <row r="87" spans="2:18" x14ac:dyDescent="0.25">
      <c r="B87" s="278"/>
      <c r="C87" s="278"/>
      <c r="D87" s="278"/>
      <c r="E87" s="278"/>
      <c r="G87" s="278"/>
      <c r="J87" s="308"/>
      <c r="K87" s="308"/>
      <c r="L87" s="308"/>
      <c r="M87" s="308"/>
      <c r="O87" s="308"/>
      <c r="P87" s="308"/>
      <c r="Q87" s="308"/>
      <c r="R87" s="335"/>
    </row>
    <row r="88" spans="2:18" x14ac:dyDescent="0.25">
      <c r="B88" s="278"/>
      <c r="C88" s="278"/>
      <c r="D88" s="278"/>
      <c r="E88" s="278"/>
      <c r="G88" s="278"/>
      <c r="I88" s="331" t="s">
        <v>407</v>
      </c>
      <c r="J88" s="335" t="e">
        <f>J6+J13+J21+J35+J41+J46+J52+J58+J64</f>
        <v>#DIV/0!</v>
      </c>
      <c r="K88" s="335" t="e">
        <f>K6+K13+K21+K35+K41+K46+K52+K58+K64+K77+K84</f>
        <v>#DIV/0!</v>
      </c>
      <c r="L88" s="335" t="e">
        <f>L6+L13+L21+L35+L41+L46+L52+L58+L64+L77+L84</f>
        <v>#DIV/0!</v>
      </c>
      <c r="M88" s="335"/>
      <c r="N88" s="331" t="s">
        <v>407</v>
      </c>
      <c r="O88" s="335" t="e">
        <f>O6+O13+O21+O35+O41+O46+O52+O58+O64</f>
        <v>#DIV/0!</v>
      </c>
      <c r="P88" s="335" t="e">
        <f>P6+P13+P21+P35+P41+P46+P52+P58+P64+P77+P84</f>
        <v>#DIV/0!</v>
      </c>
      <c r="Q88" s="335" t="e">
        <f>Q6+Q13+Q21+Q35+Q41+Q46+Q52+Q58+Q64+Q77+Q84</f>
        <v>#DIV/0!</v>
      </c>
      <c r="R88" s="336"/>
    </row>
    <row r="89" spans="2:18" x14ac:dyDescent="0.25">
      <c r="B89" s="278"/>
      <c r="C89" s="278"/>
      <c r="D89" s="278"/>
      <c r="E89" s="278"/>
      <c r="G89" s="278"/>
      <c r="I89" s="336" t="s">
        <v>408</v>
      </c>
      <c r="J89" s="336" t="e">
        <f>J88/G26*100</f>
        <v>#DIV/0!</v>
      </c>
      <c r="K89" s="336" t="e">
        <f>K88/D26*100</f>
        <v>#DIV/0!</v>
      </c>
      <c r="L89" s="336" t="e">
        <f>L88/E26*100</f>
        <v>#DIV/0!</v>
      </c>
      <c r="M89" s="336"/>
      <c r="N89" s="336" t="s">
        <v>408</v>
      </c>
      <c r="O89" s="336" t="e">
        <f>O88/G26*100</f>
        <v>#DIV/0!</v>
      </c>
      <c r="P89" s="336" t="e">
        <f>P88/D26*100</f>
        <v>#DIV/0!</v>
      </c>
      <c r="Q89" s="336" t="e">
        <f>Q88/E26*100</f>
        <v>#DIV/0!</v>
      </c>
    </row>
    <row r="90" spans="2:18" x14ac:dyDescent="0.25">
      <c r="B90" s="278"/>
      <c r="C90" s="278"/>
      <c r="D90" s="278"/>
      <c r="E90" s="278"/>
      <c r="G90" s="278"/>
    </row>
    <row r="91" spans="2:18" x14ac:dyDescent="0.25">
      <c r="B91" s="278"/>
      <c r="C91" s="278"/>
      <c r="D91" s="278"/>
      <c r="E91" s="278"/>
      <c r="G91" s="278"/>
    </row>
    <row r="92" spans="2:18" x14ac:dyDescent="0.25">
      <c r="B92" s="278"/>
      <c r="C92" s="278"/>
      <c r="D92" s="278"/>
      <c r="E92" s="278"/>
      <c r="G92" s="278"/>
      <c r="I92" s="331"/>
      <c r="J92" s="331"/>
      <c r="K92" s="331"/>
      <c r="L92" s="331"/>
      <c r="M92" s="331"/>
      <c r="N92" s="331"/>
      <c r="O92" s="331"/>
      <c r="P92" s="331"/>
      <c r="Q92" s="331"/>
      <c r="R92" s="331"/>
    </row>
    <row r="93" spans="2:18" x14ac:dyDescent="0.25">
      <c r="B93" s="278"/>
      <c r="C93" s="278"/>
      <c r="D93" s="278"/>
      <c r="E93" s="278"/>
      <c r="G93" s="278"/>
      <c r="I93" s="331"/>
      <c r="J93" s="331"/>
      <c r="K93" s="331"/>
      <c r="L93" s="331"/>
      <c r="M93" s="331"/>
      <c r="N93" s="331"/>
      <c r="O93" s="331"/>
      <c r="P93" s="331"/>
      <c r="Q93" s="331"/>
      <c r="R93" s="331"/>
    </row>
    <row r="94" spans="2:18" x14ac:dyDescent="0.25">
      <c r="B94" s="278"/>
      <c r="C94" s="278"/>
      <c r="D94" s="278"/>
      <c r="E94" s="278"/>
      <c r="G94" s="278"/>
      <c r="I94" s="331"/>
      <c r="J94" s="331"/>
      <c r="K94" s="331"/>
      <c r="L94" s="331"/>
      <c r="M94" s="331"/>
      <c r="N94" s="331"/>
      <c r="O94" s="331"/>
      <c r="P94" s="331"/>
      <c r="Q94" s="331"/>
      <c r="R94" s="331"/>
    </row>
    <row r="95" spans="2:18" x14ac:dyDescent="0.25">
      <c r="B95" s="278"/>
      <c r="C95" s="278"/>
      <c r="D95" s="278"/>
      <c r="E95" s="278"/>
      <c r="G95" s="278"/>
    </row>
    <row r="96" spans="2:18" x14ac:dyDescent="0.25">
      <c r="B96" s="278"/>
      <c r="C96" s="278"/>
      <c r="D96" s="278"/>
      <c r="E96" s="278"/>
      <c r="G96" s="278"/>
      <c r="I96" s="337"/>
      <c r="J96" s="337"/>
      <c r="K96" s="337"/>
      <c r="L96" s="337"/>
      <c r="M96" s="337"/>
      <c r="N96" s="337"/>
      <c r="O96" s="337"/>
      <c r="P96" s="337"/>
      <c r="Q96" s="337"/>
      <c r="R96" s="337"/>
    </row>
    <row r="97" spans="2:18" x14ac:dyDescent="0.25">
      <c r="B97" s="278"/>
      <c r="C97" s="278"/>
      <c r="D97" s="278"/>
      <c r="E97" s="278"/>
      <c r="G97" s="278"/>
      <c r="I97" s="337"/>
      <c r="J97" s="337"/>
      <c r="K97" s="337"/>
      <c r="L97" s="337"/>
      <c r="M97" s="337"/>
      <c r="N97" s="337"/>
      <c r="O97" s="337"/>
      <c r="P97" s="337"/>
      <c r="Q97" s="337"/>
      <c r="R97" s="337"/>
    </row>
    <row r="98" spans="2:18" x14ac:dyDescent="0.25">
      <c r="B98" s="278"/>
      <c r="C98" s="278"/>
      <c r="D98" s="278"/>
      <c r="E98" s="278"/>
      <c r="G98" s="278"/>
    </row>
    <row r="99" spans="2:18" x14ac:dyDescent="0.25">
      <c r="B99" s="278"/>
      <c r="C99" s="278"/>
      <c r="D99" s="278"/>
      <c r="E99" s="278"/>
      <c r="G99" s="278"/>
    </row>
    <row r="100" spans="2:18" x14ac:dyDescent="0.25">
      <c r="B100" s="278"/>
      <c r="C100" s="278"/>
      <c r="D100" s="278"/>
      <c r="E100" s="278"/>
      <c r="G100" s="278"/>
    </row>
    <row r="101" spans="2:18" x14ac:dyDescent="0.25">
      <c r="B101" s="278"/>
      <c r="C101" s="278"/>
      <c r="D101" s="278"/>
      <c r="E101" s="278"/>
      <c r="G101" s="278"/>
    </row>
    <row r="102" spans="2:18" x14ac:dyDescent="0.25">
      <c r="B102" s="278"/>
      <c r="C102" s="278"/>
      <c r="D102" s="278"/>
      <c r="E102" s="278"/>
      <c r="G102" s="278"/>
    </row>
    <row r="103" spans="2:18" x14ac:dyDescent="0.25">
      <c r="B103" s="278"/>
      <c r="C103" s="278"/>
      <c r="D103" s="278"/>
      <c r="E103" s="278"/>
      <c r="G103" s="278"/>
    </row>
    <row r="104" spans="2:18" x14ac:dyDescent="0.25">
      <c r="B104" s="278"/>
      <c r="C104" s="278"/>
      <c r="D104" s="278"/>
      <c r="E104" s="278"/>
      <c r="G104" s="278"/>
    </row>
    <row r="105" spans="2:18" x14ac:dyDescent="0.25">
      <c r="B105" s="278"/>
      <c r="C105" s="278"/>
      <c r="D105" s="278"/>
      <c r="E105" s="278"/>
      <c r="G105" s="278"/>
    </row>
    <row r="106" spans="2:18" x14ac:dyDescent="0.25">
      <c r="B106" s="278"/>
      <c r="C106" s="278"/>
      <c r="D106" s="278"/>
      <c r="E106" s="278"/>
      <c r="G106" s="278"/>
    </row>
    <row r="107" spans="2:18" x14ac:dyDescent="0.25">
      <c r="B107" s="278"/>
      <c r="C107" s="278"/>
      <c r="D107" s="278"/>
      <c r="E107" s="278"/>
      <c r="G107" s="278"/>
    </row>
    <row r="108" spans="2:18" x14ac:dyDescent="0.25">
      <c r="B108" s="278"/>
      <c r="C108" s="278"/>
      <c r="D108" s="278"/>
      <c r="E108" s="278"/>
      <c r="G108" s="278"/>
    </row>
    <row r="109" spans="2:18" x14ac:dyDescent="0.25">
      <c r="B109" s="278"/>
      <c r="C109" s="278"/>
      <c r="D109" s="278"/>
      <c r="E109" s="278"/>
      <c r="G109" s="278"/>
    </row>
    <row r="110" spans="2:18" x14ac:dyDescent="0.25">
      <c r="B110" s="278"/>
      <c r="C110" s="278"/>
      <c r="D110" s="278"/>
      <c r="E110" s="278"/>
      <c r="G110" s="278"/>
    </row>
    <row r="111" spans="2:18" x14ac:dyDescent="0.25">
      <c r="B111" s="278"/>
      <c r="C111" s="278"/>
      <c r="D111" s="278"/>
      <c r="E111" s="278"/>
      <c r="G111" s="278"/>
    </row>
    <row r="112" spans="2:18" x14ac:dyDescent="0.25">
      <c r="B112" s="278"/>
      <c r="C112" s="278"/>
      <c r="D112" s="278"/>
      <c r="E112" s="278"/>
      <c r="G112" s="278"/>
    </row>
    <row r="113" spans="2:7" x14ac:dyDescent="0.25">
      <c r="B113" s="278"/>
      <c r="C113" s="278"/>
      <c r="D113" s="278"/>
      <c r="E113" s="278"/>
      <c r="G113" s="278"/>
    </row>
    <row r="114" spans="2:7" x14ac:dyDescent="0.25">
      <c r="B114" s="278"/>
      <c r="C114" s="278"/>
      <c r="D114" s="278"/>
      <c r="E114" s="278"/>
      <c r="G114" s="278"/>
    </row>
    <row r="118" spans="2:7" x14ac:dyDescent="0.25">
      <c r="B118" s="278"/>
      <c r="C118" s="278"/>
      <c r="D118" s="278"/>
      <c r="E118" s="278"/>
      <c r="G118" s="278"/>
    </row>
    <row r="119" spans="2:7" x14ac:dyDescent="0.25">
      <c r="B119" s="278"/>
      <c r="C119" s="278"/>
      <c r="D119" s="278"/>
      <c r="E119" s="278"/>
      <c r="G119" s="278"/>
    </row>
    <row r="120" spans="2:7" x14ac:dyDescent="0.25">
      <c r="B120" s="278"/>
      <c r="C120" s="278"/>
      <c r="D120" s="278"/>
      <c r="E120" s="278"/>
      <c r="G120" s="278"/>
    </row>
    <row r="130" spans="2:7" x14ac:dyDescent="0.25">
      <c r="B130" s="278"/>
      <c r="C130" s="278"/>
      <c r="D130" s="278"/>
      <c r="E130" s="278"/>
      <c r="G130" s="278"/>
    </row>
    <row r="131" spans="2:7" x14ac:dyDescent="0.25">
      <c r="B131" s="278"/>
      <c r="C131" s="278"/>
      <c r="D131" s="278"/>
      <c r="E131" s="278"/>
      <c r="G131" s="278"/>
    </row>
    <row r="132" spans="2:7" x14ac:dyDescent="0.25">
      <c r="B132" s="278"/>
      <c r="C132" s="278"/>
      <c r="D132" s="278"/>
      <c r="E132" s="278"/>
      <c r="G132" s="278"/>
    </row>
    <row r="133" spans="2:7" x14ac:dyDescent="0.25">
      <c r="B133" s="278"/>
      <c r="C133" s="278"/>
      <c r="D133" s="278"/>
      <c r="E133" s="278"/>
      <c r="G133" s="278"/>
    </row>
    <row r="134" spans="2:7" x14ac:dyDescent="0.25">
      <c r="B134" s="278"/>
      <c r="C134" s="278"/>
      <c r="D134" s="278"/>
      <c r="E134" s="278"/>
      <c r="G134" s="278"/>
    </row>
    <row r="135" spans="2:7" x14ac:dyDescent="0.25">
      <c r="B135" s="278"/>
      <c r="C135" s="278"/>
      <c r="D135" s="278"/>
      <c r="E135" s="278"/>
      <c r="G135" s="278"/>
    </row>
    <row r="136" spans="2:7" x14ac:dyDescent="0.25">
      <c r="B136" s="278"/>
      <c r="C136" s="278"/>
      <c r="D136" s="278"/>
      <c r="E136" s="278"/>
      <c r="G136" s="278"/>
    </row>
    <row r="137" spans="2:7" x14ac:dyDescent="0.25">
      <c r="B137" s="278"/>
      <c r="C137" s="278"/>
      <c r="D137" s="278"/>
      <c r="E137" s="278"/>
      <c r="G137" s="278"/>
    </row>
    <row r="138" spans="2:7" x14ac:dyDescent="0.25">
      <c r="B138" s="278"/>
      <c r="C138" s="278"/>
      <c r="D138" s="278"/>
      <c r="E138" s="278"/>
      <c r="G138" s="278"/>
    </row>
    <row r="139" spans="2:7" x14ac:dyDescent="0.25">
      <c r="B139" s="278"/>
      <c r="C139" s="278"/>
      <c r="D139" s="278"/>
      <c r="E139" s="278"/>
      <c r="G139" s="278"/>
    </row>
    <row r="140" spans="2:7" x14ac:dyDescent="0.25">
      <c r="B140" s="278"/>
      <c r="C140" s="278"/>
      <c r="D140" s="278"/>
      <c r="E140" s="278"/>
      <c r="G140" s="278"/>
    </row>
    <row r="141" spans="2:7" x14ac:dyDescent="0.25">
      <c r="B141" s="278"/>
      <c r="C141" s="278"/>
      <c r="D141" s="278"/>
      <c r="E141" s="278"/>
      <c r="G141" s="278"/>
    </row>
    <row r="142" spans="2:7" x14ac:dyDescent="0.25">
      <c r="B142" s="278"/>
      <c r="C142" s="278"/>
      <c r="D142" s="278"/>
      <c r="E142" s="278"/>
      <c r="G142" s="278"/>
    </row>
    <row r="143" spans="2:7" x14ac:dyDescent="0.25">
      <c r="B143" s="278"/>
      <c r="C143" s="278"/>
      <c r="D143" s="278"/>
      <c r="E143" s="278"/>
      <c r="G143" s="278"/>
    </row>
    <row r="144" spans="2:7" x14ac:dyDescent="0.25">
      <c r="B144" s="278"/>
      <c r="C144" s="278"/>
      <c r="D144" s="278"/>
      <c r="E144" s="278"/>
      <c r="G144" s="278"/>
    </row>
    <row r="145" spans="2:7" x14ac:dyDescent="0.25">
      <c r="B145" s="278"/>
      <c r="C145" s="278"/>
      <c r="D145" s="278"/>
      <c r="E145" s="278"/>
      <c r="G145" s="278"/>
    </row>
    <row r="146" spans="2:7" x14ac:dyDescent="0.25">
      <c r="B146" s="278"/>
      <c r="C146" s="278"/>
      <c r="D146" s="278"/>
      <c r="E146" s="278"/>
      <c r="G146" s="278"/>
    </row>
    <row r="147" spans="2:7" x14ac:dyDescent="0.25">
      <c r="B147" s="278"/>
      <c r="C147" s="278"/>
      <c r="D147" s="278"/>
      <c r="E147" s="278"/>
      <c r="G147" s="278"/>
    </row>
    <row r="148" spans="2:7" x14ac:dyDescent="0.25">
      <c r="B148" s="278"/>
      <c r="C148" s="278"/>
      <c r="D148" s="278"/>
      <c r="E148" s="278"/>
      <c r="G148" s="278"/>
    </row>
    <row r="149" spans="2:7" x14ac:dyDescent="0.25">
      <c r="B149" s="278"/>
      <c r="C149" s="278"/>
      <c r="D149" s="278"/>
      <c r="E149" s="278"/>
      <c r="G149" s="278"/>
    </row>
    <row r="150" spans="2:7" x14ac:dyDescent="0.25">
      <c r="B150" s="278"/>
      <c r="C150" s="278"/>
      <c r="D150" s="278"/>
      <c r="E150" s="278"/>
      <c r="G150" s="278"/>
    </row>
    <row r="151" spans="2:7" x14ac:dyDescent="0.25">
      <c r="B151" s="278"/>
      <c r="C151" s="278"/>
      <c r="D151" s="278"/>
      <c r="E151" s="278"/>
      <c r="G151" s="278"/>
    </row>
    <row r="152" spans="2:7" x14ac:dyDescent="0.25">
      <c r="B152" s="278"/>
      <c r="C152" s="278"/>
      <c r="D152" s="278"/>
      <c r="E152" s="278"/>
      <c r="G152" s="278"/>
    </row>
    <row r="153" spans="2:7" x14ac:dyDescent="0.25">
      <c r="B153" s="278"/>
      <c r="C153" s="278"/>
      <c r="D153" s="278"/>
      <c r="E153" s="278"/>
      <c r="G153" s="278"/>
    </row>
    <row r="154" spans="2:7" x14ac:dyDescent="0.25">
      <c r="B154" s="278"/>
      <c r="C154" s="278"/>
      <c r="D154" s="278"/>
      <c r="E154" s="278"/>
      <c r="G154" s="278"/>
    </row>
    <row r="155" spans="2:7" x14ac:dyDescent="0.25">
      <c r="B155" s="278"/>
      <c r="C155" s="278"/>
      <c r="D155" s="278"/>
      <c r="E155" s="278"/>
      <c r="G155" s="278"/>
    </row>
    <row r="156" spans="2:7" x14ac:dyDescent="0.25">
      <c r="B156" s="278"/>
      <c r="C156" s="278"/>
      <c r="D156" s="278"/>
      <c r="E156" s="278"/>
      <c r="G156" s="278"/>
    </row>
    <row r="157" spans="2:7" x14ac:dyDescent="0.25">
      <c r="B157" s="278"/>
      <c r="C157" s="278"/>
      <c r="D157" s="278"/>
      <c r="E157" s="278"/>
      <c r="G157" s="278"/>
    </row>
    <row r="158" spans="2:7" x14ac:dyDescent="0.25">
      <c r="B158" s="278"/>
      <c r="C158" s="278"/>
      <c r="D158" s="278"/>
      <c r="E158" s="278"/>
      <c r="G158" s="278"/>
    </row>
    <row r="159" spans="2:7" x14ac:dyDescent="0.25">
      <c r="B159" s="278"/>
      <c r="C159" s="278"/>
      <c r="D159" s="278"/>
      <c r="E159" s="278"/>
      <c r="G159" s="278"/>
    </row>
    <row r="160" spans="2:7" x14ac:dyDescent="0.25">
      <c r="B160" s="278"/>
      <c r="C160" s="278"/>
      <c r="D160" s="278"/>
      <c r="E160" s="278"/>
      <c r="G160" s="278"/>
    </row>
    <row r="161" spans="2:7" x14ac:dyDescent="0.25">
      <c r="B161" s="278"/>
      <c r="C161" s="278"/>
      <c r="D161" s="278"/>
      <c r="E161" s="278"/>
      <c r="G161" s="278"/>
    </row>
    <row r="162" spans="2:7" x14ac:dyDescent="0.25">
      <c r="B162" s="278"/>
      <c r="C162" s="278"/>
      <c r="D162" s="278"/>
      <c r="E162" s="278"/>
      <c r="G162" s="278"/>
    </row>
    <row r="163" spans="2:7" x14ac:dyDescent="0.25">
      <c r="B163" s="278"/>
      <c r="C163" s="278"/>
      <c r="D163" s="278"/>
      <c r="E163" s="278"/>
      <c r="G163" s="278"/>
    </row>
    <row r="164" spans="2:7" x14ac:dyDescent="0.25">
      <c r="B164" s="278"/>
      <c r="C164" s="278"/>
      <c r="D164" s="278"/>
      <c r="E164" s="278"/>
      <c r="G164" s="278"/>
    </row>
    <row r="165" spans="2:7" x14ac:dyDescent="0.25">
      <c r="B165" s="278"/>
      <c r="C165" s="278"/>
      <c r="D165" s="278"/>
      <c r="E165" s="278"/>
      <c r="G165" s="278"/>
    </row>
    <row r="166" spans="2:7" x14ac:dyDescent="0.25">
      <c r="B166" s="278"/>
      <c r="C166" s="278"/>
      <c r="D166" s="278"/>
      <c r="E166" s="278"/>
      <c r="G166" s="278"/>
    </row>
    <row r="167" spans="2:7" x14ac:dyDescent="0.25">
      <c r="B167" s="278"/>
      <c r="C167" s="278"/>
      <c r="D167" s="278"/>
      <c r="E167" s="278"/>
      <c r="G167" s="278"/>
    </row>
    <row r="168" spans="2:7" x14ac:dyDescent="0.25">
      <c r="B168" s="278"/>
      <c r="C168" s="278"/>
      <c r="D168" s="278"/>
      <c r="E168" s="278"/>
      <c r="G168" s="278"/>
    </row>
  </sheetData>
  <mergeCells count="3">
    <mergeCell ref="A2:E2"/>
    <mergeCell ref="A27:C27"/>
    <mergeCell ref="A28:C2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33"/>
  <sheetViews>
    <sheetView zoomScale="80" zoomScaleNormal="80" workbookViewId="0">
      <selection activeCell="H23" sqref="H23"/>
    </sheetView>
  </sheetViews>
  <sheetFormatPr defaultColWidth="8.875" defaultRowHeight="15" x14ac:dyDescent="0.25"/>
  <cols>
    <col min="1" max="1" width="13.5" style="1" customWidth="1"/>
    <col min="2" max="2" width="76.5" style="1" customWidth="1"/>
    <col min="3" max="5" width="11.875" style="1" customWidth="1"/>
    <col min="6" max="16384" width="8.875" style="1"/>
  </cols>
  <sheetData>
    <row r="1" spans="2:5" x14ac:dyDescent="0.25">
      <c r="B1" s="414" t="s">
        <v>495</v>
      </c>
    </row>
    <row r="3" spans="2:5" ht="60" x14ac:dyDescent="0.25">
      <c r="B3" s="349" t="s">
        <v>14</v>
      </c>
      <c r="C3" s="354" t="s">
        <v>437</v>
      </c>
      <c r="D3" s="354" t="s">
        <v>438</v>
      </c>
      <c r="E3" s="354" t="s">
        <v>439</v>
      </c>
    </row>
    <row r="4" spans="2:5" s="3" customFormat="1" ht="47.25" x14ac:dyDescent="0.25">
      <c r="B4" s="354" t="s">
        <v>14</v>
      </c>
      <c r="C4" s="350" t="s">
        <v>444</v>
      </c>
      <c r="D4" s="350" t="s">
        <v>445</v>
      </c>
      <c r="E4" s="350" t="s">
        <v>446</v>
      </c>
    </row>
    <row r="5" spans="2:5" ht="15.75" x14ac:dyDescent="0.25">
      <c r="B5" s="351" t="s">
        <v>36</v>
      </c>
      <c r="C5"/>
      <c r="D5"/>
      <c r="E5">
        <f>IF(ISNUMBER(Impervious[[#This Row],[impervFraction_manualEntry]]),Impervious[[#This Row],[impervFraction_manualEntry]],Impervious[[#This Row],[impervFraction_defaultMapShed]])</f>
        <v>0</v>
      </c>
    </row>
    <row r="6" spans="2:5" ht="15.75" x14ac:dyDescent="0.25">
      <c r="B6" s="352" t="s">
        <v>37</v>
      </c>
      <c r="C6"/>
      <c r="D6"/>
      <c r="E6">
        <f>IF(ISNUMBER(Impervious[[#This Row],[impervFraction_manualEntry]]),Impervious[[#This Row],[impervFraction_manualEntry]],Impervious[[#This Row],[impervFraction_defaultMapShed]])</f>
        <v>0</v>
      </c>
    </row>
    <row r="7" spans="2:5" ht="15.75" x14ac:dyDescent="0.25">
      <c r="B7" s="351" t="s">
        <v>38</v>
      </c>
      <c r="C7"/>
      <c r="D7"/>
      <c r="E7">
        <f>IF(ISNUMBER(Impervious[[#This Row],[impervFraction_manualEntry]]),Impervious[[#This Row],[impervFraction_manualEntry]],Impervious[[#This Row],[impervFraction_defaultMapShed]])</f>
        <v>0</v>
      </c>
    </row>
    <row r="8" spans="2:5" ht="15.75" x14ac:dyDescent="0.25">
      <c r="B8" s="352" t="s">
        <v>40</v>
      </c>
      <c r="C8"/>
      <c r="D8"/>
      <c r="E8">
        <f>IF(ISNUMBER(Impervious[[#This Row],[impervFraction_manualEntry]]),Impervious[[#This Row],[impervFraction_manualEntry]],Impervious[[#This Row],[impervFraction_defaultMapShed]])</f>
        <v>0</v>
      </c>
    </row>
    <row r="9" spans="2:5" ht="15.75" x14ac:dyDescent="0.25">
      <c r="B9" s="352" t="s">
        <v>41</v>
      </c>
      <c r="C9"/>
      <c r="D9"/>
      <c r="E9" s="353">
        <f>IF(ISNUMBER(Impervious[[#This Row],[impervFraction_manualEntry]]),Impervious[[#This Row],[impervFraction_manualEntry]],Impervious[[#This Row],[impervFraction_defaultMapShed]])</f>
        <v>0</v>
      </c>
    </row>
    <row r="10" spans="2:5" ht="15.75" x14ac:dyDescent="0.25">
      <c r="B10" s="352" t="s">
        <v>42</v>
      </c>
      <c r="C10"/>
      <c r="D10"/>
      <c r="E10" s="353">
        <f>IF(ISNUMBER(Impervious[[#This Row],[impervFraction_manualEntry]]),Impervious[[#This Row],[impervFraction_manualEntry]],Impervious[[#This Row],[impervFraction_defaultMapShed]])</f>
        <v>0</v>
      </c>
    </row>
    <row r="11" spans="2:5" ht="15.75" x14ac:dyDescent="0.25">
      <c r="B11" s="352" t="s">
        <v>43</v>
      </c>
      <c r="C11"/>
      <c r="D11"/>
      <c r="E11" s="353">
        <f>IF(ISNUMBER(Impervious[[#This Row],[impervFraction_manualEntry]]),Impervious[[#This Row],[impervFraction_manualEntry]],Impervious[[#This Row],[impervFraction_defaultMapShed]])</f>
        <v>0</v>
      </c>
    </row>
    <row r="12" spans="2:5" ht="15.75" x14ac:dyDescent="0.25">
      <c r="B12" s="352" t="s">
        <v>44</v>
      </c>
      <c r="C12"/>
      <c r="D12"/>
      <c r="E12" s="353">
        <f>IF(ISNUMBER(Impervious[[#This Row],[impervFraction_manualEntry]]),Impervious[[#This Row],[impervFraction_manualEntry]],Impervious[[#This Row],[impervFraction_defaultMapShed]])</f>
        <v>0</v>
      </c>
    </row>
    <row r="13" spans="2:5" ht="15.75" x14ac:dyDescent="0.25">
      <c r="B13" s="352" t="s">
        <v>45</v>
      </c>
      <c r="C13"/>
      <c r="D13"/>
      <c r="E13" s="353">
        <f>IF(ISNUMBER(Impervious[[#This Row],[impervFraction_manualEntry]]),Impervious[[#This Row],[impervFraction_manualEntry]],Impervious[[#This Row],[impervFraction_defaultMapShed]])</f>
        <v>0</v>
      </c>
    </row>
    <row r="14" spans="2:5" ht="15.75" x14ac:dyDescent="0.25">
      <c r="B14" s="352" t="s">
        <v>46</v>
      </c>
      <c r="C14"/>
      <c r="D14"/>
      <c r="E14" s="353">
        <f>IF(ISNUMBER(Impervious[[#This Row],[impervFraction_manualEntry]]),Impervious[[#This Row],[impervFraction_manualEntry]],Impervious[[#This Row],[impervFraction_defaultMapShed]])</f>
        <v>0</v>
      </c>
    </row>
    <row r="15" spans="2:5" ht="15.75" x14ac:dyDescent="0.25">
      <c r="B15" s="352" t="s">
        <v>47</v>
      </c>
      <c r="C15">
        <v>0.15</v>
      </c>
      <c r="D15"/>
      <c r="E15" s="353">
        <f>IF(ISNUMBER(Impervious[[#This Row],[impervFraction_manualEntry]]),Impervious[[#This Row],[impervFraction_manualEntry]],Impervious[[#This Row],[impervFraction_defaultMapShed]])</f>
        <v>0.15</v>
      </c>
    </row>
    <row r="16" spans="2:5" ht="15.75" x14ac:dyDescent="0.25">
      <c r="B16" s="352" t="s">
        <v>48</v>
      </c>
      <c r="C16">
        <v>0.52</v>
      </c>
      <c r="D16"/>
      <c r="E16" s="353">
        <f>IF(ISNUMBER(Impervious[[#This Row],[impervFraction_manualEntry]]),Impervious[[#This Row],[impervFraction_manualEntry]],Impervious[[#This Row],[impervFraction_defaultMapShed]])</f>
        <v>0.52</v>
      </c>
    </row>
    <row r="17" spans="2:6" ht="15.75" x14ac:dyDescent="0.25">
      <c r="B17" s="352" t="s">
        <v>49</v>
      </c>
      <c r="C17">
        <v>0.87</v>
      </c>
      <c r="D17"/>
      <c r="E17" s="353">
        <f>IF(ISNUMBER(Impervious[[#This Row],[impervFraction_manualEntry]]),Impervious[[#This Row],[impervFraction_manualEntry]],Impervious[[#This Row],[impervFraction_defaultMapShed]])</f>
        <v>0.87</v>
      </c>
    </row>
    <row r="18" spans="2:6" ht="15.75" x14ac:dyDescent="0.25">
      <c r="B18" s="352" t="s">
        <v>50</v>
      </c>
      <c r="C18">
        <v>0.15</v>
      </c>
      <c r="D18"/>
      <c r="E18" s="353">
        <f>IF(ISNUMBER(Impervious[[#This Row],[impervFraction_manualEntry]]),Impervious[[#This Row],[impervFraction_manualEntry]],Impervious[[#This Row],[impervFraction_defaultMapShed]])</f>
        <v>0.15</v>
      </c>
    </row>
    <row r="19" spans="2:6" ht="15.75" x14ac:dyDescent="0.25">
      <c r="B19" s="352" t="s">
        <v>51</v>
      </c>
      <c r="C19">
        <v>0.52</v>
      </c>
      <c r="D19"/>
      <c r="E19" s="353">
        <f>IF(ISNUMBER(Impervious[[#This Row],[impervFraction_manualEntry]]),Impervious[[#This Row],[impervFraction_manualEntry]],Impervious[[#This Row],[impervFraction_defaultMapShed]])</f>
        <v>0.52</v>
      </c>
    </row>
    <row r="20" spans="2:6" ht="15.75" x14ac:dyDescent="0.25">
      <c r="B20" s="352" t="s">
        <v>52</v>
      </c>
      <c r="C20">
        <v>0.87</v>
      </c>
      <c r="D20"/>
      <c r="E20" s="353">
        <f>IF(ISNUMBER(Impervious[[#This Row],[impervFraction_manualEntry]]),Impervious[[#This Row],[impervFraction_manualEntry]],Impervious[[#This Row],[impervFraction_defaultMapShed]])</f>
        <v>0.87</v>
      </c>
    </row>
    <row r="21" spans="2:6" ht="15.75" x14ac:dyDescent="0.25">
      <c r="B21" s="352" t="s">
        <v>348</v>
      </c>
      <c r="C21">
        <v>0.15</v>
      </c>
      <c r="D21"/>
      <c r="E21" s="353">
        <f>IF(ISNUMBER(Impervious[[#This Row],[impervFraction_manualEntry]]),Impervious[[#This Row],[impervFraction_manualEntry]],Impervious[[#This Row],[impervFraction_defaultMapShed]])</f>
        <v>0.15</v>
      </c>
    </row>
    <row r="22" spans="2:6" ht="15.75" x14ac:dyDescent="0.25">
      <c r="B22" s="352" t="s">
        <v>440</v>
      </c>
      <c r="C22">
        <v>0.52</v>
      </c>
      <c r="D22"/>
      <c r="E22" s="353">
        <f>IF(ISNUMBER(Impervious[[#This Row],[impervFraction_manualEntry]]),Impervious[[#This Row],[impervFraction_manualEntry]],Impervious[[#This Row],[impervFraction_defaultMapShed]])</f>
        <v>0.52</v>
      </c>
    </row>
    <row r="23" spans="2:6" ht="15.75" x14ac:dyDescent="0.25">
      <c r="B23" s="352" t="s">
        <v>349</v>
      </c>
      <c r="C23">
        <v>0.87</v>
      </c>
      <c r="D23"/>
      <c r="E23" s="353">
        <f>IF(ISNUMBER(Impervious[[#This Row],[impervFraction_manualEntry]]),Impervious[[#This Row],[impervFraction_manualEntry]],Impervious[[#This Row],[impervFraction_defaultMapShed]])</f>
        <v>0.87</v>
      </c>
    </row>
    <row r="24" spans="2:6" ht="15.75" x14ac:dyDescent="0.25">
      <c r="B24" s="352" t="s">
        <v>441</v>
      </c>
      <c r="C24">
        <v>0.15</v>
      </c>
      <c r="D24"/>
      <c r="E24" s="353">
        <f>IF(ISNUMBER(Impervious[[#This Row],[impervFraction_manualEntry]]),Impervious[[#This Row],[impervFraction_manualEntry]],Impervious[[#This Row],[impervFraction_defaultMapShed]])</f>
        <v>0.15</v>
      </c>
    </row>
    <row r="25" spans="2:6" ht="15.75" x14ac:dyDescent="0.25">
      <c r="B25" s="352" t="s">
        <v>442</v>
      </c>
      <c r="C25">
        <v>0.52</v>
      </c>
      <c r="D25"/>
      <c r="E25" s="353">
        <f>IF(ISNUMBER(Impervious[[#This Row],[impervFraction_manualEntry]]),Impervious[[#This Row],[impervFraction_manualEntry]],Impervious[[#This Row],[impervFraction_defaultMapShed]])</f>
        <v>0.52</v>
      </c>
    </row>
    <row r="26" spans="2:6" ht="15.75" x14ac:dyDescent="0.25">
      <c r="B26" s="352" t="s">
        <v>443</v>
      </c>
      <c r="C26">
        <v>0.87</v>
      </c>
      <c r="D26"/>
      <c r="E26" s="353">
        <f>IF(ISNUMBER(Impervious[[#This Row],[impervFraction_manualEntry]]),Impervious[[#This Row],[impervFraction_manualEntry]],Impervious[[#This Row],[impervFraction_defaultMapShed]])</f>
        <v>0.87</v>
      </c>
    </row>
    <row r="28" spans="2:6" x14ac:dyDescent="0.25">
      <c r="B28" s="1" t="s">
        <v>454</v>
      </c>
    </row>
    <row r="29" spans="2:6" ht="15.75" x14ac:dyDescent="0.25">
      <c r="B29" s="355" t="s">
        <v>347</v>
      </c>
      <c r="C29" t="s">
        <v>338</v>
      </c>
      <c r="D29" t="s">
        <v>339</v>
      </c>
      <c r="E29" s="356" t="s">
        <v>340</v>
      </c>
      <c r="F29" s="356" t="s">
        <v>447</v>
      </c>
    </row>
    <row r="30" spans="2:6" ht="15.75" x14ac:dyDescent="0.25">
      <c r="B30" t="s">
        <v>448</v>
      </c>
      <c r="C30" s="357">
        <f>0.1</f>
        <v>0.1</v>
      </c>
      <c r="D30" s="357">
        <f t="shared" ref="D30:E30" si="0">0.1</f>
        <v>0.1</v>
      </c>
      <c r="E30" s="357">
        <f t="shared" si="0"/>
        <v>0.1</v>
      </c>
      <c r="F30" s="353">
        <v>20</v>
      </c>
    </row>
    <row r="31" spans="2:6" ht="15.75" x14ac:dyDescent="0.25">
      <c r="B31"/>
      <c r="C31"/>
      <c r="D31"/>
      <c r="E31"/>
      <c r="F31"/>
    </row>
    <row r="32" spans="2:6" ht="15.75" x14ac:dyDescent="0.25">
      <c r="B32" s="355" t="s">
        <v>449</v>
      </c>
      <c r="C32" t="s">
        <v>450</v>
      </c>
      <c r="D32" t="s">
        <v>451</v>
      </c>
      <c r="E32" t="s">
        <v>452</v>
      </c>
      <c r="F32"/>
    </row>
    <row r="33" spans="2:6" ht="15.75" x14ac:dyDescent="0.25">
      <c r="B33" t="s">
        <v>453</v>
      </c>
      <c r="C33">
        <v>115</v>
      </c>
      <c r="D33">
        <v>0.17399999999999999</v>
      </c>
      <c r="E33">
        <v>0.192</v>
      </c>
      <c r="F33"/>
    </row>
  </sheetData>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27"/>
  <sheetViews>
    <sheetView zoomScale="80" zoomScaleNormal="80" workbookViewId="0">
      <selection activeCell="J24" sqref="J24"/>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38" customFormat="1" ht="23.25" x14ac:dyDescent="0.35">
      <c r="F1" s="542" t="s">
        <v>409</v>
      </c>
      <c r="G1" s="542"/>
      <c r="H1" s="542"/>
      <c r="J1" s="542" t="s">
        <v>480</v>
      </c>
      <c r="K1" s="542"/>
      <c r="L1" s="542"/>
    </row>
    <row r="2" spans="1:14" s="4" customFormat="1" x14ac:dyDescent="0.25">
      <c r="F2" s="339" t="s">
        <v>410</v>
      </c>
      <c r="G2" s="339" t="s">
        <v>411</v>
      </c>
      <c r="H2" s="339" t="s">
        <v>412</v>
      </c>
      <c r="J2" s="339" t="s">
        <v>410</v>
      </c>
      <c r="K2" s="339" t="s">
        <v>411</v>
      </c>
      <c r="L2" s="339" t="s">
        <v>412</v>
      </c>
      <c r="N2" s="342" t="s">
        <v>481</v>
      </c>
    </row>
    <row r="3" spans="1:14" s="4" customFormat="1" x14ac:dyDescent="0.25">
      <c r="F3" s="340"/>
      <c r="G3" s="340"/>
      <c r="H3" s="340"/>
      <c r="N3" s="342" t="s">
        <v>482</v>
      </c>
    </row>
    <row r="4" spans="1:14" x14ac:dyDescent="0.25">
      <c r="A4" s="260" t="s">
        <v>413</v>
      </c>
      <c r="F4" s="341">
        <f>+'Agricultural BMPs'!G26</f>
        <v>0</v>
      </c>
      <c r="G4" s="341">
        <f>+'Agricultural BMPs'!D26</f>
        <v>0</v>
      </c>
      <c r="H4" s="341">
        <f>+'Agricultural BMPs'!E26</f>
        <v>0</v>
      </c>
      <c r="J4" s="447">
        <f>+'MMW Output'!K116</f>
        <v>0</v>
      </c>
      <c r="K4" s="447">
        <f>+'MMW Output'!I116</f>
        <v>0</v>
      </c>
      <c r="L4" s="447">
        <f>+'MMW Output'!J116</f>
        <v>0</v>
      </c>
      <c r="N4" s="342" t="s">
        <v>487</v>
      </c>
    </row>
    <row r="5" spans="1:14" x14ac:dyDescent="0.25">
      <c r="F5" s="341"/>
      <c r="G5" s="341"/>
      <c r="H5" s="341"/>
    </row>
    <row r="6" spans="1:14" x14ac:dyDescent="0.25">
      <c r="A6" s="260" t="s">
        <v>414</v>
      </c>
      <c r="F6" s="341">
        <f>'Urban BMPs'!V29</f>
        <v>0</v>
      </c>
      <c r="G6" s="341">
        <f>'Urban BMPs'!Y29</f>
        <v>0</v>
      </c>
      <c r="H6" s="341">
        <f>'Urban BMPs'!X29</f>
        <v>0</v>
      </c>
      <c r="J6" s="341">
        <f>F6</f>
        <v>0</v>
      </c>
      <c r="K6" s="341">
        <f t="shared" ref="K6:L6" si="0">G6</f>
        <v>0</v>
      </c>
      <c r="L6" s="341">
        <f t="shared" si="0"/>
        <v>0</v>
      </c>
    </row>
    <row r="7" spans="1:14" x14ac:dyDescent="0.25">
      <c r="F7" s="341"/>
      <c r="G7" s="341"/>
      <c r="H7" s="341"/>
      <c r="N7" s="342"/>
    </row>
    <row r="8" spans="1:14" x14ac:dyDescent="0.25">
      <c r="A8" s="260" t="s">
        <v>415</v>
      </c>
      <c r="F8" s="341">
        <f>'Urban BMPs'!V31</f>
        <v>0</v>
      </c>
      <c r="G8" s="341">
        <f>'Urban BMPs'!Y31</f>
        <v>0</v>
      </c>
      <c r="H8" s="341">
        <f>'Urban BMPs'!X31</f>
        <v>0</v>
      </c>
      <c r="J8" s="341">
        <f>F8</f>
        <v>0</v>
      </c>
      <c r="K8" s="341">
        <f t="shared" ref="K8:L8" si="1">G8</f>
        <v>0</v>
      </c>
      <c r="L8" s="341">
        <f t="shared" si="1"/>
        <v>0</v>
      </c>
      <c r="N8" s="342"/>
    </row>
    <row r="9" spans="1:14" x14ac:dyDescent="0.25">
      <c r="F9" s="341"/>
      <c r="G9" s="341"/>
      <c r="H9" s="341"/>
      <c r="N9" s="342"/>
    </row>
    <row r="10" spans="1:14" x14ac:dyDescent="0.25">
      <c r="A10" s="260" t="s">
        <v>416</v>
      </c>
      <c r="F10" s="341" t="e">
        <f>+'Agricultural BMPs'!J88</f>
        <v>#DIV/0!</v>
      </c>
      <c r="G10" s="341" t="e">
        <f>+'Agricultural BMPs'!K88</f>
        <v>#DIV/0!</v>
      </c>
      <c r="H10" s="341" t="e">
        <f>+'Agricultural BMPs'!L88</f>
        <v>#DIV/0!</v>
      </c>
      <c r="J10" s="341" t="e">
        <f>F10</f>
        <v>#DIV/0!</v>
      </c>
      <c r="K10" s="341" t="e">
        <f t="shared" ref="K10:L10" si="2">G10</f>
        <v>#DIV/0!</v>
      </c>
      <c r="L10" s="341" t="e">
        <f t="shared" si="2"/>
        <v>#DIV/0!</v>
      </c>
    </row>
    <row r="11" spans="1:14" x14ac:dyDescent="0.25">
      <c r="F11" s="341"/>
      <c r="G11" s="341"/>
      <c r="H11" s="341"/>
    </row>
    <row r="12" spans="1:14" x14ac:dyDescent="0.25">
      <c r="A12" s="260" t="s">
        <v>417</v>
      </c>
      <c r="F12" s="341" t="e">
        <f>+'Agricultural BMPs'!O88</f>
        <v>#DIV/0!</v>
      </c>
      <c r="G12" s="341" t="e">
        <f>+'Agricultural BMPs'!P88</f>
        <v>#DIV/0!</v>
      </c>
      <c r="H12" s="341" t="e">
        <f>+'Agricultural BMPs'!Q88</f>
        <v>#DIV/0!</v>
      </c>
      <c r="J12" s="341" t="e">
        <f>F12</f>
        <v>#DIV/0!</v>
      </c>
      <c r="K12" s="341" t="e">
        <f t="shared" ref="K12:L12" si="3">G12</f>
        <v>#DIV/0!</v>
      </c>
      <c r="L12" s="341" t="e">
        <f t="shared" si="3"/>
        <v>#DIV/0!</v>
      </c>
    </row>
    <row r="13" spans="1:14" x14ac:dyDescent="0.25">
      <c r="F13" s="341"/>
      <c r="G13" s="341"/>
      <c r="H13" s="341"/>
    </row>
    <row r="14" spans="1:14" x14ac:dyDescent="0.25">
      <c r="F14" s="341"/>
      <c r="G14" s="341"/>
      <c r="H14" s="341"/>
    </row>
    <row r="15" spans="1:14" x14ac:dyDescent="0.25">
      <c r="A15" s="4" t="s">
        <v>418</v>
      </c>
      <c r="F15" s="341" t="e">
        <f>SUM(F6:F12)</f>
        <v>#DIV/0!</v>
      </c>
      <c r="G15" s="341" t="e">
        <f>SUM(G6:G12)</f>
        <v>#DIV/0!</v>
      </c>
      <c r="H15" s="341" t="e">
        <f>SUM(H6:H12)</f>
        <v>#DIV/0!</v>
      </c>
      <c r="J15" s="409" t="e">
        <f>SUM(J6:J12)</f>
        <v>#DIV/0!</v>
      </c>
      <c r="K15" s="409" t="e">
        <f t="shared" ref="K15:L15" si="4">SUM(K6:K12)</f>
        <v>#DIV/0!</v>
      </c>
      <c r="L15" s="409" t="e">
        <f t="shared" si="4"/>
        <v>#DIV/0!</v>
      </c>
    </row>
    <row r="16" spans="1:14" x14ac:dyDescent="0.25">
      <c r="A16" s="4" t="s">
        <v>419</v>
      </c>
      <c r="F16" s="341" t="e">
        <f>F4-F15</f>
        <v>#DIV/0!</v>
      </c>
      <c r="G16" s="341" t="e">
        <f>G4-G15</f>
        <v>#DIV/0!</v>
      </c>
      <c r="H16" s="341" t="e">
        <f>H4-H15</f>
        <v>#DIV/0!</v>
      </c>
      <c r="J16" s="409" t="e">
        <f>J4-J15</f>
        <v>#DIV/0!</v>
      </c>
      <c r="K16" s="409" t="e">
        <f t="shared" ref="K16:L16" si="5">K4-K15</f>
        <v>#DIV/0!</v>
      </c>
      <c r="L16" s="409" t="e">
        <f t="shared" si="5"/>
        <v>#DIV/0!</v>
      </c>
    </row>
    <row r="17" spans="1:12" x14ac:dyDescent="0.25">
      <c r="A17" s="410" t="s">
        <v>420</v>
      </c>
      <c r="B17" s="411"/>
      <c r="C17" s="411"/>
      <c r="D17" s="411"/>
      <c r="E17" s="411"/>
      <c r="F17" s="472" t="e">
        <f>(F15/F4)*100</f>
        <v>#DIV/0!</v>
      </c>
      <c r="G17" s="472" t="e">
        <f>(G15/G4)*100</f>
        <v>#DIV/0!</v>
      </c>
      <c r="H17" s="472" t="e">
        <f>(H15/H4)*100</f>
        <v>#DIV/0!</v>
      </c>
      <c r="I17" s="472"/>
      <c r="J17" s="473" t="e">
        <f>(J15/J4)*100</f>
        <v>#DIV/0!</v>
      </c>
      <c r="K17" s="473" t="e">
        <f t="shared" ref="K17:L17" si="6">(K15/K4)*100</f>
        <v>#DIV/0!</v>
      </c>
      <c r="L17" s="473" t="e">
        <f t="shared" si="6"/>
        <v>#DIV/0!</v>
      </c>
    </row>
    <row r="18" spans="1:12" x14ac:dyDescent="0.25">
      <c r="J18" s="257"/>
      <c r="K18" s="257"/>
      <c r="L18" s="257"/>
    </row>
    <row r="19" spans="1:12" x14ac:dyDescent="0.25">
      <c r="J19" s="257"/>
      <c r="K19" s="257"/>
      <c r="L19" s="257"/>
    </row>
    <row r="20" spans="1:12" x14ac:dyDescent="0.25">
      <c r="A20" s="4" t="s">
        <v>421</v>
      </c>
      <c r="F20" s="341" t="e">
        <f>F4-(F6+F10)</f>
        <v>#DIV/0!</v>
      </c>
      <c r="G20" s="341" t="e">
        <f t="shared" ref="G20:H20" si="7">G4-(G6+G10)</f>
        <v>#DIV/0!</v>
      </c>
      <c r="H20" s="341" t="e">
        <f t="shared" si="7"/>
        <v>#DIV/0!</v>
      </c>
      <c r="J20" s="409" t="e">
        <f>J4-(J6+J10)</f>
        <v>#DIV/0!</v>
      </c>
      <c r="K20" s="409" t="e">
        <f t="shared" ref="K20:L20" si="8">K4-(K6+K10)</f>
        <v>#DIV/0!</v>
      </c>
      <c r="L20" s="409" t="e">
        <f t="shared" si="8"/>
        <v>#DIV/0!</v>
      </c>
    </row>
    <row r="21" spans="1:12" x14ac:dyDescent="0.25">
      <c r="A21" s="4" t="s">
        <v>422</v>
      </c>
      <c r="F21" s="341" t="e">
        <f>F8+F12</f>
        <v>#DIV/0!</v>
      </c>
      <c r="G21" s="341" t="e">
        <f>G8+G12</f>
        <v>#DIV/0!</v>
      </c>
      <c r="H21" s="341" t="e">
        <f>H8+H12</f>
        <v>#DIV/0!</v>
      </c>
      <c r="J21" s="409" t="e">
        <f>J8+J12</f>
        <v>#DIV/0!</v>
      </c>
      <c r="K21" s="409" t="e">
        <f t="shared" ref="K21:L21" si="9">K8+K12</f>
        <v>#DIV/0!</v>
      </c>
      <c r="L21" s="409" t="e">
        <f t="shared" si="9"/>
        <v>#DIV/0!</v>
      </c>
    </row>
    <row r="22" spans="1:12" x14ac:dyDescent="0.25">
      <c r="A22" s="410" t="s">
        <v>423</v>
      </c>
      <c r="B22" s="411"/>
      <c r="C22" s="411"/>
      <c r="D22" s="411"/>
      <c r="E22" s="411"/>
      <c r="F22" s="472" t="e">
        <f>(F21/F20)*100</f>
        <v>#DIV/0!</v>
      </c>
      <c r="G22" s="472" t="e">
        <f t="shared" ref="G22:H22" si="10">(G21/G20)*100</f>
        <v>#DIV/0!</v>
      </c>
      <c r="H22" s="472" t="e">
        <f t="shared" si="10"/>
        <v>#DIV/0!</v>
      </c>
      <c r="I22" s="411"/>
      <c r="J22" s="412" t="e">
        <f>(J21/J20)*100</f>
        <v>#DIV/0!</v>
      </c>
      <c r="K22" s="412" t="e">
        <f t="shared" ref="K22:L22" si="11">(K21/K20)*100</f>
        <v>#DIV/0!</v>
      </c>
      <c r="L22" s="412" t="e">
        <f t="shared" si="11"/>
        <v>#DIV/0!</v>
      </c>
    </row>
    <row r="26" spans="1:12" s="260" customFormat="1" x14ac:dyDescent="0.25">
      <c r="A26" s="260" t="s">
        <v>424</v>
      </c>
    </row>
    <row r="27" spans="1:12" s="260" customFormat="1" x14ac:dyDescent="0.25">
      <c r="A27" s="260" t="s">
        <v>425</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P116"/>
  <sheetViews>
    <sheetView topLeftCell="A80" zoomScale="80" zoomScaleNormal="80" zoomScaleSheetLayoutView="100" workbookViewId="0">
      <selection activeCell="K115" sqref="K115"/>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75" style="91" customWidth="1"/>
    <col min="14" max="14" width="16.5" style="91" customWidth="1"/>
    <col min="15" max="15" width="14.875" style="91" customWidth="1"/>
    <col min="16" max="16" width="14" style="91" customWidth="1"/>
    <col min="17" max="16384" width="8.875" style="91"/>
  </cols>
  <sheetData>
    <row r="1" spans="1:6" ht="15.75" x14ac:dyDescent="0.25">
      <c r="A1" s="91" t="s">
        <v>70</v>
      </c>
      <c r="B1" s="92"/>
    </row>
    <row r="2" spans="1:6" ht="6.6" customHeight="1" x14ac:dyDescent="0.2"/>
    <row r="3" spans="1:6" x14ac:dyDescent="0.2">
      <c r="A3" s="93" t="s">
        <v>71</v>
      </c>
      <c r="B3" s="91" t="str">
        <f>+C15</f>
        <v>Upper Wissahickon</v>
      </c>
    </row>
    <row r="4" spans="1:6" ht="6" customHeight="1" x14ac:dyDescent="0.2"/>
    <row r="5" spans="1:6" x14ac:dyDescent="0.2">
      <c r="A5" s="91" t="s">
        <v>72</v>
      </c>
      <c r="B5" s="492">
        <f>+C16</f>
        <v>2018</v>
      </c>
      <c r="C5" s="492"/>
    </row>
    <row r="7" spans="1:6" x14ac:dyDescent="0.2">
      <c r="A7" s="94" t="s">
        <v>73</v>
      </c>
      <c r="B7" s="94" t="s">
        <v>74</v>
      </c>
    </row>
    <row r="9" spans="1:6" ht="133.5" customHeight="1" x14ac:dyDescent="0.2">
      <c r="A9" s="493" t="s">
        <v>75</v>
      </c>
      <c r="B9" s="493"/>
      <c r="C9" s="493"/>
      <c r="D9" s="493"/>
      <c r="E9" s="493"/>
      <c r="F9" s="493"/>
    </row>
    <row r="10" spans="1:6" ht="15" x14ac:dyDescent="0.25">
      <c r="A10" s="95"/>
    </row>
    <row r="11" spans="1:6" ht="9" customHeight="1" x14ac:dyDescent="0.2"/>
    <row r="12" spans="1:6" x14ac:dyDescent="0.2">
      <c r="A12" s="96"/>
      <c r="B12" s="97" t="s">
        <v>76</v>
      </c>
      <c r="C12" s="481" t="s">
        <v>77</v>
      </c>
    </row>
    <row r="13" spans="1:6" x14ac:dyDescent="0.2">
      <c r="B13" s="97" t="s">
        <v>78</v>
      </c>
      <c r="C13" s="482" t="s">
        <v>77</v>
      </c>
      <c r="F13" s="98"/>
    </row>
    <row r="14" spans="1:6" x14ac:dyDescent="0.2">
      <c r="A14" s="99"/>
      <c r="B14" s="99" t="s">
        <v>79</v>
      </c>
      <c r="C14" s="481" t="s">
        <v>77</v>
      </c>
      <c r="D14" s="100"/>
    </row>
    <row r="15" spans="1:6" x14ac:dyDescent="0.2">
      <c r="B15" s="99" t="s">
        <v>80</v>
      </c>
      <c r="C15" s="481" t="s">
        <v>529</v>
      </c>
    </row>
    <row r="16" spans="1:6" x14ac:dyDescent="0.2">
      <c r="A16" s="97"/>
      <c r="B16" s="97" t="s">
        <v>81</v>
      </c>
      <c r="C16" s="483">
        <v>2018</v>
      </c>
    </row>
    <row r="17" spans="1:13" ht="5.0999999999999996" customHeight="1" x14ac:dyDescent="0.2">
      <c r="A17" s="97"/>
      <c r="B17" s="97"/>
      <c r="C17" s="100"/>
    </row>
    <row r="18" spans="1:13" ht="13.5" thickBot="1" x14ac:dyDescent="0.25">
      <c r="C18" s="494" t="s">
        <v>82</v>
      </c>
      <c r="D18" s="494"/>
      <c r="E18" s="494"/>
      <c r="F18" s="494"/>
    </row>
    <row r="19" spans="1:13" ht="4.3499999999999996" customHeight="1" thickBot="1" x14ac:dyDescent="0.25"/>
    <row r="20" spans="1:13" ht="16.350000000000001" customHeight="1" x14ac:dyDescent="0.2">
      <c r="A20" s="101" t="s">
        <v>14</v>
      </c>
      <c r="B20" s="102"/>
      <c r="C20" s="103" t="s">
        <v>15</v>
      </c>
      <c r="D20" s="103" t="s">
        <v>18</v>
      </c>
      <c r="E20" s="103" t="s">
        <v>83</v>
      </c>
      <c r="F20" s="104" t="s">
        <v>84</v>
      </c>
    </row>
    <row r="21" spans="1:13" ht="13.35" customHeight="1" thickBot="1" x14ac:dyDescent="0.25">
      <c r="A21" s="105" t="s">
        <v>26</v>
      </c>
      <c r="B21" s="106"/>
      <c r="C21" s="107" t="s">
        <v>85</v>
      </c>
      <c r="D21" s="107" t="s">
        <v>86</v>
      </c>
      <c r="E21" s="107" t="s">
        <v>87</v>
      </c>
      <c r="F21" s="108" t="s">
        <v>87</v>
      </c>
    </row>
    <row r="22" spans="1:13" ht="13.35" customHeight="1" x14ac:dyDescent="0.2">
      <c r="A22" s="109" t="s">
        <v>36</v>
      </c>
      <c r="B22" s="110"/>
      <c r="C22" s="111">
        <f>F62</f>
        <v>0</v>
      </c>
      <c r="D22" s="111">
        <f t="shared" ref="D22:F25" si="0">N50</f>
        <v>0</v>
      </c>
      <c r="E22" s="111">
        <f t="shared" si="0"/>
        <v>0</v>
      </c>
      <c r="F22" s="112">
        <f t="shared" si="0"/>
        <v>0</v>
      </c>
    </row>
    <row r="23" spans="1:13" ht="13.35" customHeight="1" x14ac:dyDescent="0.2">
      <c r="A23" s="109" t="s">
        <v>37</v>
      </c>
      <c r="B23" s="110"/>
      <c r="C23" s="111">
        <f>F63</f>
        <v>0</v>
      </c>
      <c r="D23" s="111">
        <f t="shared" si="0"/>
        <v>0</v>
      </c>
      <c r="E23" s="111">
        <f t="shared" si="0"/>
        <v>0</v>
      </c>
      <c r="F23" s="112">
        <f t="shared" si="0"/>
        <v>0</v>
      </c>
    </row>
    <row r="24" spans="1:13" ht="13.35" customHeight="1" x14ac:dyDescent="0.2">
      <c r="A24" s="109" t="s">
        <v>38</v>
      </c>
      <c r="B24" s="110"/>
      <c r="C24" s="111">
        <f>SUM(F57:F59)+F60</f>
        <v>0</v>
      </c>
      <c r="D24" s="111">
        <f t="shared" si="0"/>
        <v>0</v>
      </c>
      <c r="E24" s="111">
        <f t="shared" si="0"/>
        <v>0</v>
      </c>
      <c r="F24" s="112">
        <f t="shared" si="0"/>
        <v>0</v>
      </c>
    </row>
    <row r="25" spans="1:13" ht="13.35" customHeight="1" x14ac:dyDescent="0.2">
      <c r="A25" s="109" t="s">
        <v>40</v>
      </c>
      <c r="B25" s="110"/>
      <c r="C25" s="111">
        <f>F64+F65</f>
        <v>0</v>
      </c>
      <c r="D25" s="111">
        <f t="shared" si="0"/>
        <v>0</v>
      </c>
      <c r="E25" s="111">
        <f t="shared" si="0"/>
        <v>0</v>
      </c>
      <c r="F25" s="112">
        <f t="shared" si="0"/>
        <v>0</v>
      </c>
    </row>
    <row r="26" spans="1:13" ht="13.35" customHeight="1" x14ac:dyDescent="0.2">
      <c r="A26" s="109" t="s">
        <v>41</v>
      </c>
      <c r="B26" s="110"/>
      <c r="C26" s="111">
        <v>0</v>
      </c>
      <c r="D26" s="111">
        <v>0</v>
      </c>
      <c r="E26" s="111">
        <v>0</v>
      </c>
      <c r="F26" s="112">
        <v>0</v>
      </c>
      <c r="H26" s="113"/>
    </row>
    <row r="27" spans="1:13" ht="13.35" customHeight="1" x14ac:dyDescent="0.2">
      <c r="A27" s="109" t="s">
        <v>42</v>
      </c>
      <c r="B27" s="110"/>
      <c r="C27" s="111">
        <v>0</v>
      </c>
      <c r="D27" s="111">
        <v>0</v>
      </c>
      <c r="E27" s="111">
        <v>0</v>
      </c>
      <c r="F27" s="112">
        <v>0</v>
      </c>
      <c r="K27" s="96" t="s">
        <v>521</v>
      </c>
      <c r="L27" s="476" t="s">
        <v>523</v>
      </c>
      <c r="M27" s="476" t="s">
        <v>522</v>
      </c>
    </row>
    <row r="28" spans="1:13" ht="13.35" customHeight="1" x14ac:dyDescent="0.2">
      <c r="A28" s="109" t="s">
        <v>43</v>
      </c>
      <c r="B28" s="110"/>
      <c r="C28" s="111">
        <f>F61</f>
        <v>0</v>
      </c>
      <c r="D28" s="111">
        <f t="shared" ref="D28:F29" si="1">N54</f>
        <v>0</v>
      </c>
      <c r="E28" s="111">
        <f t="shared" si="1"/>
        <v>0</v>
      </c>
      <c r="F28" s="112">
        <f t="shared" si="1"/>
        <v>0</v>
      </c>
    </row>
    <row r="29" spans="1:13" ht="13.35" customHeight="1" x14ac:dyDescent="0.2">
      <c r="A29" s="109" t="s">
        <v>44</v>
      </c>
      <c r="B29" s="110"/>
      <c r="C29" s="111">
        <f>F56</f>
        <v>0</v>
      </c>
      <c r="D29" s="111">
        <f t="shared" si="1"/>
        <v>0</v>
      </c>
      <c r="E29" s="111">
        <f t="shared" si="1"/>
        <v>0</v>
      </c>
      <c r="F29" s="112">
        <f t="shared" si="1"/>
        <v>0</v>
      </c>
      <c r="K29" s="91" t="s">
        <v>524</v>
      </c>
      <c r="L29" s="478">
        <v>0</v>
      </c>
      <c r="M29" s="477">
        <f>L29*3280.84</f>
        <v>0</v>
      </c>
    </row>
    <row r="30" spans="1:13" ht="13.35" customHeight="1" x14ac:dyDescent="0.2">
      <c r="A30" s="109" t="s">
        <v>45</v>
      </c>
      <c r="B30" s="110"/>
      <c r="C30" s="111">
        <v>0</v>
      </c>
      <c r="D30" s="111">
        <v>0</v>
      </c>
      <c r="E30" s="111">
        <v>0</v>
      </c>
      <c r="F30" s="112">
        <v>0</v>
      </c>
      <c r="K30" s="91" t="s">
        <v>525</v>
      </c>
      <c r="L30" s="478">
        <v>0</v>
      </c>
      <c r="M30" s="477">
        <f t="shared" ref="M30:M31" si="2">L30*3280.84</f>
        <v>0</v>
      </c>
    </row>
    <row r="31" spans="1:13" ht="13.35" customHeight="1" x14ac:dyDescent="0.2">
      <c r="A31" s="109" t="s">
        <v>46</v>
      </c>
      <c r="B31" s="110"/>
      <c r="C31" s="111">
        <v>0</v>
      </c>
      <c r="D31" s="111">
        <v>0</v>
      </c>
      <c r="E31" s="111">
        <v>0</v>
      </c>
      <c r="F31" s="112">
        <v>0</v>
      </c>
      <c r="K31" s="91" t="s">
        <v>526</v>
      </c>
      <c r="L31" s="478">
        <v>0</v>
      </c>
      <c r="M31" s="477">
        <f t="shared" si="2"/>
        <v>0</v>
      </c>
    </row>
    <row r="32" spans="1:13" x14ac:dyDescent="0.2">
      <c r="A32" s="109" t="s">
        <v>47</v>
      </c>
      <c r="B32" s="110"/>
      <c r="C32" s="111">
        <f>F52+F53</f>
        <v>0</v>
      </c>
      <c r="D32" s="111">
        <f t="shared" ref="D32:F34" si="3">N56</f>
        <v>0</v>
      </c>
      <c r="E32" s="111">
        <f t="shared" si="3"/>
        <v>0</v>
      </c>
      <c r="F32" s="112">
        <f t="shared" si="3"/>
        <v>0</v>
      </c>
    </row>
    <row r="33" spans="1:11" ht="13.35" customHeight="1" x14ac:dyDescent="0.2">
      <c r="A33" s="109" t="s">
        <v>48</v>
      </c>
      <c r="B33" s="110"/>
      <c r="C33" s="111">
        <f>F54</f>
        <v>0</v>
      </c>
      <c r="D33" s="111">
        <f t="shared" si="3"/>
        <v>0</v>
      </c>
      <c r="E33" s="111">
        <f t="shared" si="3"/>
        <v>0</v>
      </c>
      <c r="F33" s="112">
        <f t="shared" si="3"/>
        <v>0</v>
      </c>
      <c r="K33" s="114" t="s">
        <v>527</v>
      </c>
    </row>
    <row r="34" spans="1:11" ht="13.35" customHeight="1" x14ac:dyDescent="0.2">
      <c r="A34" s="109" t="s">
        <v>49</v>
      </c>
      <c r="B34" s="110"/>
      <c r="C34" s="111">
        <f>F55</f>
        <v>0</v>
      </c>
      <c r="D34" s="111">
        <f t="shared" si="3"/>
        <v>0</v>
      </c>
      <c r="E34" s="111">
        <f t="shared" si="3"/>
        <v>0</v>
      </c>
      <c r="F34" s="112">
        <f t="shared" si="3"/>
        <v>0</v>
      </c>
    </row>
    <row r="35" spans="1:11" ht="13.35" customHeight="1" x14ac:dyDescent="0.2">
      <c r="A35" s="109" t="s">
        <v>50</v>
      </c>
      <c r="B35" s="110"/>
      <c r="C35" s="111">
        <v>0</v>
      </c>
      <c r="D35" s="111">
        <v>0</v>
      </c>
      <c r="E35" s="111">
        <v>0</v>
      </c>
      <c r="F35" s="112">
        <v>0</v>
      </c>
      <c r="K35" s="114"/>
    </row>
    <row r="36" spans="1:11" ht="13.35" customHeight="1" x14ac:dyDescent="0.2">
      <c r="A36" s="109" t="s">
        <v>51</v>
      </c>
      <c r="B36" s="110"/>
      <c r="C36" s="111">
        <v>0</v>
      </c>
      <c r="D36" s="111">
        <v>0</v>
      </c>
      <c r="E36" s="111">
        <v>0</v>
      </c>
      <c r="F36" s="112">
        <v>0</v>
      </c>
      <c r="K36" s="114"/>
    </row>
    <row r="37" spans="1:11" ht="13.35" customHeight="1" x14ac:dyDescent="0.2">
      <c r="A37" s="109" t="s">
        <v>52</v>
      </c>
      <c r="B37" s="110"/>
      <c r="C37" s="111">
        <v>0</v>
      </c>
      <c r="D37" s="111">
        <v>0</v>
      </c>
      <c r="E37" s="111">
        <v>0</v>
      </c>
      <c r="F37" s="112">
        <v>0</v>
      </c>
      <c r="K37" s="114"/>
    </row>
    <row r="38" spans="1:11" ht="13.35" customHeight="1" x14ac:dyDescent="0.2">
      <c r="A38" s="109" t="s">
        <v>54</v>
      </c>
      <c r="B38" s="110"/>
      <c r="C38" s="111" t="s">
        <v>66</v>
      </c>
      <c r="D38" s="111">
        <f>N60</f>
        <v>0</v>
      </c>
      <c r="E38" s="111">
        <f>O60</f>
        <v>0</v>
      </c>
      <c r="F38" s="112">
        <f>P60</f>
        <v>0</v>
      </c>
    </row>
    <row r="39" spans="1:11" ht="13.35" customHeight="1" x14ac:dyDescent="0.2">
      <c r="A39" s="109" t="s">
        <v>55</v>
      </c>
      <c r="B39" s="110"/>
      <c r="C39" s="111" t="s">
        <v>66</v>
      </c>
      <c r="D39" s="111">
        <v>0</v>
      </c>
      <c r="E39" s="111">
        <v>0</v>
      </c>
      <c r="F39" s="112">
        <v>0</v>
      </c>
    </row>
    <row r="40" spans="1:11" ht="13.35" customHeight="1" x14ac:dyDescent="0.2">
      <c r="A40" s="109" t="s">
        <v>88</v>
      </c>
      <c r="B40" s="110"/>
      <c r="C40" s="111" t="s">
        <v>66</v>
      </c>
      <c r="D40" s="111">
        <f t="shared" ref="D40:F43" si="4">N61</f>
        <v>0</v>
      </c>
      <c r="E40" s="111">
        <f t="shared" si="4"/>
        <v>0</v>
      </c>
      <c r="F40" s="112">
        <f t="shared" si="4"/>
        <v>0</v>
      </c>
    </row>
    <row r="41" spans="1:11" ht="13.35" customHeight="1" x14ac:dyDescent="0.2">
      <c r="A41" s="109" t="s">
        <v>56</v>
      </c>
      <c r="B41" s="110"/>
      <c r="C41" s="111" t="s">
        <v>66</v>
      </c>
      <c r="D41" s="111">
        <f t="shared" si="4"/>
        <v>0</v>
      </c>
      <c r="E41" s="111">
        <f t="shared" si="4"/>
        <v>0</v>
      </c>
      <c r="F41" s="112">
        <f t="shared" si="4"/>
        <v>0</v>
      </c>
    </row>
    <row r="42" spans="1:11" ht="13.35" customHeight="1" x14ac:dyDescent="0.2">
      <c r="A42" s="109" t="s">
        <v>57</v>
      </c>
      <c r="B42" s="110"/>
      <c r="C42" s="111" t="s">
        <v>66</v>
      </c>
      <c r="D42" s="111">
        <f t="shared" si="4"/>
        <v>0</v>
      </c>
      <c r="E42" s="111">
        <f t="shared" si="4"/>
        <v>0</v>
      </c>
      <c r="F42" s="112">
        <f t="shared" si="4"/>
        <v>0</v>
      </c>
    </row>
    <row r="43" spans="1:11" ht="14.1" customHeight="1" thickBot="1" x14ac:dyDescent="0.25">
      <c r="A43" s="115" t="s">
        <v>58</v>
      </c>
      <c r="B43" s="116"/>
      <c r="C43" s="117" t="s">
        <v>66</v>
      </c>
      <c r="D43" s="117">
        <f t="shared" si="4"/>
        <v>0</v>
      </c>
      <c r="E43" s="117">
        <f t="shared" si="4"/>
        <v>0</v>
      </c>
      <c r="F43" s="118">
        <f t="shared" si="4"/>
        <v>0</v>
      </c>
    </row>
    <row r="44" spans="1:11" x14ac:dyDescent="0.2">
      <c r="A44" s="100"/>
      <c r="B44" s="100"/>
      <c r="C44" s="100"/>
      <c r="D44" s="100"/>
      <c r="E44" s="100"/>
      <c r="F44" s="100"/>
    </row>
    <row r="45" spans="1:11" s="121" customFormat="1" x14ac:dyDescent="0.2">
      <c r="A45" s="119" t="s">
        <v>89</v>
      </c>
      <c r="B45" s="119"/>
      <c r="C45" s="120">
        <f>SUM(C22:C43)</f>
        <v>0</v>
      </c>
      <c r="D45" s="120">
        <f t="shared" ref="D45:F45" si="5">SUM(D22:D43)</f>
        <v>0</v>
      </c>
      <c r="E45" s="120">
        <f t="shared" si="5"/>
        <v>0</v>
      </c>
      <c r="F45" s="120">
        <f t="shared" si="5"/>
        <v>0</v>
      </c>
    </row>
    <row r="47" spans="1:11" x14ac:dyDescent="0.2">
      <c r="A47" s="96" t="s">
        <v>90</v>
      </c>
      <c r="H47" s="96" t="s">
        <v>91</v>
      </c>
    </row>
    <row r="48" spans="1:11" x14ac:dyDescent="0.2">
      <c r="A48" s="96"/>
    </row>
    <row r="49" spans="1:16" x14ac:dyDescent="0.2">
      <c r="A49" s="91" t="s">
        <v>92</v>
      </c>
      <c r="C49" s="114"/>
      <c r="D49" s="91" t="s">
        <v>93</v>
      </c>
      <c r="F49" s="114" t="s">
        <v>94</v>
      </c>
      <c r="H49" s="91" t="s">
        <v>95</v>
      </c>
      <c r="K49" s="91" t="s">
        <v>96</v>
      </c>
      <c r="L49" s="91" t="s">
        <v>97</v>
      </c>
      <c r="M49" s="91" t="s">
        <v>98</v>
      </c>
      <c r="N49" s="91" t="s">
        <v>99</v>
      </c>
      <c r="O49" s="91" t="s">
        <v>100</v>
      </c>
      <c r="P49" s="91" t="s">
        <v>101</v>
      </c>
    </row>
    <row r="50" spans="1:16" x14ac:dyDescent="0.2">
      <c r="A50" s="91" t="s">
        <v>102</v>
      </c>
      <c r="D50" s="478">
        <v>0</v>
      </c>
      <c r="F50" s="114">
        <f t="shared" ref="F50:F65" si="6">(D50*100)/0.405</f>
        <v>0</v>
      </c>
      <c r="H50" s="91" t="s">
        <v>103</v>
      </c>
      <c r="K50" s="479">
        <v>0</v>
      </c>
      <c r="L50" s="479">
        <v>0</v>
      </c>
      <c r="M50" s="479">
        <v>0</v>
      </c>
      <c r="N50" s="91">
        <f>(2.205*K50)/2000</f>
        <v>0</v>
      </c>
      <c r="O50" s="91">
        <f>L50*2.205</f>
        <v>0</v>
      </c>
      <c r="P50" s="91">
        <f>M50*2.205</f>
        <v>0</v>
      </c>
    </row>
    <row r="51" spans="1:16" x14ac:dyDescent="0.2">
      <c r="A51" s="91" t="s">
        <v>104</v>
      </c>
      <c r="D51" s="478">
        <v>0</v>
      </c>
      <c r="F51" s="114">
        <f t="shared" si="6"/>
        <v>0</v>
      </c>
      <c r="H51" s="91" t="s">
        <v>37</v>
      </c>
      <c r="K51" s="479">
        <v>0</v>
      </c>
      <c r="L51" s="479">
        <v>0</v>
      </c>
      <c r="M51" s="479">
        <v>0</v>
      </c>
      <c r="N51" s="91">
        <f t="shared" ref="N51:N64" si="7">(2.205*K51)/2000</f>
        <v>0</v>
      </c>
      <c r="O51" s="91">
        <f t="shared" ref="O51:P64" si="8">L51*2.205</f>
        <v>0</v>
      </c>
      <c r="P51" s="91">
        <f t="shared" si="8"/>
        <v>0</v>
      </c>
    </row>
    <row r="52" spans="1:16" x14ac:dyDescent="0.2">
      <c r="A52" s="91" t="s">
        <v>105</v>
      </c>
      <c r="D52" s="478">
        <v>0</v>
      </c>
      <c r="F52" s="114">
        <f t="shared" si="6"/>
        <v>0</v>
      </c>
      <c r="H52" s="91" t="s">
        <v>106</v>
      </c>
      <c r="K52" s="479">
        <v>0</v>
      </c>
      <c r="L52" s="479">
        <v>0</v>
      </c>
      <c r="M52" s="479">
        <v>0</v>
      </c>
      <c r="N52" s="91">
        <f t="shared" si="7"/>
        <v>0</v>
      </c>
      <c r="O52" s="91">
        <f t="shared" si="8"/>
        <v>0</v>
      </c>
      <c r="P52" s="91">
        <f t="shared" si="8"/>
        <v>0</v>
      </c>
    </row>
    <row r="53" spans="1:16" x14ac:dyDescent="0.2">
      <c r="A53" s="91" t="s">
        <v>107</v>
      </c>
      <c r="D53" s="478">
        <v>0</v>
      </c>
      <c r="F53" s="114">
        <f t="shared" si="6"/>
        <v>0</v>
      </c>
      <c r="H53" s="91" t="s">
        <v>108</v>
      </c>
      <c r="K53" s="479">
        <v>0</v>
      </c>
      <c r="L53" s="479">
        <v>0</v>
      </c>
      <c r="M53" s="479">
        <v>0</v>
      </c>
      <c r="N53" s="91">
        <f t="shared" si="7"/>
        <v>0</v>
      </c>
      <c r="O53" s="91">
        <f t="shared" si="8"/>
        <v>0</v>
      </c>
      <c r="P53" s="91">
        <f t="shared" si="8"/>
        <v>0</v>
      </c>
    </row>
    <row r="54" spans="1:16" x14ac:dyDescent="0.2">
      <c r="A54" s="91" t="s">
        <v>109</v>
      </c>
      <c r="D54" s="478">
        <v>0</v>
      </c>
      <c r="F54" s="114">
        <f t="shared" si="6"/>
        <v>0</v>
      </c>
      <c r="H54" s="91" t="s">
        <v>110</v>
      </c>
      <c r="K54" s="479">
        <v>0</v>
      </c>
      <c r="L54" s="479">
        <v>0</v>
      </c>
      <c r="M54" s="479">
        <v>0</v>
      </c>
      <c r="N54" s="91">
        <f t="shared" si="7"/>
        <v>0</v>
      </c>
      <c r="O54" s="91">
        <f t="shared" si="8"/>
        <v>0</v>
      </c>
      <c r="P54" s="91">
        <f t="shared" si="8"/>
        <v>0</v>
      </c>
    </row>
    <row r="55" spans="1:16" x14ac:dyDescent="0.2">
      <c r="A55" s="91" t="s">
        <v>111</v>
      </c>
      <c r="D55" s="478">
        <v>0</v>
      </c>
      <c r="F55" s="114">
        <f t="shared" si="6"/>
        <v>0</v>
      </c>
      <c r="H55" s="91" t="s">
        <v>112</v>
      </c>
      <c r="K55" s="479">
        <v>0</v>
      </c>
      <c r="L55" s="479">
        <v>0</v>
      </c>
      <c r="M55" s="479">
        <v>0</v>
      </c>
      <c r="N55" s="91">
        <f t="shared" si="7"/>
        <v>0</v>
      </c>
      <c r="O55" s="91">
        <f t="shared" si="8"/>
        <v>0</v>
      </c>
      <c r="P55" s="91">
        <f t="shared" si="8"/>
        <v>0</v>
      </c>
    </row>
    <row r="56" spans="1:16" x14ac:dyDescent="0.2">
      <c r="A56" s="91" t="s">
        <v>113</v>
      </c>
      <c r="D56" s="478">
        <v>0</v>
      </c>
      <c r="F56" s="114">
        <f t="shared" si="6"/>
        <v>0</v>
      </c>
      <c r="H56" s="91" t="s">
        <v>114</v>
      </c>
      <c r="K56" s="479">
        <v>0</v>
      </c>
      <c r="L56" s="479">
        <v>0</v>
      </c>
      <c r="M56" s="479">
        <v>0</v>
      </c>
      <c r="N56" s="91">
        <f t="shared" si="7"/>
        <v>0</v>
      </c>
      <c r="O56" s="91">
        <f t="shared" si="8"/>
        <v>0</v>
      </c>
      <c r="P56" s="91">
        <f t="shared" si="8"/>
        <v>0</v>
      </c>
    </row>
    <row r="57" spans="1:16" x14ac:dyDescent="0.2">
      <c r="A57" s="91" t="s">
        <v>115</v>
      </c>
      <c r="D57" s="478">
        <v>0</v>
      </c>
      <c r="F57" s="114">
        <f t="shared" si="6"/>
        <v>0</v>
      </c>
      <c r="H57" s="91" t="s">
        <v>116</v>
      </c>
      <c r="K57" s="479">
        <v>0</v>
      </c>
      <c r="L57" s="479">
        <v>0</v>
      </c>
      <c r="M57" s="479">
        <v>0</v>
      </c>
      <c r="N57" s="91">
        <f t="shared" si="7"/>
        <v>0</v>
      </c>
      <c r="O57" s="91">
        <f t="shared" si="8"/>
        <v>0</v>
      </c>
      <c r="P57" s="91">
        <f t="shared" si="8"/>
        <v>0</v>
      </c>
    </row>
    <row r="58" spans="1:16" x14ac:dyDescent="0.2">
      <c r="A58" s="91" t="s">
        <v>117</v>
      </c>
      <c r="D58" s="478">
        <v>0</v>
      </c>
      <c r="F58" s="114">
        <f t="shared" si="6"/>
        <v>0</v>
      </c>
      <c r="H58" s="91" t="s">
        <v>118</v>
      </c>
      <c r="K58" s="479">
        <v>0</v>
      </c>
      <c r="L58" s="479">
        <v>0</v>
      </c>
      <c r="M58" s="479">
        <v>0</v>
      </c>
      <c r="N58" s="91">
        <f t="shared" si="7"/>
        <v>0</v>
      </c>
      <c r="O58" s="91">
        <f t="shared" si="8"/>
        <v>0</v>
      </c>
      <c r="P58" s="91">
        <f t="shared" si="8"/>
        <v>0</v>
      </c>
    </row>
    <row r="59" spans="1:16" x14ac:dyDescent="0.2">
      <c r="A59" s="91" t="s">
        <v>119</v>
      </c>
      <c r="D59" s="478">
        <v>0</v>
      </c>
      <c r="F59" s="114">
        <f t="shared" si="6"/>
        <v>0</v>
      </c>
      <c r="H59" s="91" t="s">
        <v>120</v>
      </c>
      <c r="K59" s="479">
        <v>0</v>
      </c>
      <c r="L59" s="479">
        <v>0</v>
      </c>
      <c r="M59" s="479">
        <v>0</v>
      </c>
      <c r="N59" s="91">
        <f t="shared" si="7"/>
        <v>0</v>
      </c>
      <c r="O59" s="91">
        <f t="shared" si="8"/>
        <v>0</v>
      </c>
      <c r="P59" s="91">
        <f t="shared" si="8"/>
        <v>0</v>
      </c>
    </row>
    <row r="60" spans="1:16" x14ac:dyDescent="0.2">
      <c r="A60" s="91" t="s">
        <v>121</v>
      </c>
      <c r="D60" s="478">
        <v>0</v>
      </c>
      <c r="F60" s="114">
        <f t="shared" si="6"/>
        <v>0</v>
      </c>
      <c r="H60" s="91" t="s">
        <v>54</v>
      </c>
      <c r="K60" s="479">
        <v>0</v>
      </c>
      <c r="L60" s="479">
        <v>0</v>
      </c>
      <c r="M60" s="479">
        <v>0</v>
      </c>
      <c r="N60" s="91">
        <f t="shared" si="7"/>
        <v>0</v>
      </c>
      <c r="O60" s="91">
        <f t="shared" si="8"/>
        <v>0</v>
      </c>
      <c r="P60" s="91">
        <f t="shared" si="8"/>
        <v>0</v>
      </c>
    </row>
    <row r="61" spans="1:16" x14ac:dyDescent="0.2">
      <c r="A61" s="91" t="s">
        <v>122</v>
      </c>
      <c r="D61" s="478">
        <v>0</v>
      </c>
      <c r="F61" s="114">
        <f t="shared" si="6"/>
        <v>0</v>
      </c>
      <c r="H61" s="91" t="s">
        <v>123</v>
      </c>
      <c r="K61" s="479">
        <v>0</v>
      </c>
      <c r="L61" s="479">
        <v>0</v>
      </c>
      <c r="M61" s="479">
        <v>0</v>
      </c>
      <c r="N61" s="91">
        <f t="shared" si="7"/>
        <v>0</v>
      </c>
      <c r="O61" s="91">
        <f t="shared" si="8"/>
        <v>0</v>
      </c>
      <c r="P61" s="91">
        <f t="shared" si="8"/>
        <v>0</v>
      </c>
    </row>
    <row r="62" spans="1:16" x14ac:dyDescent="0.2">
      <c r="A62" s="91" t="s">
        <v>124</v>
      </c>
      <c r="D62" s="478">
        <v>0</v>
      </c>
      <c r="F62" s="114">
        <f t="shared" si="6"/>
        <v>0</v>
      </c>
      <c r="H62" s="91" t="s">
        <v>125</v>
      </c>
      <c r="K62" s="479">
        <v>0</v>
      </c>
      <c r="L62" s="479">
        <v>0</v>
      </c>
      <c r="M62" s="479">
        <v>0</v>
      </c>
      <c r="N62" s="91">
        <f t="shared" si="7"/>
        <v>0</v>
      </c>
      <c r="O62" s="91">
        <f t="shared" si="8"/>
        <v>0</v>
      </c>
      <c r="P62" s="91">
        <f t="shared" si="8"/>
        <v>0</v>
      </c>
    </row>
    <row r="63" spans="1:16" x14ac:dyDescent="0.2">
      <c r="A63" s="91" t="s">
        <v>126</v>
      </c>
      <c r="D63" s="478">
        <v>0</v>
      </c>
      <c r="F63" s="114">
        <f t="shared" si="6"/>
        <v>0</v>
      </c>
      <c r="H63" s="91" t="s">
        <v>127</v>
      </c>
      <c r="K63" s="479">
        <v>0</v>
      </c>
      <c r="L63" s="479">
        <v>0</v>
      </c>
      <c r="M63" s="479">
        <v>0</v>
      </c>
      <c r="N63" s="91">
        <f t="shared" si="7"/>
        <v>0</v>
      </c>
      <c r="O63" s="91">
        <f t="shared" si="8"/>
        <v>0</v>
      </c>
      <c r="P63" s="91">
        <f t="shared" si="8"/>
        <v>0</v>
      </c>
    </row>
    <row r="64" spans="1:16" x14ac:dyDescent="0.2">
      <c r="A64" s="91" t="s">
        <v>128</v>
      </c>
      <c r="D64" s="478">
        <v>0</v>
      </c>
      <c r="F64" s="114">
        <f t="shared" si="6"/>
        <v>0</v>
      </c>
      <c r="H64" s="91" t="s">
        <v>58</v>
      </c>
      <c r="K64" s="479">
        <v>0</v>
      </c>
      <c r="L64" s="479">
        <v>0</v>
      </c>
      <c r="M64" s="479">
        <v>0</v>
      </c>
      <c r="N64" s="91">
        <f t="shared" si="7"/>
        <v>0</v>
      </c>
      <c r="O64" s="91">
        <f t="shared" si="8"/>
        <v>0</v>
      </c>
      <c r="P64" s="91">
        <f t="shared" si="8"/>
        <v>0</v>
      </c>
    </row>
    <row r="65" spans="1:16" x14ac:dyDescent="0.2">
      <c r="A65" s="91" t="s">
        <v>129</v>
      </c>
      <c r="D65" s="478">
        <v>0</v>
      </c>
      <c r="F65" s="114">
        <f t="shared" si="6"/>
        <v>0</v>
      </c>
    </row>
    <row r="67" spans="1:16" s="121" customFormat="1" x14ac:dyDescent="0.2">
      <c r="A67" s="121" t="s">
        <v>89</v>
      </c>
      <c r="D67" s="122">
        <f>SUM(D51:D65)</f>
        <v>0</v>
      </c>
      <c r="F67" s="122">
        <f>SUM(F51:F65)</f>
        <v>0</v>
      </c>
      <c r="H67" s="121" t="s">
        <v>89</v>
      </c>
      <c r="K67" s="122">
        <f>SUM(K50:K65)</f>
        <v>0</v>
      </c>
      <c r="L67" s="122">
        <f t="shared" ref="L67:P67" si="9">SUM(L50:L65)</f>
        <v>0</v>
      </c>
      <c r="M67" s="122">
        <f t="shared" si="9"/>
        <v>0</v>
      </c>
      <c r="N67" s="122">
        <f t="shared" si="9"/>
        <v>0</v>
      </c>
      <c r="O67" s="122">
        <f t="shared" si="9"/>
        <v>0</v>
      </c>
      <c r="P67" s="122">
        <f t="shared" si="9"/>
        <v>0</v>
      </c>
    </row>
    <row r="70" spans="1:16" x14ac:dyDescent="0.2">
      <c r="A70" s="123" t="s">
        <v>130</v>
      </c>
    </row>
    <row r="72" spans="1:16" x14ac:dyDescent="0.2">
      <c r="A72" s="96" t="s">
        <v>131</v>
      </c>
    </row>
    <row r="74" spans="1:16" x14ac:dyDescent="0.2">
      <c r="A74" s="91" t="s">
        <v>92</v>
      </c>
      <c r="C74" s="114"/>
      <c r="D74" s="91" t="s">
        <v>93</v>
      </c>
      <c r="F74" s="114" t="s">
        <v>94</v>
      </c>
      <c r="I74" s="91" t="s">
        <v>484</v>
      </c>
      <c r="J74" s="91" t="s">
        <v>485</v>
      </c>
      <c r="K74" s="91" t="s">
        <v>486</v>
      </c>
    </row>
    <row r="75" spans="1:16" x14ac:dyDescent="0.2">
      <c r="A75" s="91" t="s">
        <v>102</v>
      </c>
      <c r="D75" s="478">
        <v>0</v>
      </c>
      <c r="F75" s="114">
        <f t="shared" ref="F75:F90" si="10">(D75*100)/0.405</f>
        <v>0</v>
      </c>
    </row>
    <row r="76" spans="1:16" x14ac:dyDescent="0.2">
      <c r="A76" s="91" t="s">
        <v>104</v>
      </c>
      <c r="D76" s="478">
        <v>0</v>
      </c>
      <c r="F76" s="114">
        <f t="shared" si="10"/>
        <v>0</v>
      </c>
    </row>
    <row r="77" spans="1:16" x14ac:dyDescent="0.2">
      <c r="A77" s="91" t="s">
        <v>105</v>
      </c>
      <c r="D77" s="478">
        <v>0</v>
      </c>
      <c r="F77" s="114">
        <f t="shared" si="10"/>
        <v>0</v>
      </c>
      <c r="I77" s="247">
        <f>(+LandUseLoadingRatesLookUpTable!V27)*F77</f>
        <v>0</v>
      </c>
      <c r="J77" s="247">
        <f>(+LandUseLoadingRatesLookUpTable!AA27)*F77</f>
        <v>0</v>
      </c>
      <c r="K77" s="247">
        <f>(+LandUseLoadingRatesLookUpTable!Q27)*F77</f>
        <v>0</v>
      </c>
      <c r="M77" s="440" t="s">
        <v>532</v>
      </c>
    </row>
    <row r="78" spans="1:16" x14ac:dyDescent="0.2">
      <c r="A78" s="91" t="s">
        <v>107</v>
      </c>
      <c r="D78" s="478">
        <v>0</v>
      </c>
      <c r="F78" s="114">
        <f t="shared" si="10"/>
        <v>0</v>
      </c>
      <c r="I78" s="247">
        <f>(+LandUseLoadingRatesLookUpTable!V27)*F78</f>
        <v>0</v>
      </c>
      <c r="J78" s="247">
        <f>(+LandUseLoadingRatesLookUpTable!AA27)*F78</f>
        <v>0</v>
      </c>
      <c r="K78" s="247">
        <f>(+LandUseLoadingRatesLookUpTable!Q27)*F78</f>
        <v>0</v>
      </c>
    </row>
    <row r="79" spans="1:16" x14ac:dyDescent="0.2">
      <c r="A79" s="91" t="s">
        <v>109</v>
      </c>
      <c r="D79" s="478">
        <v>0</v>
      </c>
      <c r="F79" s="114">
        <f t="shared" si="10"/>
        <v>0</v>
      </c>
      <c r="I79" s="247">
        <f>(+LandUseLoadingRatesLookUpTable!V28)*F79</f>
        <v>0</v>
      </c>
      <c r="J79" s="247">
        <f>(+LandUseLoadingRatesLookUpTable!AA28)*F79</f>
        <v>0</v>
      </c>
      <c r="K79" s="247">
        <f>(+LandUseLoadingRatesLookUpTable!Q28)*F79</f>
        <v>0</v>
      </c>
      <c r="M79" s="96" t="s">
        <v>521</v>
      </c>
      <c r="N79" s="476" t="s">
        <v>523</v>
      </c>
      <c r="O79" s="476" t="s">
        <v>522</v>
      </c>
    </row>
    <row r="80" spans="1:16" x14ac:dyDescent="0.2">
      <c r="A80" s="91" t="s">
        <v>111</v>
      </c>
      <c r="D80" s="478">
        <v>0</v>
      </c>
      <c r="F80" s="114">
        <f t="shared" si="10"/>
        <v>0</v>
      </c>
      <c r="I80" s="247">
        <f>(+LandUseLoadingRatesLookUpTable!V29)*F80</f>
        <v>0</v>
      </c>
      <c r="J80" s="247">
        <f>(+LandUseLoadingRatesLookUpTable!AA29)*F80</f>
        <v>0</v>
      </c>
      <c r="K80" s="247">
        <f>(+LandUseLoadingRatesLookUpTable!Q29)*F80</f>
        <v>0</v>
      </c>
    </row>
    <row r="81" spans="1:15" x14ac:dyDescent="0.2">
      <c r="A81" s="91" t="s">
        <v>113</v>
      </c>
      <c r="D81" s="478">
        <v>0</v>
      </c>
      <c r="F81" s="114">
        <f t="shared" si="10"/>
        <v>0</v>
      </c>
      <c r="I81" s="247">
        <f>(+LandUseLoadingRatesLookUpTable!V24)*F81</f>
        <v>0</v>
      </c>
      <c r="J81" s="247">
        <f>(+LandUseLoadingRatesLookUpTable!AA24)*F81</f>
        <v>0</v>
      </c>
      <c r="K81" s="247">
        <f>(+LandUseLoadingRatesLookUpTable!Q24)*F81</f>
        <v>0</v>
      </c>
      <c r="M81" s="91" t="s">
        <v>524</v>
      </c>
      <c r="N81" s="478">
        <v>0</v>
      </c>
      <c r="O81" s="477">
        <f>N81*3280.84</f>
        <v>0</v>
      </c>
    </row>
    <row r="82" spans="1:15" x14ac:dyDescent="0.2">
      <c r="A82" s="91" t="s">
        <v>115</v>
      </c>
      <c r="D82" s="478">
        <v>0</v>
      </c>
      <c r="F82" s="114">
        <f t="shared" si="10"/>
        <v>0</v>
      </c>
      <c r="I82" s="247">
        <f>(+LandUseLoadingRatesLookUpTable!V19)*F82</f>
        <v>0</v>
      </c>
      <c r="J82" s="247">
        <f>(+LandUseLoadingRatesLookUpTable!AA19)*F82</f>
        <v>0</v>
      </c>
      <c r="K82" s="247">
        <f>(+LandUseLoadingRatesLookUpTable!Q19)*F82</f>
        <v>0</v>
      </c>
      <c r="M82" s="91" t="s">
        <v>525</v>
      </c>
      <c r="N82" s="478">
        <v>0</v>
      </c>
      <c r="O82" s="477">
        <f t="shared" ref="O82:O83" si="11">N82*3280.84</f>
        <v>0</v>
      </c>
    </row>
    <row r="83" spans="1:15" x14ac:dyDescent="0.2">
      <c r="A83" s="91" t="s">
        <v>117</v>
      </c>
      <c r="D83" s="478">
        <v>0</v>
      </c>
      <c r="F83" s="114">
        <f t="shared" si="10"/>
        <v>0</v>
      </c>
      <c r="I83" s="247">
        <f>(+LandUseLoadingRatesLookUpTable!V19)*F83</f>
        <v>0</v>
      </c>
      <c r="J83" s="247">
        <f>(+LandUseLoadingRatesLookUpTable!AA19)*F83</f>
        <v>0</v>
      </c>
      <c r="K83" s="247">
        <f>(+LandUseLoadingRatesLookUpTable!Q19)*F83</f>
        <v>0</v>
      </c>
      <c r="M83" s="91" t="s">
        <v>526</v>
      </c>
      <c r="N83" s="478">
        <v>0</v>
      </c>
      <c r="O83" s="477">
        <f t="shared" si="11"/>
        <v>0</v>
      </c>
    </row>
    <row r="84" spans="1:15" x14ac:dyDescent="0.2">
      <c r="A84" s="91" t="s">
        <v>119</v>
      </c>
      <c r="D84" s="478">
        <v>0</v>
      </c>
      <c r="F84" s="114">
        <f t="shared" si="10"/>
        <v>0</v>
      </c>
      <c r="I84" s="247">
        <f>(+LandUseLoadingRatesLookUpTable!V19)*F84</f>
        <v>0</v>
      </c>
      <c r="J84" s="247">
        <f>(+LandUseLoadingRatesLookUpTable!AA19)*F84</f>
        <v>0</v>
      </c>
      <c r="K84" s="247">
        <f>(+LandUseLoadingRatesLookUpTable!Q19)*F84</f>
        <v>0</v>
      </c>
    </row>
    <row r="85" spans="1:15" x14ac:dyDescent="0.2">
      <c r="A85" s="91" t="s">
        <v>121</v>
      </c>
      <c r="D85" s="478">
        <v>0</v>
      </c>
      <c r="F85" s="114">
        <f t="shared" si="10"/>
        <v>0</v>
      </c>
      <c r="I85" s="247">
        <f>(+LandUseLoadingRatesLookUpTable!V19)*F85</f>
        <v>0</v>
      </c>
      <c r="J85" s="247">
        <f>(+LandUseLoadingRatesLookUpTable!AA19)*F85</f>
        <v>0</v>
      </c>
      <c r="K85" s="247">
        <f>(+LandUseLoadingRatesLookUpTable!Q19)*F85</f>
        <v>0</v>
      </c>
      <c r="M85" s="114" t="s">
        <v>527</v>
      </c>
    </row>
    <row r="86" spans="1:15" x14ac:dyDescent="0.2">
      <c r="A86" s="91" t="s">
        <v>122</v>
      </c>
      <c r="D86" s="478">
        <v>0</v>
      </c>
      <c r="F86" s="114">
        <f t="shared" si="10"/>
        <v>0</v>
      </c>
      <c r="I86" s="247">
        <f>(+LandUseLoadingRatesLookUpTable!V19)*F86</f>
        <v>0</v>
      </c>
      <c r="J86" s="247">
        <f>(+LandUseLoadingRatesLookUpTable!AA19)*F86</f>
        <v>0</v>
      </c>
      <c r="K86" s="247">
        <f>(+LandUseLoadingRatesLookUpTable!Q19)*F86</f>
        <v>0</v>
      </c>
    </row>
    <row r="87" spans="1:15" x14ac:dyDescent="0.2">
      <c r="A87" s="91" t="s">
        <v>124</v>
      </c>
      <c r="D87" s="478">
        <v>0</v>
      </c>
      <c r="F87" s="114">
        <f t="shared" si="10"/>
        <v>0</v>
      </c>
      <c r="I87" s="247">
        <f>(+LandUseLoadingRatesLookUpTable!V17)*F87</f>
        <v>0</v>
      </c>
      <c r="J87" s="247">
        <f>(+LandUseLoadingRatesLookUpTable!AA17)*F87</f>
        <v>0</v>
      </c>
      <c r="K87" s="247">
        <f>(+LandUseLoadingRatesLookUpTable!Q17)*F87</f>
        <v>0</v>
      </c>
    </row>
    <row r="88" spans="1:15" x14ac:dyDescent="0.2">
      <c r="A88" s="91" t="s">
        <v>126</v>
      </c>
      <c r="D88" s="478">
        <v>0</v>
      </c>
      <c r="F88" s="114">
        <f t="shared" si="10"/>
        <v>0</v>
      </c>
      <c r="I88" s="247">
        <f>(+LandUseLoadingRatesLookUpTable!V18)*F88</f>
        <v>0</v>
      </c>
      <c r="J88" s="247">
        <f>(+LandUseLoadingRatesLookUpTable!AA18)*F88</f>
        <v>0</v>
      </c>
      <c r="K88" s="247">
        <f>(+LandUseLoadingRatesLookUpTable!Q18)*F88</f>
        <v>0</v>
      </c>
    </row>
    <row r="89" spans="1:15" x14ac:dyDescent="0.2">
      <c r="A89" s="91" t="s">
        <v>128</v>
      </c>
      <c r="D89" s="478">
        <v>0</v>
      </c>
      <c r="F89" s="114">
        <f t="shared" si="10"/>
        <v>0</v>
      </c>
      <c r="I89" s="247">
        <f>(+LandUseLoadingRatesLookUpTable!V20)*F89</f>
        <v>0</v>
      </c>
      <c r="J89" s="247">
        <f>(+LandUseLoadingRatesLookUpTable!AA20)*F89</f>
        <v>0</v>
      </c>
      <c r="K89" s="247">
        <f>(+LandUseLoadingRatesLookUpTable!Q20)*F89</f>
        <v>0</v>
      </c>
    </row>
    <row r="90" spans="1:15" x14ac:dyDescent="0.2">
      <c r="A90" s="91" t="s">
        <v>129</v>
      </c>
      <c r="D90" s="478">
        <v>0</v>
      </c>
      <c r="F90" s="114">
        <f t="shared" si="10"/>
        <v>0</v>
      </c>
      <c r="I90" s="247">
        <f>(+LandUseLoadingRatesLookUpTable!V20)*F90</f>
        <v>0</v>
      </c>
      <c r="J90" s="247">
        <f>(+LandUseLoadingRatesLookUpTable!AA20)*F90</f>
        <v>0</v>
      </c>
      <c r="K90" s="247">
        <f>(+LandUseLoadingRatesLookUpTable!Q20)*F90</f>
        <v>0</v>
      </c>
    </row>
    <row r="92" spans="1:15" x14ac:dyDescent="0.2">
      <c r="A92" s="121" t="s">
        <v>89</v>
      </c>
      <c r="B92" s="121"/>
      <c r="C92" s="121"/>
      <c r="D92" s="122">
        <f>SUM(D76:D90)</f>
        <v>0</v>
      </c>
      <c r="E92" s="121"/>
      <c r="F92" s="122">
        <f>SUM(F76:F90)</f>
        <v>0</v>
      </c>
      <c r="I92" s="122">
        <f>SUM(I76:I90)</f>
        <v>0</v>
      </c>
      <c r="J92" s="122">
        <f>SUM(J76:J90)</f>
        <v>0</v>
      </c>
      <c r="K92" s="122">
        <f>SUM(K76:K90)</f>
        <v>0</v>
      </c>
    </row>
    <row r="95" spans="1:15" x14ac:dyDescent="0.2">
      <c r="A95" s="91" t="s">
        <v>92</v>
      </c>
      <c r="D95" s="440" t="s">
        <v>504</v>
      </c>
      <c r="F95" s="91" t="s">
        <v>483</v>
      </c>
    </row>
    <row r="96" spans="1:15" x14ac:dyDescent="0.2">
      <c r="A96" s="91" t="s">
        <v>102</v>
      </c>
      <c r="D96" s="480">
        <v>0</v>
      </c>
      <c r="F96" s="98">
        <f>((D96/1000000)*100)/0.405</f>
        <v>0</v>
      </c>
    </row>
    <row r="97" spans="1:13" x14ac:dyDescent="0.2">
      <c r="A97" s="91" t="s">
        <v>104</v>
      </c>
      <c r="D97" s="480">
        <v>0</v>
      </c>
      <c r="F97" s="98">
        <f t="shared" ref="F97:F111" si="12">((D97/1000000)*100)/0.405</f>
        <v>0</v>
      </c>
    </row>
    <row r="98" spans="1:13" x14ac:dyDescent="0.2">
      <c r="A98" s="91" t="s">
        <v>105</v>
      </c>
      <c r="D98" s="480">
        <v>0</v>
      </c>
      <c r="F98" s="98">
        <f t="shared" si="12"/>
        <v>0</v>
      </c>
      <c r="I98" s="247">
        <f>(+LandUseLoadingRatesLookUpTable!V27)*F98</f>
        <v>0</v>
      </c>
      <c r="J98" s="247">
        <f>(+LandUseLoadingRatesLookUpTable!AA27)*F98</f>
        <v>0</v>
      </c>
      <c r="K98" s="247">
        <f>(+LandUseLoadingRatesLookUpTable!Q27)*F98</f>
        <v>0</v>
      </c>
    </row>
    <row r="99" spans="1:13" x14ac:dyDescent="0.2">
      <c r="A99" s="91" t="s">
        <v>107</v>
      </c>
      <c r="D99" s="480">
        <v>0</v>
      </c>
      <c r="F99" s="98">
        <f t="shared" si="12"/>
        <v>0</v>
      </c>
      <c r="I99" s="247">
        <f>(+LandUseLoadingRatesLookUpTable!V27)*F99</f>
        <v>0</v>
      </c>
      <c r="J99" s="247">
        <f>(+LandUseLoadingRatesLookUpTable!AA27)*F99</f>
        <v>0</v>
      </c>
      <c r="K99" s="247">
        <f>(+LandUseLoadingRatesLookUpTable!Q27)*F99</f>
        <v>0</v>
      </c>
    </row>
    <row r="100" spans="1:13" x14ac:dyDescent="0.2">
      <c r="A100" s="91" t="s">
        <v>109</v>
      </c>
      <c r="D100" s="480">
        <v>0</v>
      </c>
      <c r="F100" s="98">
        <f t="shared" si="12"/>
        <v>0</v>
      </c>
      <c r="I100" s="247">
        <f>(+LandUseLoadingRatesLookUpTable!V28)*F100</f>
        <v>0</v>
      </c>
      <c r="J100" s="247">
        <f>(+LandUseLoadingRatesLookUpTable!AA28)*F100</f>
        <v>0</v>
      </c>
      <c r="K100" s="247">
        <f>(+LandUseLoadingRatesLookUpTable!Q28)*F100</f>
        <v>0</v>
      </c>
    </row>
    <row r="101" spans="1:13" x14ac:dyDescent="0.2">
      <c r="A101" s="91" t="s">
        <v>111</v>
      </c>
      <c r="D101" s="480">
        <v>0</v>
      </c>
      <c r="F101" s="98">
        <f t="shared" si="12"/>
        <v>0</v>
      </c>
      <c r="I101" s="247">
        <f>(+LandUseLoadingRatesLookUpTable!V29)*F101</f>
        <v>0</v>
      </c>
      <c r="J101" s="247">
        <f>(+LandUseLoadingRatesLookUpTable!AA29)*F101</f>
        <v>0</v>
      </c>
      <c r="K101" s="247">
        <f>(+LandUseLoadingRatesLookUpTable!Q29)*F101</f>
        <v>0</v>
      </c>
      <c r="M101" s="440" t="s">
        <v>505</v>
      </c>
    </row>
    <row r="102" spans="1:13" x14ac:dyDescent="0.2">
      <c r="A102" s="91" t="s">
        <v>113</v>
      </c>
      <c r="D102" s="480">
        <v>0</v>
      </c>
      <c r="F102" s="98">
        <f t="shared" si="12"/>
        <v>0</v>
      </c>
      <c r="I102" s="247">
        <f>(+LandUseLoadingRatesLookUpTable!V24)*F102</f>
        <v>0</v>
      </c>
      <c r="J102" s="247">
        <f>(+LandUseLoadingRatesLookUpTable!AA24)*F102</f>
        <v>0</v>
      </c>
      <c r="K102" s="247">
        <f>(+LandUseLoadingRatesLookUpTable!Q24)*F102</f>
        <v>0</v>
      </c>
      <c r="M102" s="440" t="s">
        <v>520</v>
      </c>
    </row>
    <row r="103" spans="1:13" x14ac:dyDescent="0.2">
      <c r="A103" s="91" t="s">
        <v>115</v>
      </c>
      <c r="D103" s="480">
        <v>0</v>
      </c>
      <c r="F103" s="98">
        <f t="shared" si="12"/>
        <v>0</v>
      </c>
      <c r="I103" s="247">
        <f>(+LandUseLoadingRatesLookUpTable!V19)*F103</f>
        <v>0</v>
      </c>
      <c r="J103" s="247">
        <f>(+LandUseLoadingRatesLookUpTable!AA19)*F103</f>
        <v>0</v>
      </c>
      <c r="K103" s="247">
        <f>(+LandUseLoadingRatesLookUpTable!Q19)*F103</f>
        <v>0</v>
      </c>
    </row>
    <row r="104" spans="1:13" x14ac:dyDescent="0.2">
      <c r="A104" s="91" t="s">
        <v>117</v>
      </c>
      <c r="D104" s="480">
        <v>0</v>
      </c>
      <c r="F104" s="98">
        <f t="shared" si="12"/>
        <v>0</v>
      </c>
      <c r="I104" s="247">
        <f>(+LandUseLoadingRatesLookUpTable!V19)*F104</f>
        <v>0</v>
      </c>
      <c r="J104" s="247">
        <f>(+LandUseLoadingRatesLookUpTable!AA19)*F104</f>
        <v>0</v>
      </c>
      <c r="K104" s="247">
        <f>(+LandUseLoadingRatesLookUpTable!Q19)*F104</f>
        <v>0</v>
      </c>
    </row>
    <row r="105" spans="1:13" x14ac:dyDescent="0.2">
      <c r="A105" s="91" t="s">
        <v>119</v>
      </c>
      <c r="D105" s="480">
        <v>0</v>
      </c>
      <c r="F105" s="98">
        <f t="shared" si="12"/>
        <v>0</v>
      </c>
      <c r="I105" s="247">
        <f>(+LandUseLoadingRatesLookUpTable!V19)*F105</f>
        <v>0</v>
      </c>
      <c r="J105" s="247">
        <f>(+LandUseLoadingRatesLookUpTable!AA19)*F105</f>
        <v>0</v>
      </c>
      <c r="K105" s="247">
        <f>(+LandUseLoadingRatesLookUpTable!Q19)*F105</f>
        <v>0</v>
      </c>
    </row>
    <row r="106" spans="1:13" x14ac:dyDescent="0.2">
      <c r="A106" s="91" t="s">
        <v>121</v>
      </c>
      <c r="D106" s="480">
        <v>0</v>
      </c>
      <c r="F106" s="98">
        <f t="shared" si="12"/>
        <v>0</v>
      </c>
      <c r="I106" s="247">
        <f>(+LandUseLoadingRatesLookUpTable!V19)*F106</f>
        <v>0</v>
      </c>
      <c r="J106" s="247">
        <f>(+LandUseLoadingRatesLookUpTable!AA19)*F106</f>
        <v>0</v>
      </c>
      <c r="K106" s="247">
        <f>(+LandUseLoadingRatesLookUpTable!Q19)*F106</f>
        <v>0</v>
      </c>
    </row>
    <row r="107" spans="1:13" x14ac:dyDescent="0.2">
      <c r="A107" s="91" t="s">
        <v>122</v>
      </c>
      <c r="D107" s="480">
        <v>0</v>
      </c>
      <c r="F107" s="98">
        <f t="shared" si="12"/>
        <v>0</v>
      </c>
      <c r="I107" s="247">
        <f>(+LandUseLoadingRatesLookUpTable!V19)*F107</f>
        <v>0</v>
      </c>
      <c r="J107" s="247">
        <f>(+LandUseLoadingRatesLookUpTable!AA19)*F107</f>
        <v>0</v>
      </c>
      <c r="K107" s="247">
        <f>(+LandUseLoadingRatesLookUpTable!Q19)*F107</f>
        <v>0</v>
      </c>
    </row>
    <row r="108" spans="1:13" x14ac:dyDescent="0.2">
      <c r="A108" s="91" t="s">
        <v>124</v>
      </c>
      <c r="D108" s="480">
        <v>0</v>
      </c>
      <c r="F108" s="98">
        <f t="shared" si="12"/>
        <v>0</v>
      </c>
      <c r="I108" s="247">
        <f>(+LandUseLoadingRatesLookUpTable!V17)*F108</f>
        <v>0</v>
      </c>
      <c r="J108" s="247">
        <f>(+LandUseLoadingRatesLookUpTable!AA17)*F108</f>
        <v>0</v>
      </c>
      <c r="K108" s="247">
        <f>(+LandUseLoadingRatesLookUpTable!Q17)*F108</f>
        <v>0</v>
      </c>
    </row>
    <row r="109" spans="1:13" x14ac:dyDescent="0.2">
      <c r="A109" s="91" t="s">
        <v>126</v>
      </c>
      <c r="D109" s="480">
        <v>0</v>
      </c>
      <c r="F109" s="98">
        <f t="shared" si="12"/>
        <v>0</v>
      </c>
      <c r="I109" s="247">
        <f>(+LandUseLoadingRatesLookUpTable!V18)*F109</f>
        <v>0</v>
      </c>
      <c r="J109" s="247">
        <f>(+LandUseLoadingRatesLookUpTable!AA18)*F109</f>
        <v>0</v>
      </c>
      <c r="K109" s="247">
        <f>(+LandUseLoadingRatesLookUpTable!Q18)*F109</f>
        <v>0</v>
      </c>
    </row>
    <row r="110" spans="1:13" x14ac:dyDescent="0.2">
      <c r="A110" s="91" t="s">
        <v>128</v>
      </c>
      <c r="D110" s="480">
        <v>0</v>
      </c>
      <c r="F110" s="98">
        <f t="shared" si="12"/>
        <v>0</v>
      </c>
      <c r="I110" s="247">
        <f>(+LandUseLoadingRatesLookUpTable!V20)*F110</f>
        <v>0</v>
      </c>
      <c r="J110" s="247">
        <f>(+LandUseLoadingRatesLookUpTable!AA20)*F110</f>
        <v>0</v>
      </c>
      <c r="K110" s="247">
        <f>(+LandUseLoadingRatesLookUpTable!Q20)*F110</f>
        <v>0</v>
      </c>
    </row>
    <row r="111" spans="1:13" x14ac:dyDescent="0.2">
      <c r="A111" s="91" t="s">
        <v>129</v>
      </c>
      <c r="D111" s="480">
        <v>0</v>
      </c>
      <c r="F111" s="98">
        <f t="shared" si="12"/>
        <v>0</v>
      </c>
      <c r="I111" s="247">
        <f>(+LandUseLoadingRatesLookUpTable!V20)*F111</f>
        <v>0</v>
      </c>
      <c r="J111" s="247">
        <f>(+LandUseLoadingRatesLookUpTable!AA20)*F111</f>
        <v>0</v>
      </c>
      <c r="K111" s="247">
        <f>(+LandUseLoadingRatesLookUpTable!Q20)*F111</f>
        <v>0</v>
      </c>
    </row>
    <row r="113" spans="1:11" s="121" customFormat="1" x14ac:dyDescent="0.2">
      <c r="A113" s="121" t="s">
        <v>89</v>
      </c>
      <c r="D113" s="121">
        <f>SUM(D96:D111)</f>
        <v>0</v>
      </c>
      <c r="F113" s="413">
        <f>SUM(F96:F111)</f>
        <v>0</v>
      </c>
      <c r="I113" s="122">
        <f>SUM(I98:I111)</f>
        <v>0</v>
      </c>
      <c r="J113" s="122">
        <f>SUM(J98:J111)</f>
        <v>0</v>
      </c>
      <c r="K113" s="122">
        <f>SUM(K98:K111)</f>
        <v>0</v>
      </c>
    </row>
    <row r="116" spans="1:11" s="96" customFormat="1" x14ac:dyDescent="0.2">
      <c r="A116" s="96" t="s">
        <v>506</v>
      </c>
      <c r="I116" s="441">
        <f>I92+I113</f>
        <v>0</v>
      </c>
      <c r="J116" s="441">
        <f t="shared" ref="J116:K116" si="13">J92+J113</f>
        <v>0</v>
      </c>
      <c r="K116" s="441">
        <f t="shared" si="13"/>
        <v>0</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B53"/>
  <sheetViews>
    <sheetView topLeftCell="A3" zoomScale="60" zoomScaleNormal="60" workbookViewId="0">
      <selection activeCell="AB52" sqref="AB52"/>
    </sheetView>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7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7</v>
      </c>
      <c r="B1" s="6"/>
      <c r="C1" s="6"/>
      <c r="D1" s="6"/>
      <c r="E1" s="6"/>
      <c r="F1" s="6"/>
      <c r="G1" s="6"/>
      <c r="H1" s="6"/>
      <c r="I1" s="6"/>
      <c r="J1" s="6"/>
    </row>
    <row r="3" spans="1:28" x14ac:dyDescent="0.25">
      <c r="A3" s="6" t="str">
        <f>CONCATENATE("Watershed: ",'MMW Output'!B3)</f>
        <v>Watershed: Upper Wissahickon</v>
      </c>
      <c r="B3" s="6"/>
      <c r="C3" s="6"/>
    </row>
    <row r="4" spans="1:28" x14ac:dyDescent="0.25">
      <c r="A4" s="6"/>
      <c r="B4" s="6"/>
      <c r="C4" s="6"/>
    </row>
    <row r="5" spans="1:28" x14ac:dyDescent="0.25">
      <c r="A5" s="6" t="str">
        <f>CONCATENATE("Year: ",'MMW Output'!C16)</f>
        <v>Year: 2018</v>
      </c>
      <c r="B5" s="6"/>
      <c r="C5" s="6"/>
      <c r="D5" s="9"/>
      <c r="E5" s="9"/>
      <c r="F5" s="9"/>
      <c r="G5" s="90"/>
    </row>
    <row r="6" spans="1:28" x14ac:dyDescent="0.25">
      <c r="A6" s="7" t="str">
        <f>CONCATENATE("Source File: ",'MMW Output'!$C$14)</f>
        <v>Source File: User Specified</v>
      </c>
      <c r="D6" s="9"/>
      <c r="E6" s="9"/>
      <c r="F6" s="9"/>
      <c r="G6" s="10"/>
      <c r="I6" s="7">
        <f>COLUMN(LoadRates[TSS_LoadRate_lbPerAcPerY])</f>
        <v>17</v>
      </c>
    </row>
    <row r="7" spans="1:28" x14ac:dyDescent="0.25">
      <c r="A7" s="11"/>
      <c r="D7" s="9"/>
      <c r="E7" s="9"/>
      <c r="F7" s="9"/>
      <c r="G7" s="9"/>
    </row>
    <row r="8" spans="1:28" ht="18" x14ac:dyDescent="0.25">
      <c r="A8" s="12" t="s">
        <v>8</v>
      </c>
      <c r="C8" s="13"/>
      <c r="D8" s="14"/>
      <c r="E8" s="14"/>
      <c r="F8" s="14"/>
      <c r="G8" s="13"/>
    </row>
    <row r="10" spans="1:28" x14ac:dyDescent="0.25">
      <c r="B10" s="15"/>
      <c r="C10" s="16"/>
      <c r="D10" s="16"/>
      <c r="E10" s="16"/>
      <c r="F10" s="16"/>
      <c r="G10" s="16"/>
      <c r="H10" s="16"/>
      <c r="I10" s="16"/>
      <c r="J10" s="16"/>
      <c r="K10" s="16"/>
      <c r="L10" s="16"/>
      <c r="M10" s="16"/>
    </row>
    <row r="11" spans="1:28" x14ac:dyDescent="0.25">
      <c r="B11" s="501" t="s">
        <v>9</v>
      </c>
      <c r="C11" s="501"/>
      <c r="D11" s="501"/>
      <c r="E11" s="501"/>
      <c r="F11" s="501"/>
      <c r="G11" s="501"/>
      <c r="H11" s="501"/>
      <c r="I11" s="501"/>
      <c r="J11" s="501"/>
      <c r="K11" s="501"/>
      <c r="L11" s="501"/>
      <c r="M11" s="501"/>
      <c r="O11" s="502" t="s">
        <v>10</v>
      </c>
      <c r="P11" s="503"/>
      <c r="Q11" s="503"/>
      <c r="R11" s="503"/>
      <c r="S11" s="503"/>
      <c r="T11" s="503"/>
      <c r="U11" s="503"/>
      <c r="V11" s="503"/>
      <c r="W11" s="503"/>
      <c r="X11" s="503"/>
      <c r="Y11" s="503"/>
      <c r="Z11" s="503"/>
      <c r="AA11" s="503"/>
      <c r="AB11" s="503"/>
    </row>
    <row r="13" spans="1:28" ht="16.5" thickBot="1" x14ac:dyDescent="0.3">
      <c r="B13" s="17"/>
      <c r="C13" s="18"/>
      <c r="D13" s="18"/>
      <c r="E13" s="18"/>
      <c r="F13" s="18"/>
      <c r="G13" s="18"/>
      <c r="H13" s="18"/>
      <c r="I13" s="18"/>
      <c r="J13" s="18"/>
      <c r="K13" s="18"/>
      <c r="L13" s="18"/>
      <c r="M13" s="19"/>
      <c r="O13" s="504" t="s">
        <v>11</v>
      </c>
      <c r="P13" s="505"/>
      <c r="Q13" s="506"/>
      <c r="R13" s="20"/>
      <c r="S13" s="504" t="s">
        <v>12</v>
      </c>
      <c r="T13" s="505"/>
      <c r="U13" s="505"/>
      <c r="V13" s="506"/>
      <c r="W13" s="20"/>
      <c r="X13" s="504" t="s">
        <v>13</v>
      </c>
      <c r="Y13" s="505"/>
      <c r="Z13" s="505"/>
      <c r="AA13" s="506"/>
    </row>
    <row r="14" spans="1:28" ht="39" x14ac:dyDescent="0.25">
      <c r="B14" s="21" t="s">
        <v>14</v>
      </c>
      <c r="C14" s="22" t="s">
        <v>15</v>
      </c>
      <c r="D14" s="23" t="s">
        <v>16</v>
      </c>
      <c r="E14" s="23" t="s">
        <v>17</v>
      </c>
      <c r="F14" s="23"/>
      <c r="G14" s="23" t="s">
        <v>18</v>
      </c>
      <c r="H14" s="23" t="s">
        <v>19</v>
      </c>
      <c r="I14" s="23"/>
      <c r="J14" s="23" t="s">
        <v>20</v>
      </c>
      <c r="K14" s="23" t="s">
        <v>21</v>
      </c>
      <c r="L14" s="23"/>
      <c r="M14" s="24" t="s">
        <v>22</v>
      </c>
      <c r="O14" s="25" t="s">
        <v>60</v>
      </c>
      <c r="P14" s="26" t="s">
        <v>61</v>
      </c>
      <c r="Q14" s="27" t="s">
        <v>23</v>
      </c>
      <c r="R14" s="28"/>
      <c r="S14" s="25" t="s">
        <v>62</v>
      </c>
      <c r="T14" s="26" t="s">
        <v>63</v>
      </c>
      <c r="U14" s="26" t="s">
        <v>64</v>
      </c>
      <c r="V14" s="27" t="s">
        <v>24</v>
      </c>
      <c r="W14" s="28"/>
      <c r="X14" s="25" t="s">
        <v>62</v>
      </c>
      <c r="Y14" s="26" t="s">
        <v>63</v>
      </c>
      <c r="Z14" s="26" t="s">
        <v>65</v>
      </c>
      <c r="AA14" s="27" t="s">
        <v>25</v>
      </c>
    </row>
    <row r="15" spans="1:28" x14ac:dyDescent="0.25">
      <c r="B15" s="29" t="s">
        <v>26</v>
      </c>
      <c r="C15" s="30" t="s">
        <v>27</v>
      </c>
      <c r="D15" s="31" t="s">
        <v>28</v>
      </c>
      <c r="E15" s="31" t="s">
        <v>29</v>
      </c>
      <c r="F15" s="31"/>
      <c r="G15" s="31" t="s">
        <v>29</v>
      </c>
      <c r="H15" s="31" t="s">
        <v>30</v>
      </c>
      <c r="I15" s="31"/>
      <c r="J15" s="31" t="s">
        <v>30</v>
      </c>
      <c r="K15" s="31" t="s">
        <v>30</v>
      </c>
      <c r="L15" s="31"/>
      <c r="M15" s="32" t="s">
        <v>30</v>
      </c>
      <c r="O15" s="33" t="s">
        <v>31</v>
      </c>
      <c r="P15" s="34" t="s">
        <v>31</v>
      </c>
      <c r="Q15" s="35" t="s">
        <v>31</v>
      </c>
      <c r="R15" s="36"/>
      <c r="S15" s="33" t="s">
        <v>31</v>
      </c>
      <c r="T15" s="34" t="s">
        <v>31</v>
      </c>
      <c r="U15" s="34" t="s">
        <v>31</v>
      </c>
      <c r="V15" s="35" t="s">
        <v>31</v>
      </c>
      <c r="W15" s="36"/>
      <c r="X15" s="33" t="s">
        <v>31</v>
      </c>
      <c r="Y15" s="34" t="s">
        <v>31</v>
      </c>
      <c r="Z15" s="34" t="s">
        <v>31</v>
      </c>
      <c r="AA15" s="35" t="s">
        <v>31</v>
      </c>
    </row>
    <row r="16" spans="1:28" s="369" customFormat="1" ht="12.75" x14ac:dyDescent="0.2">
      <c r="A16" s="368"/>
      <c r="B16" s="405" t="s">
        <v>14</v>
      </c>
      <c r="C16" s="406" t="s">
        <v>455</v>
      </c>
      <c r="D16" s="406" t="s">
        <v>456</v>
      </c>
      <c r="E16" s="406" t="s">
        <v>457</v>
      </c>
      <c r="F16" s="406" t="s">
        <v>429</v>
      </c>
      <c r="G16" s="406" t="s">
        <v>458</v>
      </c>
      <c r="H16" s="406" t="s">
        <v>459</v>
      </c>
      <c r="I16" s="406" t="s">
        <v>474</v>
      </c>
      <c r="J16" s="406" t="s">
        <v>460</v>
      </c>
      <c r="K16" s="406" t="s">
        <v>461</v>
      </c>
      <c r="L16" s="406" t="s">
        <v>475</v>
      </c>
      <c r="M16" s="406" t="s">
        <v>462</v>
      </c>
      <c r="N16" s="405" t="s">
        <v>476</v>
      </c>
      <c r="O16" s="405" t="s">
        <v>464</v>
      </c>
      <c r="P16" s="405" t="s">
        <v>465</v>
      </c>
      <c r="Q16" s="405" t="s">
        <v>463</v>
      </c>
      <c r="R16" s="405" t="s">
        <v>477</v>
      </c>
      <c r="S16" s="405" t="s">
        <v>466</v>
      </c>
      <c r="T16" s="405" t="s">
        <v>467</v>
      </c>
      <c r="U16" s="405" t="s">
        <v>468</v>
      </c>
      <c r="V16" s="405" t="s">
        <v>469</v>
      </c>
      <c r="W16" s="405" t="s">
        <v>478</v>
      </c>
      <c r="X16" s="405" t="s">
        <v>470</v>
      </c>
      <c r="Y16" s="405" t="s">
        <v>471</v>
      </c>
      <c r="Z16" s="405" t="s">
        <v>472</v>
      </c>
      <c r="AA16" s="407" t="s">
        <v>473</v>
      </c>
      <c r="AB16" s="368"/>
    </row>
    <row r="17" spans="1:28" x14ac:dyDescent="0.25">
      <c r="A17" s="495" t="s">
        <v>35</v>
      </c>
      <c r="B17" s="370" t="s">
        <v>36</v>
      </c>
      <c r="C17" s="371">
        <f>+'MMW Output'!C22</f>
        <v>0</v>
      </c>
      <c r="D17" s="372" t="e">
        <f>+'MMW Output'!#REF!</f>
        <v>#REF!</v>
      </c>
      <c r="E17" s="372" t="e">
        <f>+'MMW Output'!#REF!</f>
        <v>#REF!</v>
      </c>
      <c r="F17" s="372"/>
      <c r="G17" s="372">
        <f>+'MMW Output'!D22</f>
        <v>0</v>
      </c>
      <c r="H17" s="372" t="e">
        <f>+'MMW Output'!#REF!</f>
        <v>#REF!</v>
      </c>
      <c r="I17" s="372"/>
      <c r="J17" s="372">
        <f>+'MMW Output'!E22</f>
        <v>0</v>
      </c>
      <c r="K17" s="372" t="e">
        <f>+'MMW Output'!#REF!</f>
        <v>#REF!</v>
      </c>
      <c r="L17" s="372"/>
      <c r="M17" s="372">
        <f>+'MMW Output'!F22</f>
        <v>0</v>
      </c>
      <c r="N17" s="373"/>
      <c r="O17" s="374">
        <f t="shared" ref="O17:O32" si="0">IF(C17=0,0,(G17*2000/C17))</f>
        <v>0</v>
      </c>
      <c r="P17" s="374">
        <f>IF(C17=0,0,'Stream Bank SedimentLoadingRate'!C$165)</f>
        <v>0</v>
      </c>
      <c r="Q17" s="375">
        <f>SUM(O17:P17)</f>
        <v>0</v>
      </c>
      <c r="R17" s="376"/>
      <c r="S17" s="374">
        <f t="shared" ref="S17:S32" si="1">IF(C17=0,0,ROUND((J17/C17),2))</f>
        <v>0</v>
      </c>
      <c r="T17" s="377">
        <f>IF(C17=0,0,ROUND('Stream Bank Nitrogen Loading'!$C$162,2))</f>
        <v>0</v>
      </c>
      <c r="U17" s="378">
        <f>IF(C17=0,0,ROUND('Farm Animal TN and TP Loading'!$D$35,2))</f>
        <v>0</v>
      </c>
      <c r="V17" s="379">
        <f>SUM(S17:U17)</f>
        <v>0</v>
      </c>
      <c r="W17" s="376"/>
      <c r="X17" s="374">
        <f t="shared" ref="X17:X32" si="2">IF(C17=0,0,ROUND((M17/C17),2))</f>
        <v>0</v>
      </c>
      <c r="Y17" s="374">
        <f>IF(C17=0,0,ROUND('Stream Bank Phosphorus Loading'!C$162,2))</f>
        <v>0</v>
      </c>
      <c r="Z17" s="378">
        <f>IF(C17=0,0,ROUND('Farm Animal TN and TP Loading'!$E$35,2))</f>
        <v>0</v>
      </c>
      <c r="AA17" s="39">
        <f>SUM(X17:Z17)</f>
        <v>0</v>
      </c>
      <c r="AB17" s="40" t="s">
        <v>36</v>
      </c>
    </row>
    <row r="18" spans="1:28" x14ac:dyDescent="0.25">
      <c r="A18" s="496"/>
      <c r="B18" s="380" t="s">
        <v>37</v>
      </c>
      <c r="C18" s="381">
        <f>+'MMW Output'!C23</f>
        <v>0</v>
      </c>
      <c r="D18" s="382" t="e">
        <f>+'MMW Output'!#REF!</f>
        <v>#REF!</v>
      </c>
      <c r="E18" s="382" t="e">
        <f>+'MMW Output'!#REF!</f>
        <v>#REF!</v>
      </c>
      <c r="F18" s="382"/>
      <c r="G18" s="382">
        <f>+'MMW Output'!D23</f>
        <v>0</v>
      </c>
      <c r="H18" s="382" t="e">
        <f>+'MMW Output'!#REF!</f>
        <v>#REF!</v>
      </c>
      <c r="I18" s="382"/>
      <c r="J18" s="382">
        <f>+'MMW Output'!E23</f>
        <v>0</v>
      </c>
      <c r="K18" s="382" t="e">
        <f>+'MMW Output'!#REF!</f>
        <v>#REF!</v>
      </c>
      <c r="L18" s="382"/>
      <c r="M18" s="382">
        <f>+'MMW Output'!F23</f>
        <v>0</v>
      </c>
      <c r="N18" s="383"/>
      <c r="O18" s="384">
        <f t="shared" si="0"/>
        <v>0</v>
      </c>
      <c r="P18" s="384">
        <f>IF(C18=0,0,'Stream Bank SedimentLoadingRate'!C$165)</f>
        <v>0</v>
      </c>
      <c r="Q18" s="385">
        <f t="shared" ref="Q18:Q32" si="3">SUM(O18:P18)</f>
        <v>0</v>
      </c>
      <c r="R18" s="386"/>
      <c r="S18" s="384">
        <f t="shared" si="1"/>
        <v>0</v>
      </c>
      <c r="T18" s="387">
        <f>IF(C18=0,0,ROUND('Stream Bank Nitrogen Loading'!$C$162,2))</f>
        <v>0</v>
      </c>
      <c r="U18" s="388">
        <f>IF(C18=0,0,ROUND('Farm Animal TN and TP Loading'!$D$35,2))</f>
        <v>0</v>
      </c>
      <c r="V18" s="389">
        <f t="shared" ref="V18:V32" si="4">SUM(S18:U18)</f>
        <v>0</v>
      </c>
      <c r="W18" s="386"/>
      <c r="X18" s="384">
        <f t="shared" si="2"/>
        <v>0</v>
      </c>
      <c r="Y18" s="374">
        <f>IF(C18=0,0,ROUND('Stream Bank Phosphorus Loading'!C$162,2))</f>
        <v>0</v>
      </c>
      <c r="Z18" s="388">
        <f>IF(C18=0,0,ROUND('Farm Animal TN and TP Loading'!$E$35,2))</f>
        <v>0</v>
      </c>
      <c r="AA18" s="390">
        <f t="shared" ref="AA18:AA32" si="5">SUM(X18:Z18)</f>
        <v>0</v>
      </c>
      <c r="AB18" s="41" t="s">
        <v>37</v>
      </c>
    </row>
    <row r="19" spans="1:28" x14ac:dyDescent="0.25">
      <c r="A19" s="496"/>
      <c r="B19" s="391" t="s">
        <v>38</v>
      </c>
      <c r="C19" s="392">
        <f>+'MMW Output'!C24</f>
        <v>0</v>
      </c>
      <c r="D19" s="393" t="e">
        <f>+'MMW Output'!#REF!</f>
        <v>#REF!</v>
      </c>
      <c r="E19" s="393" t="e">
        <f>+'MMW Output'!#REF!</f>
        <v>#REF!</v>
      </c>
      <c r="F19" s="393"/>
      <c r="G19" s="393">
        <f>+'MMW Output'!D24</f>
        <v>0</v>
      </c>
      <c r="H19" s="393" t="e">
        <f>+'MMW Output'!#REF!</f>
        <v>#REF!</v>
      </c>
      <c r="I19" s="393"/>
      <c r="J19" s="393">
        <f>+'MMW Output'!E24</f>
        <v>0</v>
      </c>
      <c r="K19" s="393" t="e">
        <f>+'MMW Output'!#REF!</f>
        <v>#REF!</v>
      </c>
      <c r="L19" s="393"/>
      <c r="M19" s="393">
        <f>+'MMW Output'!F24</f>
        <v>0</v>
      </c>
      <c r="N19" s="394"/>
      <c r="O19" s="384">
        <f t="shared" si="0"/>
        <v>0</v>
      </c>
      <c r="P19" s="384">
        <f>IF(C19=0,0,'Stream Bank SedimentLoadingRate'!C$165)</f>
        <v>0</v>
      </c>
      <c r="Q19" s="395">
        <f t="shared" si="3"/>
        <v>0</v>
      </c>
      <c r="R19" s="396"/>
      <c r="S19" s="384">
        <f t="shared" si="1"/>
        <v>0</v>
      </c>
      <c r="T19" s="387">
        <f>IF(C19=0,0,ROUND('Stream Bank Nitrogen Loading'!$C$162,2))</f>
        <v>0</v>
      </c>
      <c r="U19" s="388" t="s">
        <v>39</v>
      </c>
      <c r="V19" s="397">
        <f>SUM(S19:U19)</f>
        <v>0</v>
      </c>
      <c r="W19" s="396"/>
      <c r="X19" s="384">
        <f t="shared" si="2"/>
        <v>0</v>
      </c>
      <c r="Y19" s="374">
        <f>IF(C19=0,0,ROUND('Stream Bank Phosphorus Loading'!C$162,2))</f>
        <v>0</v>
      </c>
      <c r="Z19" s="388" t="s">
        <v>39</v>
      </c>
      <c r="AA19" s="398">
        <f t="shared" si="5"/>
        <v>0</v>
      </c>
      <c r="AB19" s="42" t="s">
        <v>38</v>
      </c>
    </row>
    <row r="20" spans="1:28" x14ac:dyDescent="0.25">
      <c r="A20" s="496"/>
      <c r="B20" s="380" t="s">
        <v>40</v>
      </c>
      <c r="C20" s="381">
        <f>+'MMW Output'!C25</f>
        <v>0</v>
      </c>
      <c r="D20" s="382" t="e">
        <f>+'MMW Output'!#REF!</f>
        <v>#REF!</v>
      </c>
      <c r="E20" s="382" t="e">
        <f>+'MMW Output'!#REF!</f>
        <v>#REF!</v>
      </c>
      <c r="F20" s="382"/>
      <c r="G20" s="382">
        <f>+'MMW Output'!D25</f>
        <v>0</v>
      </c>
      <c r="H20" s="382" t="e">
        <f>+'MMW Output'!#REF!</f>
        <v>#REF!</v>
      </c>
      <c r="I20" s="382"/>
      <c r="J20" s="382">
        <f>+'MMW Output'!E25</f>
        <v>0</v>
      </c>
      <c r="K20" s="382" t="e">
        <f>+'MMW Output'!#REF!</f>
        <v>#REF!</v>
      </c>
      <c r="L20" s="382"/>
      <c r="M20" s="382">
        <f>+'MMW Output'!F25</f>
        <v>0</v>
      </c>
      <c r="N20" s="383"/>
      <c r="O20" s="384">
        <f t="shared" si="0"/>
        <v>0</v>
      </c>
      <c r="P20" s="384">
        <f>IF(C20=0,0,'Stream Bank SedimentLoadingRate'!C$165)</f>
        <v>0</v>
      </c>
      <c r="Q20" s="385">
        <f t="shared" si="3"/>
        <v>0</v>
      </c>
      <c r="R20" s="386"/>
      <c r="S20" s="384">
        <f t="shared" si="1"/>
        <v>0</v>
      </c>
      <c r="T20" s="387">
        <f>IF(C20=0,0,ROUND('Stream Bank Nitrogen Loading'!$C$162,2))</f>
        <v>0</v>
      </c>
      <c r="U20" s="399" t="s">
        <v>39</v>
      </c>
      <c r="V20" s="389">
        <f t="shared" si="4"/>
        <v>0</v>
      </c>
      <c r="W20" s="386"/>
      <c r="X20" s="384">
        <f t="shared" si="2"/>
        <v>0</v>
      </c>
      <c r="Y20" s="374">
        <f>IF(C20=0,0,ROUND('Stream Bank Phosphorus Loading'!C$162,2))</f>
        <v>0</v>
      </c>
      <c r="Z20" s="399" t="s">
        <v>39</v>
      </c>
      <c r="AA20" s="390">
        <f t="shared" si="5"/>
        <v>0</v>
      </c>
      <c r="AB20" s="41" t="s">
        <v>40</v>
      </c>
    </row>
    <row r="21" spans="1:28" x14ac:dyDescent="0.25">
      <c r="A21" s="496"/>
      <c r="B21" s="391" t="s">
        <v>41</v>
      </c>
      <c r="C21" s="392">
        <f>+'MMW Output'!C26</f>
        <v>0</v>
      </c>
      <c r="D21" s="393" t="e">
        <f>+'MMW Output'!#REF!</f>
        <v>#REF!</v>
      </c>
      <c r="E21" s="393" t="e">
        <f>+'MMW Output'!#REF!</f>
        <v>#REF!</v>
      </c>
      <c r="F21" s="393"/>
      <c r="G21" s="393">
        <f>+'MMW Output'!D26</f>
        <v>0</v>
      </c>
      <c r="H21" s="393" t="e">
        <f>+'MMW Output'!#REF!</f>
        <v>#REF!</v>
      </c>
      <c r="I21" s="393"/>
      <c r="J21" s="393">
        <f>+'MMW Output'!E26</f>
        <v>0</v>
      </c>
      <c r="K21" s="393" t="e">
        <f>+'MMW Output'!#REF!</f>
        <v>#REF!</v>
      </c>
      <c r="L21" s="393"/>
      <c r="M21" s="393">
        <f>+'MMW Output'!F26</f>
        <v>0</v>
      </c>
      <c r="N21" s="394"/>
      <c r="O21" s="384">
        <f t="shared" si="0"/>
        <v>0</v>
      </c>
      <c r="P21" s="384">
        <f>IF(C21=0,0,'Stream Bank SedimentLoadingRate'!C$165)</f>
        <v>0</v>
      </c>
      <c r="Q21" s="395">
        <f t="shared" si="3"/>
        <v>0</v>
      </c>
      <c r="R21" s="396"/>
      <c r="S21" s="384">
        <f t="shared" si="1"/>
        <v>0</v>
      </c>
      <c r="T21" s="387">
        <f>IF(C21=0,0,ROUND('Stream Bank Nitrogen Loading'!$C$162,2))</f>
        <v>0</v>
      </c>
      <c r="U21" s="388" t="s">
        <v>39</v>
      </c>
      <c r="V21" s="397">
        <f t="shared" si="4"/>
        <v>0</v>
      </c>
      <c r="W21" s="396"/>
      <c r="X21" s="384">
        <f t="shared" si="2"/>
        <v>0</v>
      </c>
      <c r="Y21" s="374">
        <f>IF(C21=0,0,ROUND('Stream Bank Phosphorus Loading'!C$162,2))</f>
        <v>0</v>
      </c>
      <c r="Z21" s="388" t="s">
        <v>39</v>
      </c>
      <c r="AA21" s="398">
        <f t="shared" si="5"/>
        <v>0</v>
      </c>
      <c r="AB21" s="42" t="s">
        <v>41</v>
      </c>
    </row>
    <row r="22" spans="1:28" x14ac:dyDescent="0.25">
      <c r="A22" s="496"/>
      <c r="B22" s="380" t="s">
        <v>42</v>
      </c>
      <c r="C22" s="381">
        <f>+'MMW Output'!C27</f>
        <v>0</v>
      </c>
      <c r="D22" s="382" t="e">
        <f>+'MMW Output'!#REF!</f>
        <v>#REF!</v>
      </c>
      <c r="E22" s="382" t="e">
        <f>+'MMW Output'!#REF!</f>
        <v>#REF!</v>
      </c>
      <c r="F22" s="382"/>
      <c r="G22" s="382">
        <f>+'MMW Output'!D27</f>
        <v>0</v>
      </c>
      <c r="H22" s="382" t="e">
        <f>+'MMW Output'!#REF!</f>
        <v>#REF!</v>
      </c>
      <c r="I22" s="382"/>
      <c r="J22" s="382">
        <f>+'MMW Output'!E27</f>
        <v>0</v>
      </c>
      <c r="K22" s="382" t="e">
        <f>+'MMW Output'!#REF!</f>
        <v>#REF!</v>
      </c>
      <c r="L22" s="382"/>
      <c r="M22" s="382">
        <f>+'MMW Output'!F27</f>
        <v>0</v>
      </c>
      <c r="N22" s="383"/>
      <c r="O22" s="384">
        <f t="shared" si="0"/>
        <v>0</v>
      </c>
      <c r="P22" s="384">
        <f>IF(C22=0,0,'Stream Bank SedimentLoadingRate'!C$165)</f>
        <v>0</v>
      </c>
      <c r="Q22" s="385">
        <f t="shared" si="3"/>
        <v>0</v>
      </c>
      <c r="R22" s="386"/>
      <c r="S22" s="384">
        <f t="shared" si="1"/>
        <v>0</v>
      </c>
      <c r="T22" s="387">
        <f>IF(C22=0,0,ROUND('Stream Bank Nitrogen Loading'!$C$162,2))</f>
        <v>0</v>
      </c>
      <c r="U22" s="399" t="s">
        <v>39</v>
      </c>
      <c r="V22" s="389">
        <f t="shared" si="4"/>
        <v>0</v>
      </c>
      <c r="W22" s="386"/>
      <c r="X22" s="384">
        <f t="shared" si="2"/>
        <v>0</v>
      </c>
      <c r="Y22" s="374">
        <f>IF(C22=0,0,ROUND('Stream Bank Phosphorus Loading'!C$162,2))</f>
        <v>0</v>
      </c>
      <c r="Z22" s="399" t="s">
        <v>39</v>
      </c>
      <c r="AA22" s="390">
        <f t="shared" si="5"/>
        <v>0</v>
      </c>
      <c r="AB22" s="41" t="s">
        <v>42</v>
      </c>
    </row>
    <row r="23" spans="1:28" x14ac:dyDescent="0.25">
      <c r="A23" s="496"/>
      <c r="B23" s="391" t="s">
        <v>43</v>
      </c>
      <c r="C23" s="392">
        <f>+'MMW Output'!C28</f>
        <v>0</v>
      </c>
      <c r="D23" s="393" t="e">
        <f>+'MMW Output'!#REF!</f>
        <v>#REF!</v>
      </c>
      <c r="E23" s="393" t="e">
        <f>+'MMW Output'!#REF!</f>
        <v>#REF!</v>
      </c>
      <c r="F23" s="393"/>
      <c r="G23" s="393">
        <f>+'MMW Output'!D28</f>
        <v>0</v>
      </c>
      <c r="H23" s="393" t="e">
        <f>+'MMW Output'!#REF!</f>
        <v>#REF!</v>
      </c>
      <c r="I23" s="393"/>
      <c r="J23" s="393">
        <f>+'MMW Output'!E28</f>
        <v>0</v>
      </c>
      <c r="K23" s="393" t="e">
        <f>+'MMW Output'!#REF!</f>
        <v>#REF!</v>
      </c>
      <c r="L23" s="393"/>
      <c r="M23" s="393">
        <f>+'MMW Output'!F28</f>
        <v>0</v>
      </c>
      <c r="N23" s="394"/>
      <c r="O23" s="384">
        <f t="shared" si="0"/>
        <v>0</v>
      </c>
      <c r="P23" s="384">
        <f>IF(C23=0,0,'Stream Bank SedimentLoadingRate'!C$165)</f>
        <v>0</v>
      </c>
      <c r="Q23" s="395">
        <f t="shared" si="3"/>
        <v>0</v>
      </c>
      <c r="R23" s="396"/>
      <c r="S23" s="384">
        <f t="shared" si="1"/>
        <v>0</v>
      </c>
      <c r="T23" s="387">
        <f>IF(C23=0,0,ROUND('Stream Bank Nitrogen Loading'!$C$162,2))</f>
        <v>0</v>
      </c>
      <c r="U23" s="388" t="s">
        <v>39</v>
      </c>
      <c r="V23" s="397">
        <f t="shared" si="4"/>
        <v>0</v>
      </c>
      <c r="W23" s="396"/>
      <c r="X23" s="384">
        <f t="shared" si="2"/>
        <v>0</v>
      </c>
      <c r="Y23" s="374">
        <f>IF(C23=0,0,ROUND('Stream Bank Phosphorus Loading'!C$162,2))</f>
        <v>0</v>
      </c>
      <c r="Z23" s="388" t="s">
        <v>39</v>
      </c>
      <c r="AA23" s="398">
        <f t="shared" si="5"/>
        <v>0</v>
      </c>
      <c r="AB23" s="42" t="s">
        <v>43</v>
      </c>
    </row>
    <row r="24" spans="1:28" x14ac:dyDescent="0.25">
      <c r="A24" s="496"/>
      <c r="B24" s="380" t="s">
        <v>44</v>
      </c>
      <c r="C24" s="381">
        <f>+'MMW Output'!C29</f>
        <v>0</v>
      </c>
      <c r="D24" s="382" t="e">
        <f>+'MMW Output'!#REF!</f>
        <v>#REF!</v>
      </c>
      <c r="E24" s="382" t="e">
        <f>+'MMW Output'!#REF!</f>
        <v>#REF!</v>
      </c>
      <c r="F24" s="382"/>
      <c r="G24" s="382">
        <f>+'MMW Output'!D29</f>
        <v>0</v>
      </c>
      <c r="H24" s="382" t="e">
        <f>+'MMW Output'!#REF!</f>
        <v>#REF!</v>
      </c>
      <c r="I24" s="382"/>
      <c r="J24" s="382">
        <f>+'MMW Output'!E29</f>
        <v>0</v>
      </c>
      <c r="K24" s="382" t="e">
        <f>+'MMW Output'!#REF!</f>
        <v>#REF!</v>
      </c>
      <c r="L24" s="382"/>
      <c r="M24" s="382">
        <f>+'MMW Output'!F29</f>
        <v>0</v>
      </c>
      <c r="N24" s="383"/>
      <c r="O24" s="384">
        <f t="shared" si="0"/>
        <v>0</v>
      </c>
      <c r="P24" s="384">
        <f>IF(C24=0,0,'Stream Bank SedimentLoadingRate'!C$165)</f>
        <v>0</v>
      </c>
      <c r="Q24" s="385">
        <f t="shared" si="3"/>
        <v>0</v>
      </c>
      <c r="R24" s="386"/>
      <c r="S24" s="384">
        <f t="shared" si="1"/>
        <v>0</v>
      </c>
      <c r="T24" s="387">
        <f>IF(C24=0,0,ROUND('Stream Bank Nitrogen Loading'!$C$162,2))</f>
        <v>0</v>
      </c>
      <c r="U24" s="399" t="s">
        <v>39</v>
      </c>
      <c r="V24" s="389">
        <f t="shared" si="4"/>
        <v>0</v>
      </c>
      <c r="W24" s="386"/>
      <c r="X24" s="384">
        <f t="shared" si="2"/>
        <v>0</v>
      </c>
      <c r="Y24" s="374">
        <f>IF(C24=0,0,ROUND('Stream Bank Phosphorus Loading'!C$162,2))</f>
        <v>0</v>
      </c>
      <c r="Z24" s="399" t="s">
        <v>39</v>
      </c>
      <c r="AA24" s="390">
        <f t="shared" si="5"/>
        <v>0</v>
      </c>
      <c r="AB24" s="41" t="s">
        <v>44</v>
      </c>
    </row>
    <row r="25" spans="1:28" x14ac:dyDescent="0.25">
      <c r="A25" s="496"/>
      <c r="B25" s="391" t="s">
        <v>45</v>
      </c>
      <c r="C25" s="392">
        <f>+'MMW Output'!C30</f>
        <v>0</v>
      </c>
      <c r="D25" s="393" t="e">
        <f>+'MMW Output'!#REF!</f>
        <v>#REF!</v>
      </c>
      <c r="E25" s="393" t="e">
        <f>+'MMW Output'!#REF!</f>
        <v>#REF!</v>
      </c>
      <c r="F25" s="393"/>
      <c r="G25" s="393">
        <f>+'MMW Output'!D30</f>
        <v>0</v>
      </c>
      <c r="H25" s="393" t="e">
        <f>+'MMW Output'!#REF!</f>
        <v>#REF!</v>
      </c>
      <c r="I25" s="393"/>
      <c r="J25" s="393">
        <f>+'MMW Output'!E30</f>
        <v>0</v>
      </c>
      <c r="K25" s="393" t="e">
        <f>+'MMW Output'!#REF!</f>
        <v>#REF!</v>
      </c>
      <c r="L25" s="393"/>
      <c r="M25" s="393">
        <f>+'MMW Output'!F30</f>
        <v>0</v>
      </c>
      <c r="N25" s="394"/>
      <c r="O25" s="384">
        <f t="shared" si="0"/>
        <v>0</v>
      </c>
      <c r="P25" s="384">
        <f>IF(C25=0,0,'Stream Bank SedimentLoadingRate'!C$165)</f>
        <v>0</v>
      </c>
      <c r="Q25" s="395">
        <f t="shared" si="3"/>
        <v>0</v>
      </c>
      <c r="R25" s="396"/>
      <c r="S25" s="384">
        <f t="shared" si="1"/>
        <v>0</v>
      </c>
      <c r="T25" s="387">
        <f>IF(C25=0,0,ROUND('Stream Bank Nitrogen Loading'!$C$162,2))</f>
        <v>0</v>
      </c>
      <c r="U25" s="388" t="s">
        <v>39</v>
      </c>
      <c r="V25" s="397">
        <f t="shared" si="4"/>
        <v>0</v>
      </c>
      <c r="W25" s="396"/>
      <c r="X25" s="384">
        <f t="shared" si="2"/>
        <v>0</v>
      </c>
      <c r="Y25" s="374">
        <f>IF(C25=0,0,ROUND('Stream Bank Phosphorus Loading'!C$162,2))</f>
        <v>0</v>
      </c>
      <c r="Z25" s="388" t="s">
        <v>39</v>
      </c>
      <c r="AA25" s="398">
        <f t="shared" si="5"/>
        <v>0</v>
      </c>
      <c r="AB25" s="42" t="s">
        <v>45</v>
      </c>
    </row>
    <row r="26" spans="1:28" x14ac:dyDescent="0.25">
      <c r="A26" s="496"/>
      <c r="B26" s="380" t="s">
        <v>46</v>
      </c>
      <c r="C26" s="381">
        <f>+'MMW Output'!C31</f>
        <v>0</v>
      </c>
      <c r="D26" s="382" t="e">
        <f>+'MMW Output'!#REF!</f>
        <v>#REF!</v>
      </c>
      <c r="E26" s="382" t="e">
        <f>+'MMW Output'!#REF!</f>
        <v>#REF!</v>
      </c>
      <c r="F26" s="382"/>
      <c r="G26" s="382">
        <f>+'MMW Output'!D31</f>
        <v>0</v>
      </c>
      <c r="H26" s="382" t="e">
        <f>+'MMW Output'!#REF!</f>
        <v>#REF!</v>
      </c>
      <c r="I26" s="382"/>
      <c r="J26" s="382">
        <f>+'MMW Output'!E31</f>
        <v>0</v>
      </c>
      <c r="K26" s="382" t="e">
        <f>+'MMW Output'!#REF!</f>
        <v>#REF!</v>
      </c>
      <c r="L26" s="382"/>
      <c r="M26" s="382">
        <f>+'MMW Output'!F31</f>
        <v>0</v>
      </c>
      <c r="N26" s="383"/>
      <c r="O26" s="384">
        <f t="shared" si="0"/>
        <v>0</v>
      </c>
      <c r="P26" s="384">
        <f>IF(C26=0,0,'Stream Bank SedimentLoadingRate'!C$165)</f>
        <v>0</v>
      </c>
      <c r="Q26" s="385">
        <f t="shared" si="3"/>
        <v>0</v>
      </c>
      <c r="R26" s="386"/>
      <c r="S26" s="384">
        <f t="shared" si="1"/>
        <v>0</v>
      </c>
      <c r="T26" s="387">
        <f>IF(C26=0,0,ROUND('Stream Bank Nitrogen Loading'!$C$162,2))</f>
        <v>0</v>
      </c>
      <c r="U26" s="399" t="s">
        <v>39</v>
      </c>
      <c r="V26" s="389">
        <f t="shared" si="4"/>
        <v>0</v>
      </c>
      <c r="W26" s="386"/>
      <c r="X26" s="384">
        <f t="shared" si="2"/>
        <v>0</v>
      </c>
      <c r="Y26" s="374">
        <f>IF(C26=0,0,ROUND('Stream Bank Phosphorus Loading'!C$162,2))</f>
        <v>0</v>
      </c>
      <c r="Z26" s="399" t="s">
        <v>39</v>
      </c>
      <c r="AA26" s="390">
        <f t="shared" si="5"/>
        <v>0</v>
      </c>
      <c r="AB26" s="41" t="s">
        <v>46</v>
      </c>
    </row>
    <row r="27" spans="1:28" x14ac:dyDescent="0.25">
      <c r="A27" s="496"/>
      <c r="B27" s="391" t="s">
        <v>47</v>
      </c>
      <c r="C27" s="392">
        <f>+'MMW Output'!C32</f>
        <v>0</v>
      </c>
      <c r="D27" s="393" t="e">
        <f>+'MMW Output'!#REF!</f>
        <v>#REF!</v>
      </c>
      <c r="E27" s="393" t="e">
        <f>+'MMW Output'!#REF!</f>
        <v>#REF!</v>
      </c>
      <c r="F27" s="393"/>
      <c r="G27" s="393">
        <f>+'MMW Output'!D32</f>
        <v>0</v>
      </c>
      <c r="H27" s="393" t="e">
        <f>+'MMW Output'!#REF!</f>
        <v>#REF!</v>
      </c>
      <c r="I27" s="393"/>
      <c r="J27" s="393">
        <f>+'MMW Output'!E32</f>
        <v>0</v>
      </c>
      <c r="K27" s="393" t="e">
        <f>+'MMW Output'!#REF!</f>
        <v>#REF!</v>
      </c>
      <c r="L27" s="393"/>
      <c r="M27" s="393">
        <f>+'MMW Output'!F32</f>
        <v>0</v>
      </c>
      <c r="N27" s="394"/>
      <c r="O27" s="384">
        <f t="shared" si="0"/>
        <v>0</v>
      </c>
      <c r="P27" s="384">
        <f>IF(C27=0,0,'Stream Bank SedimentLoadingRate'!E151)</f>
        <v>0</v>
      </c>
      <c r="Q27" s="395">
        <f t="shared" si="3"/>
        <v>0</v>
      </c>
      <c r="R27" s="396"/>
      <c r="S27" s="384">
        <f t="shared" si="1"/>
        <v>0</v>
      </c>
      <c r="T27" s="387">
        <f>IF(C27=0,0,ROUND('Stream Bank Nitrogen Loading'!E148,2))</f>
        <v>0</v>
      </c>
      <c r="U27" s="388" t="s">
        <v>39</v>
      </c>
      <c r="V27" s="397">
        <f t="shared" si="4"/>
        <v>0</v>
      </c>
      <c r="W27" s="396"/>
      <c r="X27" s="384">
        <f t="shared" si="2"/>
        <v>0</v>
      </c>
      <c r="Y27" s="384">
        <f>IF(C27=0,0,ROUND('Stream Bank Phosphorus Loading'!E148,2))</f>
        <v>0</v>
      </c>
      <c r="Z27" s="388" t="s">
        <v>39</v>
      </c>
      <c r="AA27" s="398">
        <f t="shared" si="5"/>
        <v>0</v>
      </c>
      <c r="AB27" s="42" t="s">
        <v>47</v>
      </c>
    </row>
    <row r="28" spans="1:28" x14ac:dyDescent="0.25">
      <c r="A28" s="496"/>
      <c r="B28" s="380" t="s">
        <v>48</v>
      </c>
      <c r="C28" s="381">
        <f>+'MMW Output'!C33</f>
        <v>0</v>
      </c>
      <c r="D28" s="382" t="e">
        <f>+'MMW Output'!#REF!</f>
        <v>#REF!</v>
      </c>
      <c r="E28" s="382" t="e">
        <f>+'MMW Output'!#REF!</f>
        <v>#REF!</v>
      </c>
      <c r="F28" s="382"/>
      <c r="G28" s="382">
        <f>+'MMW Output'!D33</f>
        <v>0</v>
      </c>
      <c r="H28" s="382" t="e">
        <f>+'MMW Output'!#REF!</f>
        <v>#REF!</v>
      </c>
      <c r="I28" s="382"/>
      <c r="J28" s="382">
        <f>+'MMW Output'!E33</f>
        <v>0</v>
      </c>
      <c r="K28" s="382" t="e">
        <f>+'MMW Output'!#REF!</f>
        <v>#REF!</v>
      </c>
      <c r="L28" s="382"/>
      <c r="M28" s="382">
        <f>+'MMW Output'!F33</f>
        <v>0</v>
      </c>
      <c r="N28" s="383"/>
      <c r="O28" s="384">
        <f t="shared" si="0"/>
        <v>0</v>
      </c>
      <c r="P28" s="384">
        <f>IF(C28=0,0,'Stream Bank SedimentLoadingRate'!E152)</f>
        <v>0</v>
      </c>
      <c r="Q28" s="385">
        <f t="shared" si="3"/>
        <v>0</v>
      </c>
      <c r="R28" s="386"/>
      <c r="S28" s="384">
        <f t="shared" si="1"/>
        <v>0</v>
      </c>
      <c r="T28" s="387">
        <f>IF(C28=0,0,ROUND('Stream Bank Nitrogen Loading'!E149,2))</f>
        <v>0</v>
      </c>
      <c r="U28" s="399" t="s">
        <v>39</v>
      </c>
      <c r="V28" s="389">
        <f t="shared" si="4"/>
        <v>0</v>
      </c>
      <c r="W28" s="386"/>
      <c r="X28" s="384">
        <f t="shared" si="2"/>
        <v>0</v>
      </c>
      <c r="Y28" s="384">
        <f>IF(C28=0,0,ROUND('Stream Bank Phosphorus Loading'!E149,2))</f>
        <v>0</v>
      </c>
      <c r="Z28" s="399" t="s">
        <v>39</v>
      </c>
      <c r="AA28" s="390">
        <f t="shared" si="5"/>
        <v>0</v>
      </c>
      <c r="AB28" s="41" t="s">
        <v>48</v>
      </c>
    </row>
    <row r="29" spans="1:28" x14ac:dyDescent="0.25">
      <c r="A29" s="496"/>
      <c r="B29" s="391" t="s">
        <v>49</v>
      </c>
      <c r="C29" s="392">
        <f>+'MMW Output'!C34</f>
        <v>0</v>
      </c>
      <c r="D29" s="393" t="e">
        <f>+'MMW Output'!#REF!</f>
        <v>#REF!</v>
      </c>
      <c r="E29" s="393" t="e">
        <f>+'MMW Output'!#REF!</f>
        <v>#REF!</v>
      </c>
      <c r="F29" s="393"/>
      <c r="G29" s="393">
        <f>+'MMW Output'!D34</f>
        <v>0</v>
      </c>
      <c r="H29" s="393" t="e">
        <f>+'MMW Output'!#REF!</f>
        <v>#REF!</v>
      </c>
      <c r="I29" s="393"/>
      <c r="J29" s="393">
        <f>+'MMW Output'!E34</f>
        <v>0</v>
      </c>
      <c r="K29" s="393" t="e">
        <f>+'MMW Output'!#REF!</f>
        <v>#REF!</v>
      </c>
      <c r="L29" s="393"/>
      <c r="M29" s="393">
        <f>+'MMW Output'!F34</f>
        <v>0</v>
      </c>
      <c r="N29" s="394"/>
      <c r="O29" s="384">
        <f t="shared" si="0"/>
        <v>0</v>
      </c>
      <c r="P29" s="384">
        <f>IF(C29=0,0,'Stream Bank SedimentLoadingRate'!E153)</f>
        <v>0</v>
      </c>
      <c r="Q29" s="395">
        <f t="shared" si="3"/>
        <v>0</v>
      </c>
      <c r="R29" s="396"/>
      <c r="S29" s="384">
        <f t="shared" si="1"/>
        <v>0</v>
      </c>
      <c r="T29" s="387">
        <f>IF(C29=0,0,ROUND('Stream Bank Nitrogen Loading'!E150,2))</f>
        <v>0</v>
      </c>
      <c r="U29" s="388" t="s">
        <v>39</v>
      </c>
      <c r="V29" s="397">
        <f t="shared" si="4"/>
        <v>0</v>
      </c>
      <c r="W29" s="396"/>
      <c r="X29" s="384">
        <f t="shared" si="2"/>
        <v>0</v>
      </c>
      <c r="Y29" s="384">
        <f>IF(C29=0,0,ROUND('Stream Bank Phosphorus Loading'!E150,2))</f>
        <v>0</v>
      </c>
      <c r="Z29" s="388" t="s">
        <v>39</v>
      </c>
      <c r="AA29" s="398">
        <f t="shared" si="5"/>
        <v>0</v>
      </c>
      <c r="AB29" s="42" t="s">
        <v>49</v>
      </c>
    </row>
    <row r="30" spans="1:28" x14ac:dyDescent="0.25">
      <c r="A30" s="496"/>
      <c r="B30" s="380" t="s">
        <v>50</v>
      </c>
      <c r="C30" s="381">
        <f>+'MMW Output'!C35</f>
        <v>0</v>
      </c>
      <c r="D30" s="382"/>
      <c r="E30" s="382"/>
      <c r="F30" s="382"/>
      <c r="G30" s="382">
        <f>+'MMW Output'!D35</f>
        <v>0</v>
      </c>
      <c r="H30" s="382"/>
      <c r="I30" s="382"/>
      <c r="J30" s="382">
        <f>+'MMW Output'!E35</f>
        <v>0</v>
      </c>
      <c r="K30" s="382"/>
      <c r="L30" s="382"/>
      <c r="M30" s="382">
        <f>+'MMW Output'!F35</f>
        <v>0</v>
      </c>
      <c r="N30" s="383"/>
      <c r="O30" s="384">
        <f t="shared" si="0"/>
        <v>0</v>
      </c>
      <c r="P30" s="384">
        <f>IF(C30=0,0,'Stream Bank SedimentLoadingRate'!E154)</f>
        <v>0</v>
      </c>
      <c r="Q30" s="385">
        <f t="shared" si="3"/>
        <v>0</v>
      </c>
      <c r="R30" s="386"/>
      <c r="S30" s="384">
        <f t="shared" si="1"/>
        <v>0</v>
      </c>
      <c r="T30" s="387">
        <f>IF(C30=0,0,ROUND('Stream Bank Nitrogen Loading'!E151,2))</f>
        <v>0</v>
      </c>
      <c r="U30" s="399" t="s">
        <v>39</v>
      </c>
      <c r="V30" s="389">
        <f t="shared" si="4"/>
        <v>0</v>
      </c>
      <c r="W30" s="386"/>
      <c r="X30" s="384">
        <f t="shared" si="2"/>
        <v>0</v>
      </c>
      <c r="Y30" s="384">
        <f>IF(C30=0,0,ROUND('Stream Bank Phosphorus Loading'!E151,2))</f>
        <v>0</v>
      </c>
      <c r="Z30" s="399" t="s">
        <v>39</v>
      </c>
      <c r="AA30" s="390">
        <f t="shared" si="5"/>
        <v>0</v>
      </c>
      <c r="AB30" s="41" t="s">
        <v>50</v>
      </c>
    </row>
    <row r="31" spans="1:28" x14ac:dyDescent="0.25">
      <c r="A31" s="496"/>
      <c r="B31" s="391" t="s">
        <v>51</v>
      </c>
      <c r="C31" s="392">
        <f>+'MMW Output'!C36</f>
        <v>0</v>
      </c>
      <c r="D31" s="393"/>
      <c r="E31" s="393"/>
      <c r="F31" s="393"/>
      <c r="G31" s="393">
        <f>+'MMW Output'!D36</f>
        <v>0</v>
      </c>
      <c r="H31" s="393"/>
      <c r="I31" s="393"/>
      <c r="J31" s="393">
        <f>+'MMW Output'!E36</f>
        <v>0</v>
      </c>
      <c r="K31" s="393"/>
      <c r="L31" s="393"/>
      <c r="M31" s="393">
        <f>+'MMW Output'!F36</f>
        <v>0</v>
      </c>
      <c r="N31" s="394"/>
      <c r="O31" s="384">
        <f t="shared" si="0"/>
        <v>0</v>
      </c>
      <c r="P31" s="384">
        <f>IF(C31=0,0,'Stream Bank SedimentLoadingRate'!E155)</f>
        <v>0</v>
      </c>
      <c r="Q31" s="395">
        <f t="shared" si="3"/>
        <v>0</v>
      </c>
      <c r="R31" s="396"/>
      <c r="S31" s="384">
        <f t="shared" si="1"/>
        <v>0</v>
      </c>
      <c r="T31" s="387">
        <f>IF(C31=0,0,ROUND('Stream Bank Nitrogen Loading'!E152,2))</f>
        <v>0</v>
      </c>
      <c r="U31" s="388" t="s">
        <v>39</v>
      </c>
      <c r="V31" s="397">
        <f t="shared" si="4"/>
        <v>0</v>
      </c>
      <c r="W31" s="396"/>
      <c r="X31" s="384">
        <f t="shared" si="2"/>
        <v>0</v>
      </c>
      <c r="Y31" s="384">
        <f>IF(C31=0,0,ROUND('Stream Bank Phosphorus Loading'!E152,2))</f>
        <v>0</v>
      </c>
      <c r="Z31" s="388" t="s">
        <v>39</v>
      </c>
      <c r="AA31" s="398">
        <f t="shared" si="5"/>
        <v>0</v>
      </c>
      <c r="AB31" s="42" t="s">
        <v>51</v>
      </c>
    </row>
    <row r="32" spans="1:28" ht="16.5" thickBot="1" x14ac:dyDescent="0.3">
      <c r="A32" s="497"/>
      <c r="B32" s="365" t="s">
        <v>52</v>
      </c>
      <c r="C32" s="364">
        <f>+'MMW Output'!C37</f>
        <v>0</v>
      </c>
      <c r="D32" s="361"/>
      <c r="E32" s="361"/>
      <c r="F32" s="361"/>
      <c r="G32" s="361">
        <f>+'MMW Output'!D37</f>
        <v>0</v>
      </c>
      <c r="H32" s="361"/>
      <c r="I32" s="361"/>
      <c r="J32" s="361">
        <f>+'MMW Output'!E37</f>
        <v>0</v>
      </c>
      <c r="K32" s="361"/>
      <c r="L32" s="361"/>
      <c r="M32" s="361">
        <f>+'MMW Output'!F37</f>
        <v>0</v>
      </c>
      <c r="N32" s="362"/>
      <c r="O32" s="400">
        <f t="shared" si="0"/>
        <v>0</v>
      </c>
      <c r="P32" s="400">
        <f>IF(C32=0,0,'Stream Bank SedimentLoadingRate'!E156)</f>
        <v>0</v>
      </c>
      <c r="Q32" s="401">
        <f t="shared" si="3"/>
        <v>0</v>
      </c>
      <c r="R32" s="402"/>
      <c r="S32" s="400">
        <f t="shared" si="1"/>
        <v>0</v>
      </c>
      <c r="T32" s="403">
        <f>IF(C32=0,0,ROUND('Stream Bank Nitrogen Loading'!E153,2))</f>
        <v>0</v>
      </c>
      <c r="U32" s="363" t="s">
        <v>39</v>
      </c>
      <c r="V32" s="404">
        <f t="shared" si="4"/>
        <v>0</v>
      </c>
      <c r="W32" s="402"/>
      <c r="X32" s="400">
        <f t="shared" si="2"/>
        <v>0</v>
      </c>
      <c r="Y32" s="400">
        <f>IF(C32=0,0,ROUND('Stream Bank Phosphorus Loading'!E153,2))</f>
        <v>0</v>
      </c>
      <c r="Z32" s="363" t="s">
        <v>39</v>
      </c>
      <c r="AA32" s="366">
        <f t="shared" si="5"/>
        <v>0</v>
      </c>
      <c r="AB32" s="43" t="s">
        <v>52</v>
      </c>
    </row>
    <row r="34" spans="1:28" ht="26.25" x14ac:dyDescent="0.25">
      <c r="A34" s="498" t="s">
        <v>53</v>
      </c>
      <c r="B34" s="44" t="s">
        <v>14</v>
      </c>
      <c r="C34" s="45"/>
      <c r="D34" s="46"/>
      <c r="E34" s="46"/>
      <c r="F34" s="46"/>
      <c r="G34" s="47" t="s">
        <v>18</v>
      </c>
      <c r="H34" s="38"/>
      <c r="I34" s="38"/>
      <c r="J34" s="47" t="s">
        <v>20</v>
      </c>
      <c r="K34" s="47" t="s">
        <v>21</v>
      </c>
      <c r="L34" s="47"/>
      <c r="M34" s="48" t="s">
        <v>22</v>
      </c>
      <c r="O34" s="358" t="s">
        <v>32</v>
      </c>
      <c r="P34" s="359"/>
      <c r="Q34" s="358" t="s">
        <v>33</v>
      </c>
      <c r="R34" s="37"/>
      <c r="S34" s="358" t="s">
        <v>32</v>
      </c>
      <c r="T34" s="360"/>
      <c r="U34" s="358"/>
      <c r="V34" s="358" t="s">
        <v>34</v>
      </c>
      <c r="W34" s="37"/>
      <c r="X34" s="358" t="s">
        <v>32</v>
      </c>
      <c r="Y34" s="360"/>
      <c r="Z34" s="358"/>
      <c r="AA34" s="358" t="s">
        <v>34</v>
      </c>
      <c r="AB34" s="9"/>
    </row>
    <row r="35" spans="1:28" x14ac:dyDescent="0.25">
      <c r="A35" s="499"/>
      <c r="B35" s="49" t="s">
        <v>26</v>
      </c>
      <c r="C35" s="50"/>
      <c r="D35" s="51" t="s">
        <v>28</v>
      </c>
      <c r="E35" s="51" t="s">
        <v>29</v>
      </c>
      <c r="F35" s="51"/>
      <c r="G35" s="51" t="s">
        <v>29</v>
      </c>
      <c r="H35" s="52"/>
      <c r="I35" s="52"/>
      <c r="J35" s="51" t="s">
        <v>30</v>
      </c>
      <c r="K35" s="51" t="s">
        <v>30</v>
      </c>
      <c r="L35" s="51"/>
      <c r="M35" s="53" t="s">
        <v>30</v>
      </c>
      <c r="Y35" s="9"/>
      <c r="Z35" s="9"/>
      <c r="AA35" s="9"/>
      <c r="AB35" s="9"/>
    </row>
    <row r="36" spans="1:28" x14ac:dyDescent="0.25">
      <c r="A36" s="499"/>
      <c r="B36" s="54" t="s">
        <v>54</v>
      </c>
      <c r="C36" s="55" t="str">
        <f>+'MMW Output'!C38</f>
        <v xml:space="preserve"> </v>
      </c>
      <c r="D36" s="55" t="e">
        <f>+'MMW Output'!#REF!</f>
        <v>#REF!</v>
      </c>
      <c r="E36" s="55" t="e">
        <f>+'MMW Output'!#REF!</f>
        <v>#REF!</v>
      </c>
      <c r="F36" s="55"/>
      <c r="G36" s="56">
        <f>+'MMW Output'!D38</f>
        <v>0</v>
      </c>
      <c r="H36" s="56" t="e">
        <f>+'MMW Output'!#REF!</f>
        <v>#REF!</v>
      </c>
      <c r="I36" s="56"/>
      <c r="J36" s="56">
        <f>+'MMW Output'!E38</f>
        <v>0</v>
      </c>
      <c r="K36" s="56" t="e">
        <f>+'MMW Output'!#REF!</f>
        <v>#REF!</v>
      </c>
      <c r="L36" s="56"/>
      <c r="M36" s="57">
        <f>+'MMW Output'!F38</f>
        <v>0</v>
      </c>
      <c r="Y36" s="9"/>
      <c r="Z36" s="9"/>
      <c r="AA36" s="9"/>
      <c r="AB36" s="9"/>
    </row>
    <row r="37" spans="1:28" x14ac:dyDescent="0.25">
      <c r="A37" s="499"/>
      <c r="B37" s="58" t="s">
        <v>55</v>
      </c>
      <c r="C37" s="59" t="str">
        <f>+'MMW Output'!C39</f>
        <v xml:space="preserve"> </v>
      </c>
      <c r="D37" s="59" t="e">
        <f>+'MMW Output'!#REF!</f>
        <v>#REF!</v>
      </c>
      <c r="E37" s="59" t="e">
        <f>+'MMW Output'!#REF!</f>
        <v>#REF!</v>
      </c>
      <c r="F37" s="59"/>
      <c r="G37" s="60">
        <f>+'MMW Output'!D39</f>
        <v>0</v>
      </c>
      <c r="H37" s="60" t="e">
        <f>+'MMW Output'!#REF!</f>
        <v>#REF!</v>
      </c>
      <c r="I37" s="60"/>
      <c r="J37" s="60">
        <f>+'MMW Output'!E39</f>
        <v>0</v>
      </c>
      <c r="K37" s="60" t="e">
        <f>+'MMW Output'!#REF!</f>
        <v>#REF!</v>
      </c>
      <c r="L37" s="60"/>
      <c r="M37" s="61">
        <f>+'MMW Output'!F39</f>
        <v>0</v>
      </c>
      <c r="P37" s="7"/>
    </row>
    <row r="38" spans="1:28" x14ac:dyDescent="0.25">
      <c r="A38" s="497"/>
      <c r="B38" s="62" t="s">
        <v>67</v>
      </c>
      <c r="C38" s="63" t="str">
        <f>+'MMW Output'!C40</f>
        <v xml:space="preserve"> </v>
      </c>
      <c r="D38" s="64" t="e">
        <f>+'MMW Output'!#REF!</f>
        <v>#REF!</v>
      </c>
      <c r="E38" s="64" t="e">
        <f>+'MMW Output'!#REF!</f>
        <v>#REF!</v>
      </c>
      <c r="F38" s="64"/>
      <c r="G38" s="65">
        <f>+'MMW Output'!D40</f>
        <v>0</v>
      </c>
      <c r="H38" s="65" t="e">
        <f>+'MMW Output'!#REF!</f>
        <v>#REF!</v>
      </c>
      <c r="I38" s="65"/>
      <c r="J38" s="65">
        <f>+'MMW Output'!E40</f>
        <v>0</v>
      </c>
      <c r="K38" s="65" t="e">
        <f>+'MMW Output'!#REF!</f>
        <v>#REF!</v>
      </c>
      <c r="L38" s="65"/>
      <c r="M38" s="66">
        <f>+'MMW Output'!F40</f>
        <v>0</v>
      </c>
      <c r="P38" s="7"/>
      <c r="Q38" s="67"/>
    </row>
    <row r="39" spans="1:28" x14ac:dyDescent="0.25">
      <c r="A39" s="68"/>
      <c r="B39" s="69" t="s">
        <v>56</v>
      </c>
      <c r="C39" s="70"/>
      <c r="D39" s="71"/>
      <c r="E39" s="71"/>
      <c r="F39" s="71"/>
      <c r="G39" s="72">
        <v>0</v>
      </c>
      <c r="H39" s="72"/>
      <c r="I39" s="72"/>
      <c r="J39" s="72">
        <f>+'MMW Output'!E41</f>
        <v>0</v>
      </c>
      <c r="K39" s="72"/>
      <c r="L39" s="72"/>
      <c r="M39" s="73">
        <f>+'MMW Output'!F41</f>
        <v>0</v>
      </c>
      <c r="P39" s="7"/>
    </row>
    <row r="40" spans="1:28" x14ac:dyDescent="0.25">
      <c r="A40" s="74"/>
      <c r="B40" s="75" t="s">
        <v>57</v>
      </c>
      <c r="C40" s="76"/>
      <c r="D40" s="77"/>
      <c r="E40" s="77"/>
      <c r="F40" s="77"/>
      <c r="G40" s="78">
        <v>0</v>
      </c>
      <c r="H40" s="78"/>
      <c r="I40" s="78"/>
      <c r="J40" s="65">
        <f>+'MMW Output'!E42</f>
        <v>0</v>
      </c>
      <c r="K40" s="78"/>
      <c r="L40" s="78"/>
      <c r="M40" s="66">
        <f>+'MMW Output'!F42</f>
        <v>0</v>
      </c>
      <c r="O40" s="9"/>
      <c r="P40" s="9"/>
      <c r="Q40" s="9"/>
      <c r="R40" s="9"/>
      <c r="S40" s="9"/>
      <c r="T40" s="9"/>
      <c r="U40" s="9"/>
      <c r="V40" s="9"/>
      <c r="W40" s="9"/>
      <c r="X40" s="9"/>
      <c r="Y40" s="9"/>
      <c r="Z40" s="9"/>
      <c r="AA40" s="9"/>
      <c r="AB40" s="9"/>
    </row>
    <row r="41" spans="1:28" x14ac:dyDescent="0.25">
      <c r="A41" s="68"/>
      <c r="B41" s="79" t="s">
        <v>58</v>
      </c>
      <c r="C41" s="80"/>
      <c r="D41" s="81"/>
      <c r="E41" s="81"/>
      <c r="F41" s="81"/>
      <c r="G41" s="82">
        <v>0</v>
      </c>
      <c r="H41" s="82"/>
      <c r="I41" s="82"/>
      <c r="J41" s="82">
        <f>+'MMW Output'!E43</f>
        <v>0</v>
      </c>
      <c r="K41" s="82"/>
      <c r="L41" s="82"/>
      <c r="M41" s="83">
        <f>+'MMW Output'!F43</f>
        <v>0</v>
      </c>
      <c r="P41" s="7"/>
    </row>
    <row r="42" spans="1:28" x14ac:dyDescent="0.25">
      <c r="A42" s="74"/>
      <c r="B42" s="84"/>
      <c r="C42" s="71"/>
      <c r="D42" s="71"/>
      <c r="E42" s="71"/>
      <c r="F42" s="71"/>
      <c r="G42" s="72"/>
      <c r="H42" s="72"/>
      <c r="I42" s="72"/>
      <c r="J42" s="72"/>
      <c r="K42" s="72"/>
      <c r="L42" s="72"/>
      <c r="M42" s="72"/>
      <c r="O42" s="9"/>
      <c r="P42" s="9"/>
      <c r="Q42" s="9"/>
      <c r="R42" s="9"/>
      <c r="S42" s="9"/>
      <c r="T42" s="9"/>
      <c r="U42" s="9"/>
      <c r="V42" s="9"/>
      <c r="W42" s="9"/>
      <c r="X42" s="9"/>
      <c r="Y42" s="9"/>
      <c r="Z42" s="9"/>
      <c r="AA42" s="9"/>
      <c r="AB42" s="9"/>
    </row>
    <row r="43" spans="1:28" x14ac:dyDescent="0.25">
      <c r="A43" s="74"/>
      <c r="B43" s="84"/>
      <c r="C43" s="71"/>
      <c r="D43" s="71"/>
      <c r="E43" s="71"/>
      <c r="F43" s="71"/>
      <c r="G43" s="72"/>
      <c r="H43" s="72"/>
      <c r="I43" s="72"/>
      <c r="J43" s="72"/>
      <c r="K43" s="72"/>
      <c r="L43" s="72"/>
      <c r="M43" s="72"/>
      <c r="O43" s="9"/>
      <c r="P43" s="9"/>
      <c r="Q43" s="9"/>
      <c r="R43" s="9"/>
      <c r="S43" s="9"/>
      <c r="T43" s="9"/>
      <c r="U43" s="9"/>
      <c r="V43" s="9"/>
      <c r="W43" s="9"/>
      <c r="X43" s="9"/>
      <c r="Y43" s="9"/>
      <c r="Z43" s="9"/>
      <c r="AA43" s="9"/>
      <c r="AB43" s="9"/>
    </row>
    <row r="44" spans="1:28" x14ac:dyDescent="0.25">
      <c r="P44" s="7"/>
      <c r="AB44" s="9"/>
    </row>
    <row r="45" spans="1:28" x14ac:dyDescent="0.25">
      <c r="A45" s="85"/>
      <c r="B45" s="85" t="s">
        <v>59</v>
      </c>
      <c r="C45" s="85"/>
      <c r="D45" s="85"/>
      <c r="E45" s="85"/>
      <c r="F45" s="85"/>
      <c r="G45" s="85"/>
      <c r="H45" s="85"/>
      <c r="I45" s="85"/>
      <c r="J45" s="85"/>
      <c r="K45" s="85"/>
      <c r="L45" s="85"/>
      <c r="M45" s="85"/>
      <c r="N45" s="367"/>
      <c r="O45" s="85"/>
      <c r="P45" s="85"/>
      <c r="Q45" s="85"/>
      <c r="R45" s="85"/>
      <c r="S45" s="85"/>
      <c r="T45" s="85"/>
      <c r="U45" s="85"/>
      <c r="V45" s="85"/>
      <c r="W45" s="85"/>
      <c r="X45" s="85"/>
      <c r="Y45" s="85"/>
      <c r="Z45" s="85"/>
      <c r="AA45" s="85"/>
      <c r="AB45" s="85"/>
    </row>
    <row r="46" spans="1:28" x14ac:dyDescent="0.25">
      <c r="B46" s="500" t="s">
        <v>68</v>
      </c>
      <c r="C46" s="500"/>
      <c r="D46" s="500"/>
      <c r="E46" s="500"/>
      <c r="F46" s="500"/>
      <c r="G46" s="500"/>
      <c r="H46" s="500"/>
      <c r="I46" s="500"/>
      <c r="J46" s="500"/>
      <c r="K46" s="500"/>
      <c r="L46" s="500"/>
      <c r="M46" s="500"/>
      <c r="N46" s="500"/>
      <c r="O46" s="500"/>
      <c r="P46" s="500"/>
      <c r="Q46" s="500"/>
      <c r="R46" s="500"/>
      <c r="S46" s="500"/>
      <c r="T46" s="500"/>
      <c r="U46" s="500"/>
      <c r="V46" s="500"/>
      <c r="W46" s="500"/>
      <c r="X46" s="500"/>
      <c r="Y46" s="500"/>
      <c r="Z46" s="500"/>
      <c r="AA46" s="500"/>
    </row>
    <row r="47" spans="1:28" x14ac:dyDescent="0.25">
      <c r="B47" s="500" t="s">
        <v>69</v>
      </c>
      <c r="C47" s="500"/>
      <c r="D47" s="500"/>
      <c r="E47" s="500"/>
      <c r="F47" s="500"/>
      <c r="G47" s="500"/>
      <c r="H47" s="500"/>
      <c r="I47" s="500"/>
      <c r="J47" s="500"/>
      <c r="K47" s="500"/>
      <c r="L47" s="500"/>
      <c r="M47" s="500"/>
      <c r="N47" s="500"/>
      <c r="O47" s="500"/>
      <c r="P47" s="500"/>
      <c r="Q47" s="500"/>
      <c r="R47" s="500"/>
      <c r="S47" s="500"/>
      <c r="T47" s="500"/>
      <c r="U47" s="500"/>
      <c r="V47" s="500"/>
      <c r="W47" s="500"/>
      <c r="X47" s="500"/>
      <c r="Y47" s="500"/>
      <c r="Z47" s="500"/>
      <c r="AA47" s="500"/>
    </row>
    <row r="48" spans="1:28" x14ac:dyDescent="0.25">
      <c r="B48" s="86" t="s">
        <v>56</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x14ac:dyDescent="0.25">
      <c r="B49" s="86" t="s">
        <v>57</v>
      </c>
      <c r="C49" s="87" t="str">
        <f>+'MMW Output'!C42</f>
        <v xml:space="preserve"> </v>
      </c>
      <c r="D49" s="87" t="e">
        <f>+'MMW Output'!#REF!</f>
        <v>#REF!</v>
      </c>
      <c r="E49" s="87" t="e">
        <f>+'MMW Output'!#REF!</f>
        <v>#REF!</v>
      </c>
      <c r="F49" s="87"/>
      <c r="G49" s="87">
        <f>+'MMW Output'!D42</f>
        <v>0</v>
      </c>
      <c r="H49" s="87" t="e">
        <f>+'MMW Output'!#REF!</f>
        <v>#REF!</v>
      </c>
      <c r="I49" s="87"/>
      <c r="J49" s="87">
        <f>+'MMW Output'!E42</f>
        <v>0</v>
      </c>
      <c r="K49" s="87" t="e">
        <f>+'MMW Output'!#REF!</f>
        <v>#REF!</v>
      </c>
      <c r="L49" s="87"/>
      <c r="M49" s="87">
        <f>+'MMW Output'!F42</f>
        <v>0</v>
      </c>
    </row>
    <row r="50" spans="2:17" ht="16.5" thickBot="1" x14ac:dyDescent="0.3">
      <c r="B50" s="88" t="s">
        <v>58</v>
      </c>
      <c r="C50" s="87" t="str">
        <f>+'MMW Output'!C43</f>
        <v xml:space="preserve"> </v>
      </c>
      <c r="D50" s="87" t="e">
        <f>+'MMW Output'!#REF!</f>
        <v>#REF!</v>
      </c>
      <c r="E50" s="87" t="e">
        <f>+'MMW Output'!#REF!</f>
        <v>#REF!</v>
      </c>
      <c r="F50" s="87"/>
      <c r="G50" s="87">
        <f>+'MMW Output'!D43</f>
        <v>0</v>
      </c>
      <c r="H50" s="87" t="e">
        <f>+'MMW Output'!#REF!</f>
        <v>#REF!</v>
      </c>
      <c r="I50" s="87"/>
      <c r="J50" s="87">
        <f>+'MMW Output'!E43</f>
        <v>0</v>
      </c>
      <c r="K50" s="87" t="e">
        <f>+'MMW Output'!#REF!</f>
        <v>#REF!</v>
      </c>
      <c r="L50" s="87"/>
      <c r="M50" s="87">
        <f>+'MMW Output'!F43</f>
        <v>0</v>
      </c>
    </row>
    <row r="51" spans="2:17" ht="18" x14ac:dyDescent="0.25">
      <c r="B51" s="89"/>
      <c r="C51" s="9"/>
      <c r="D51" s="9"/>
      <c r="E51" s="9"/>
      <c r="F51" s="9"/>
      <c r="G51" s="9"/>
      <c r="H51" s="9"/>
      <c r="I51" s="9"/>
      <c r="J51" s="9"/>
      <c r="K51" s="9"/>
      <c r="L51" s="9"/>
      <c r="M51" s="9"/>
    </row>
    <row r="52" spans="2:17" x14ac:dyDescent="0.25">
      <c r="P52" s="7"/>
      <c r="Q52" s="8"/>
    </row>
    <row r="53" spans="2:17" ht="18" x14ac:dyDescent="0.25">
      <c r="B53" s="89"/>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H38"/>
  <sheetViews>
    <sheetView zoomScale="80" zoomScaleNormal="80" workbookViewId="0">
      <selection activeCell="C5" sqref="C5"/>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4.45" customHeight="1" x14ac:dyDescent="0.25">
      <c r="A1" s="92" t="s">
        <v>7</v>
      </c>
      <c r="B1" s="92"/>
      <c r="C1" s="124"/>
    </row>
    <row r="2" spans="1:8" ht="5.45" customHeight="1" x14ac:dyDescent="0.2"/>
    <row r="3" spans="1:8" ht="14.45" customHeight="1" x14ac:dyDescent="0.2">
      <c r="A3" s="91" t="str">
        <f>CONCATENATE("Watershed: ",'MMW Output'!B3)</f>
        <v>Watershed: Upper Wissahickon</v>
      </c>
    </row>
    <row r="4" spans="1:8" ht="5.45" customHeight="1" x14ac:dyDescent="0.2"/>
    <row r="5" spans="1:8" ht="14.45" customHeight="1" x14ac:dyDescent="0.2">
      <c r="A5" s="91" t="str">
        <f>CONCATENATE("Year: ",'MMW Output'!C16)</f>
        <v>Year: 2018</v>
      </c>
    </row>
    <row r="6" spans="1:8" ht="9" customHeight="1" x14ac:dyDescent="0.2"/>
    <row r="7" spans="1:8" ht="18" customHeight="1" x14ac:dyDescent="0.25">
      <c r="A7" s="508" t="s">
        <v>132</v>
      </c>
      <c r="B7" s="508"/>
      <c r="C7" s="508"/>
      <c r="D7" s="508"/>
      <c r="E7" s="508"/>
      <c r="F7" s="508"/>
      <c r="G7" s="125"/>
    </row>
    <row r="8" spans="1:8" ht="99" customHeight="1" x14ac:dyDescent="0.2">
      <c r="A8" s="507" t="s">
        <v>133</v>
      </c>
      <c r="B8" s="507"/>
      <c r="C8" s="507"/>
      <c r="D8" s="507"/>
      <c r="E8" s="507"/>
      <c r="F8" s="507"/>
      <c r="G8" s="507"/>
      <c r="H8" s="507"/>
    </row>
    <row r="9" spans="1:8" ht="6" customHeight="1" x14ac:dyDescent="0.2"/>
    <row r="10" spans="1:8" ht="8.4499999999999993" customHeight="1" x14ac:dyDescent="0.2"/>
    <row r="11" spans="1:8" ht="27.6" customHeight="1" x14ac:dyDescent="0.2">
      <c r="A11" s="507" t="s">
        <v>134</v>
      </c>
      <c r="B11" s="507"/>
      <c r="C11" s="507"/>
      <c r="D11" s="507"/>
      <c r="E11" s="507"/>
      <c r="F11" s="507"/>
      <c r="G11" s="507"/>
      <c r="H11" s="126"/>
    </row>
    <row r="12" spans="1:8" ht="9.6" customHeight="1" x14ac:dyDescent="0.2"/>
    <row r="13" spans="1:8" ht="14.45" customHeight="1" x14ac:dyDescent="0.2">
      <c r="B13" s="96"/>
    </row>
    <row r="14" spans="1:8" ht="45" customHeight="1" x14ac:dyDescent="0.2">
      <c r="B14" s="127" t="s">
        <v>135</v>
      </c>
      <c r="C14" s="128"/>
      <c r="D14" s="129" t="s">
        <v>20</v>
      </c>
      <c r="E14" s="129" t="s">
        <v>22</v>
      </c>
    </row>
    <row r="15" spans="1:8" ht="19.350000000000001" customHeight="1" x14ac:dyDescent="0.2">
      <c r="C15" s="130" t="s">
        <v>136</v>
      </c>
      <c r="D15" s="131">
        <f>+'MMW Output'!E38</f>
        <v>0</v>
      </c>
      <c r="E15" s="131">
        <f>+'MMW Output'!F38</f>
        <v>0</v>
      </c>
      <c r="F15" s="132" t="s">
        <v>137</v>
      </c>
      <c r="G15" s="509" t="s">
        <v>138</v>
      </c>
      <c r="H15" s="510"/>
    </row>
    <row r="16" spans="1:8" ht="8.1" customHeight="1" x14ac:dyDescent="0.2">
      <c r="F16" s="133"/>
      <c r="G16" s="511"/>
      <c r="H16" s="512"/>
    </row>
    <row r="17" spans="1:8" ht="28.35" customHeight="1" x14ac:dyDescent="0.2">
      <c r="B17" s="96" t="s">
        <v>139</v>
      </c>
      <c r="F17" s="133"/>
      <c r="G17" s="513"/>
      <c r="H17" s="514"/>
    </row>
    <row r="18" spans="1:8" ht="30.75" customHeight="1" x14ac:dyDescent="0.2">
      <c r="C18" s="134" t="s">
        <v>14</v>
      </c>
      <c r="D18" s="135" t="s">
        <v>140</v>
      </c>
      <c r="F18" s="133"/>
      <c r="G18" s="136"/>
      <c r="H18" s="136"/>
    </row>
    <row r="19" spans="1:8" ht="18" customHeight="1" x14ac:dyDescent="0.2">
      <c r="B19" s="137"/>
      <c r="C19" s="130" t="s">
        <v>103</v>
      </c>
      <c r="D19" s="131">
        <f>+'MMW Output'!C22</f>
        <v>0</v>
      </c>
      <c r="G19" s="138"/>
      <c r="H19" s="138"/>
    </row>
    <row r="20" spans="1:8" ht="18" customHeight="1" x14ac:dyDescent="0.2">
      <c r="B20" s="137"/>
      <c r="C20" s="139" t="s">
        <v>37</v>
      </c>
      <c r="D20" s="140">
        <f>+'MMW Output'!C23</f>
        <v>0</v>
      </c>
    </row>
    <row r="21" spans="1:8" ht="29.45" customHeight="1" x14ac:dyDescent="0.2">
      <c r="B21" s="515" t="s">
        <v>141</v>
      </c>
      <c r="C21" s="515"/>
      <c r="D21" s="515"/>
      <c r="E21" s="515"/>
      <c r="F21" s="515"/>
      <c r="G21" s="515"/>
    </row>
    <row r="22" spans="1:8" ht="6" customHeight="1" x14ac:dyDescent="0.2">
      <c r="D22" s="141"/>
    </row>
    <row r="23" spans="1:8" ht="15.6" customHeight="1" x14ac:dyDescent="0.2"/>
    <row r="24" spans="1:8" ht="13.35" customHeight="1" x14ac:dyDescent="0.2">
      <c r="A24" s="507" t="s">
        <v>142</v>
      </c>
      <c r="B24" s="507"/>
      <c r="C24" s="507"/>
      <c r="D24" s="507"/>
      <c r="E24" s="507"/>
      <c r="F24" s="507"/>
      <c r="G24" s="507"/>
      <c r="H24" s="507"/>
    </row>
    <row r="25" spans="1:8" ht="6" customHeight="1" x14ac:dyDescent="0.2">
      <c r="C25" s="142"/>
      <c r="D25" s="143"/>
      <c r="E25" s="144"/>
    </row>
    <row r="26" spans="1:8" ht="14.45" customHeight="1" x14ac:dyDescent="0.2">
      <c r="C26" s="145" t="s">
        <v>143</v>
      </c>
      <c r="D26" s="146">
        <f>+D19+D20</f>
        <v>0</v>
      </c>
      <c r="E26" s="147" t="s">
        <v>144</v>
      </c>
      <c r="F26" s="91" t="str">
        <f>CONCATENATE("[ ",ROUND(D19,2)," acres + ",ROUND(D20,2)," acres"," ]")</f>
        <v>[ 0 acres + 0 acres ]</v>
      </c>
    </row>
    <row r="27" spans="1:8" ht="6" customHeight="1" x14ac:dyDescent="0.2">
      <c r="C27" s="142"/>
      <c r="D27" s="143"/>
      <c r="E27" s="144"/>
    </row>
    <row r="28" spans="1:8" ht="11.1" customHeight="1" x14ac:dyDescent="0.2">
      <c r="C28" s="142"/>
      <c r="D28" s="143"/>
      <c r="E28" s="144"/>
    </row>
    <row r="29" spans="1:8" ht="31.35" customHeight="1" x14ac:dyDescent="0.2">
      <c r="A29" s="507" t="s">
        <v>145</v>
      </c>
      <c r="B29" s="507"/>
      <c r="C29" s="507"/>
      <c r="D29" s="507"/>
      <c r="E29" s="507"/>
      <c r="F29" s="507"/>
      <c r="G29" s="507"/>
      <c r="H29" s="507"/>
    </row>
    <row r="30" spans="1:8" ht="6" customHeight="1" x14ac:dyDescent="0.2">
      <c r="D30" s="141"/>
    </row>
    <row r="31" spans="1:8" ht="27.6" customHeight="1" x14ac:dyDescent="0.2">
      <c r="C31" s="148"/>
      <c r="D31" s="129" t="s">
        <v>20</v>
      </c>
      <c r="E31" s="129" t="s">
        <v>22</v>
      </c>
    </row>
    <row r="32" spans="1:8" ht="19.350000000000001" customHeight="1" x14ac:dyDescent="0.2">
      <c r="C32" s="149" t="s">
        <v>136</v>
      </c>
      <c r="D32" s="131">
        <f>+D15</f>
        <v>0</v>
      </c>
      <c r="E32" s="131">
        <f>+E15</f>
        <v>0</v>
      </c>
      <c r="F32" s="150" t="s">
        <v>146</v>
      </c>
      <c r="G32" s="151"/>
      <c r="H32" s="152"/>
    </row>
    <row r="33" spans="1:8" ht="19.350000000000001" customHeight="1" x14ac:dyDescent="0.2">
      <c r="C33" s="153" t="s">
        <v>147</v>
      </c>
      <c r="D33" s="154">
        <f>+D26</f>
        <v>0</v>
      </c>
      <c r="E33" s="154">
        <f>+D26</f>
        <v>0</v>
      </c>
      <c r="F33" s="155" t="s">
        <v>148</v>
      </c>
      <c r="G33" s="156"/>
      <c r="H33" s="152"/>
    </row>
    <row r="34" spans="1:8" ht="5.45" customHeight="1" x14ac:dyDescent="0.2">
      <c r="C34" s="153"/>
      <c r="D34" s="157"/>
      <c r="E34" s="154"/>
      <c r="F34" s="158"/>
      <c r="G34" s="159"/>
      <c r="H34" s="152"/>
    </row>
    <row r="35" spans="1:8" ht="19.350000000000001" customHeight="1" x14ac:dyDescent="0.2">
      <c r="C35" s="149" t="s">
        <v>149</v>
      </c>
      <c r="D35" s="160" t="e">
        <f>+D32/D33</f>
        <v>#DIV/0!</v>
      </c>
      <c r="E35" s="160" t="e">
        <f>+E32/E33</f>
        <v>#DIV/0!</v>
      </c>
      <c r="F35" s="161" t="s">
        <v>150</v>
      </c>
      <c r="G35" s="151"/>
      <c r="H35" s="152"/>
    </row>
    <row r="36" spans="1:8" ht="10.35" customHeight="1" x14ac:dyDescent="0.2">
      <c r="C36" s="162"/>
      <c r="D36" s="163"/>
      <c r="E36" s="164"/>
      <c r="F36" s="165"/>
    </row>
    <row r="37" spans="1:8" x14ac:dyDescent="0.2">
      <c r="C37" s="166"/>
    </row>
    <row r="38" spans="1:8" ht="40.35" customHeight="1" x14ac:dyDescent="0.2">
      <c r="A38" s="507" t="s">
        <v>151</v>
      </c>
      <c r="B38" s="507"/>
      <c r="C38" s="507"/>
      <c r="D38" s="507"/>
      <c r="E38" s="507"/>
      <c r="F38" s="507"/>
      <c r="G38" s="507"/>
      <c r="H38" s="507"/>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8"/>
  <sheetViews>
    <sheetView topLeftCell="A115" zoomScale="80" zoomScaleNormal="80" zoomScaleSheetLayoutView="80" workbookViewId="0">
      <selection activeCell="L165" sqref="L165"/>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5" style="91" customWidth="1"/>
    <col min="9" max="9" width="10.5" style="91" customWidth="1"/>
    <col min="10" max="10" width="8.875" style="91"/>
    <col min="11" max="11" width="10.125" style="91" bestFit="1" customWidth="1"/>
    <col min="12" max="12" width="3.5" style="91" customWidth="1"/>
    <col min="13" max="16384" width="8.875" style="91"/>
  </cols>
  <sheetData>
    <row r="1" spans="1:11" ht="14.45" customHeight="1" x14ac:dyDescent="0.25">
      <c r="A1" s="92" t="s">
        <v>152</v>
      </c>
      <c r="B1" s="124"/>
    </row>
    <row r="2" spans="1:11" ht="6" customHeight="1" x14ac:dyDescent="0.2"/>
    <row r="3" spans="1:11" ht="14.45" customHeight="1" x14ac:dyDescent="0.2">
      <c r="A3" s="91" t="str">
        <f>CONCATENATE("Watershed: ",'MMW Output'!$B$3)</f>
        <v>Watershed: Upper Wissahickon</v>
      </c>
    </row>
    <row r="4" spans="1:11" ht="6" customHeight="1" x14ac:dyDescent="0.2"/>
    <row r="5" spans="1:11" ht="14.45" customHeight="1" x14ac:dyDescent="0.2">
      <c r="A5" s="91" t="str">
        <f>CONCATENATE("Year: ",'MMW Output'!$C$16)</f>
        <v>Year: 2018</v>
      </c>
    </row>
    <row r="6" spans="1:11" ht="11.45" customHeight="1" x14ac:dyDescent="0.2"/>
    <row r="7" spans="1:11" ht="18.75" customHeight="1" x14ac:dyDescent="0.2">
      <c r="A7" s="508" t="s">
        <v>153</v>
      </c>
      <c r="B7" s="508"/>
      <c r="C7" s="508"/>
      <c r="D7" s="508"/>
      <c r="E7" s="508"/>
      <c r="F7" s="508"/>
    </row>
    <row r="8" spans="1:11" ht="95.1" customHeight="1" x14ac:dyDescent="0.2">
      <c r="A8" s="507" t="s">
        <v>154</v>
      </c>
      <c r="B8" s="507"/>
      <c r="C8" s="507"/>
      <c r="D8" s="507"/>
      <c r="E8" s="507"/>
      <c r="F8" s="507"/>
      <c r="G8" s="507"/>
    </row>
    <row r="9" spans="1:11" ht="8.4499999999999993" customHeight="1" x14ac:dyDescent="0.2"/>
    <row r="10" spans="1:11" ht="8.4499999999999993" customHeight="1" x14ac:dyDescent="0.2"/>
    <row r="11" spans="1:11" ht="27.6" customHeight="1" x14ac:dyDescent="0.2">
      <c r="A11" s="507" t="s">
        <v>155</v>
      </c>
      <c r="B11" s="507"/>
      <c r="C11" s="507"/>
      <c r="D11" s="507"/>
      <c r="E11" s="507"/>
      <c r="F11" s="507"/>
      <c r="G11" s="507"/>
    </row>
    <row r="12" spans="1:11" ht="6" customHeight="1" x14ac:dyDescent="0.2"/>
    <row r="13" spans="1:11" x14ac:dyDescent="0.2">
      <c r="B13" s="167"/>
      <c r="C13" s="168" t="s">
        <v>18</v>
      </c>
      <c r="D13" s="168"/>
    </row>
    <row r="14" spans="1:11" ht="13.35" customHeight="1" x14ac:dyDescent="0.2">
      <c r="B14" s="169" t="s">
        <v>88</v>
      </c>
      <c r="C14" s="170">
        <f>ROUND('MMW Output'!D40,2)</f>
        <v>0</v>
      </c>
      <c r="D14" s="169" t="s">
        <v>156</v>
      </c>
      <c r="E14" s="516" t="s">
        <v>157</v>
      </c>
      <c r="F14" s="517"/>
      <c r="G14" s="518"/>
    </row>
    <row r="15" spans="1:11" ht="8.1" customHeight="1" x14ac:dyDescent="0.2">
      <c r="E15" s="519"/>
      <c r="F15" s="520"/>
      <c r="G15" s="521"/>
    </row>
    <row r="16" spans="1:11" x14ac:dyDescent="0.2">
      <c r="B16" s="134" t="s">
        <v>14</v>
      </c>
      <c r="C16" s="135" t="s">
        <v>140</v>
      </c>
      <c r="E16" s="522"/>
      <c r="F16" s="523"/>
      <c r="G16" s="524"/>
      <c r="K16" s="171"/>
    </row>
    <row r="17" spans="1:3" ht="13.35" customHeight="1" x14ac:dyDescent="0.2">
      <c r="A17" s="525" t="s">
        <v>158</v>
      </c>
      <c r="B17" s="172" t="s">
        <v>103</v>
      </c>
      <c r="C17" s="173">
        <f>+'MMW Output'!C22</f>
        <v>0</v>
      </c>
    </row>
    <row r="18" spans="1:3" ht="13.35" customHeight="1" x14ac:dyDescent="0.2">
      <c r="A18" s="526"/>
      <c r="B18" s="174" t="s">
        <v>37</v>
      </c>
      <c r="C18" s="175">
        <f>+'MMW Output'!C23</f>
        <v>0</v>
      </c>
    </row>
    <row r="19" spans="1:3" ht="13.35" customHeight="1" x14ac:dyDescent="0.2">
      <c r="A19" s="526"/>
      <c r="B19" s="176" t="s">
        <v>38</v>
      </c>
      <c r="C19" s="177">
        <f>+'MMW Output'!C24</f>
        <v>0</v>
      </c>
    </row>
    <row r="20" spans="1:3" ht="13.35" customHeight="1" x14ac:dyDescent="0.2">
      <c r="A20" s="526"/>
      <c r="B20" s="174" t="s">
        <v>40</v>
      </c>
      <c r="C20" s="175">
        <f>+'MMW Output'!C25</f>
        <v>0</v>
      </c>
    </row>
    <row r="21" spans="1:3" ht="13.35" customHeight="1" x14ac:dyDescent="0.2">
      <c r="A21" s="526"/>
      <c r="B21" s="176" t="s">
        <v>41</v>
      </c>
      <c r="C21" s="177">
        <f>+'MMW Output'!C26</f>
        <v>0</v>
      </c>
    </row>
    <row r="22" spans="1:3" ht="13.35" customHeight="1" x14ac:dyDescent="0.2">
      <c r="A22" s="526"/>
      <c r="B22" s="174" t="s">
        <v>42</v>
      </c>
      <c r="C22" s="175">
        <f>+'MMW Output'!C27</f>
        <v>0</v>
      </c>
    </row>
    <row r="23" spans="1:3" ht="13.35" customHeight="1" x14ac:dyDescent="0.2">
      <c r="A23" s="526"/>
      <c r="B23" s="176" t="s">
        <v>43</v>
      </c>
      <c r="C23" s="177">
        <f>+'MMW Output'!C28</f>
        <v>0</v>
      </c>
    </row>
    <row r="24" spans="1:3" ht="13.35" customHeight="1" x14ac:dyDescent="0.2">
      <c r="A24" s="526"/>
      <c r="B24" s="174" t="s">
        <v>44</v>
      </c>
      <c r="C24" s="175">
        <f>+'MMW Output'!C29</f>
        <v>0</v>
      </c>
    </row>
    <row r="25" spans="1:3" ht="13.35" customHeight="1" x14ac:dyDescent="0.2">
      <c r="A25" s="526"/>
      <c r="B25" s="176" t="s">
        <v>45</v>
      </c>
      <c r="C25" s="177">
        <f>+'MMW Output'!C30</f>
        <v>0</v>
      </c>
    </row>
    <row r="26" spans="1:3" ht="13.35" customHeight="1" x14ac:dyDescent="0.2">
      <c r="A26" s="526"/>
      <c r="B26" s="174" t="s">
        <v>46</v>
      </c>
      <c r="C26" s="175">
        <f>+'MMW Output'!C31</f>
        <v>0</v>
      </c>
    </row>
    <row r="27" spans="1:3" ht="13.35" customHeight="1" x14ac:dyDescent="0.2">
      <c r="A27" s="526"/>
      <c r="B27" s="176" t="s">
        <v>47</v>
      </c>
      <c r="C27" s="177">
        <f>+'MMW Output'!C32</f>
        <v>0</v>
      </c>
    </row>
    <row r="28" spans="1:3" ht="13.35" customHeight="1" x14ac:dyDescent="0.2">
      <c r="A28" s="526"/>
      <c r="B28" s="174" t="s">
        <v>48</v>
      </c>
      <c r="C28" s="175">
        <f>+'MMW Output'!C33</f>
        <v>0</v>
      </c>
    </row>
    <row r="29" spans="1:3" ht="13.35" customHeight="1" x14ac:dyDescent="0.2">
      <c r="A29" s="526"/>
      <c r="B29" s="176" t="s">
        <v>49</v>
      </c>
      <c r="C29" s="177">
        <f>+'MMW Output'!C34</f>
        <v>0</v>
      </c>
    </row>
    <row r="30" spans="1:3" ht="13.35" customHeight="1" x14ac:dyDescent="0.2">
      <c r="A30" s="526"/>
      <c r="B30" s="174" t="s">
        <v>50</v>
      </c>
      <c r="C30" s="175">
        <f>+'MMW Output'!C35</f>
        <v>0</v>
      </c>
    </row>
    <row r="31" spans="1:3" ht="13.35" customHeight="1" x14ac:dyDescent="0.2">
      <c r="A31" s="526"/>
      <c r="B31" s="176" t="s">
        <v>51</v>
      </c>
      <c r="C31" s="177">
        <f>+'MMW Output'!C36</f>
        <v>0</v>
      </c>
    </row>
    <row r="32" spans="1:3" ht="13.35" customHeight="1" x14ac:dyDescent="0.2">
      <c r="A32" s="527"/>
      <c r="B32" s="178" t="s">
        <v>52</v>
      </c>
      <c r="C32" s="179">
        <f>+'MMW Output'!C37</f>
        <v>0</v>
      </c>
    </row>
    <row r="33" spans="1:7" ht="6" customHeight="1" x14ac:dyDescent="0.2">
      <c r="C33" s="180"/>
    </row>
    <row r="34" spans="1:7" ht="15.6" customHeight="1" x14ac:dyDescent="0.2">
      <c r="B34" s="96" t="s">
        <v>159</v>
      </c>
      <c r="C34" s="181">
        <f>SUM(C17:C33)</f>
        <v>0</v>
      </c>
    </row>
    <row r="35" spans="1:7" ht="17.100000000000001" customHeight="1" x14ac:dyDescent="0.2"/>
    <row r="36" spans="1:7" x14ac:dyDescent="0.2">
      <c r="A36" s="507" t="s">
        <v>160</v>
      </c>
      <c r="B36" s="507"/>
      <c r="C36" s="507"/>
      <c r="D36" s="507"/>
      <c r="E36" s="507"/>
      <c r="F36" s="507"/>
      <c r="G36" s="507"/>
    </row>
    <row r="37" spans="1:7" ht="6" customHeight="1" x14ac:dyDescent="0.2">
      <c r="B37" s="142"/>
      <c r="C37" s="143"/>
      <c r="D37" s="144"/>
    </row>
    <row r="38" spans="1:7" x14ac:dyDescent="0.2">
      <c r="B38" s="167"/>
      <c r="C38" s="168" t="s">
        <v>161</v>
      </c>
      <c r="D38" s="168"/>
    </row>
    <row r="39" spans="1:7" x14ac:dyDescent="0.2">
      <c r="B39" s="169" t="s">
        <v>88</v>
      </c>
      <c r="C39" s="169">
        <f>+C14*2000</f>
        <v>0</v>
      </c>
      <c r="D39" s="169" t="s">
        <v>137</v>
      </c>
      <c r="E39" s="91" t="str">
        <f>CONCATENATE("= [ ",ROUND(C14,2)," tons x 2,000 pounds per ton]")</f>
        <v>= [ 0 tons x 2,000 pounds per ton]</v>
      </c>
    </row>
    <row r="40" spans="1:7" ht="6" customHeight="1" x14ac:dyDescent="0.2">
      <c r="B40" s="142"/>
      <c r="D40" s="144"/>
    </row>
    <row r="41" spans="1:7" ht="17.100000000000001" customHeight="1" x14ac:dyDescent="0.2">
      <c r="B41" s="142"/>
      <c r="C41" s="143"/>
      <c r="D41" s="144"/>
    </row>
    <row r="42" spans="1:7" x14ac:dyDescent="0.2">
      <c r="A42" s="507" t="str">
        <f>CONCATENATE("Step 3. Sum the total acres in the ", 'MMW Output'!C15," watershed.")</f>
        <v>Step 3. Sum the total acres in the Upper Wissahickon watershed.</v>
      </c>
      <c r="B42" s="507"/>
      <c r="C42" s="507"/>
      <c r="D42" s="507"/>
      <c r="E42" s="507"/>
      <c r="F42" s="507"/>
      <c r="G42" s="507"/>
    </row>
    <row r="43" spans="1:7" ht="6" customHeight="1" x14ac:dyDescent="0.2">
      <c r="A43" s="182"/>
      <c r="B43" s="182"/>
      <c r="C43" s="182"/>
      <c r="D43" s="182"/>
      <c r="E43" s="182"/>
      <c r="F43" s="182"/>
      <c r="G43" s="182"/>
    </row>
    <row r="44" spans="1:7" x14ac:dyDescent="0.2">
      <c r="B44" s="183" t="s">
        <v>162</v>
      </c>
      <c r="C44" s="146">
        <f>SUM(C17:C33)</f>
        <v>0</v>
      </c>
      <c r="D44" s="162" t="s">
        <v>85</v>
      </c>
    </row>
    <row r="45" spans="1:7" ht="6" customHeight="1" x14ac:dyDescent="0.2">
      <c r="B45" s="142"/>
      <c r="C45" s="143"/>
      <c r="D45" s="144"/>
    </row>
    <row r="46" spans="1:7" ht="4.3499999999999996" customHeight="1" x14ac:dyDescent="0.2">
      <c r="B46" s="142"/>
      <c r="C46" s="143"/>
      <c r="D46" s="144"/>
    </row>
    <row r="47" spans="1:7" ht="14.45" customHeight="1" x14ac:dyDescent="0.2">
      <c r="A47" s="91" t="s">
        <v>163</v>
      </c>
      <c r="B47" s="142"/>
      <c r="C47" s="143"/>
      <c r="D47" s="144"/>
    </row>
    <row r="48" spans="1:7" ht="6" customHeight="1" x14ac:dyDescent="0.2">
      <c r="B48" s="142"/>
      <c r="C48" s="143"/>
      <c r="D48" s="144"/>
    </row>
    <row r="49" spans="1:7" ht="14.1" customHeight="1" x14ac:dyDescent="0.2">
      <c r="A49" s="91" t="str">
        <f>CONCATENATE("Watershed: ",'MMW Output'!$B$3)</f>
        <v>Watershed: Upper Wissahickon</v>
      </c>
      <c r="B49" s="142"/>
      <c r="C49" s="143"/>
      <c r="D49" s="144"/>
    </row>
    <row r="50" spans="1:7" ht="6" customHeight="1" x14ac:dyDescent="0.2">
      <c r="B50" s="142"/>
      <c r="C50" s="143"/>
      <c r="D50" s="144"/>
    </row>
    <row r="51" spans="1:7" ht="14.1" customHeight="1" x14ac:dyDescent="0.2">
      <c r="A51" s="91" t="str">
        <f>CONCATENATE("Year: ",'MMW Output'!$C$16)</f>
        <v>Year: 2018</v>
      </c>
      <c r="B51" s="142"/>
      <c r="C51" s="143"/>
      <c r="D51" s="144"/>
    </row>
    <row r="52" spans="1:7" ht="11.1" customHeight="1" x14ac:dyDescent="0.2">
      <c r="B52" s="142"/>
      <c r="C52" s="143"/>
      <c r="D52" s="144"/>
    </row>
    <row r="53" spans="1:7" ht="51" customHeight="1" x14ac:dyDescent="0.2">
      <c r="A53" s="507" t="s">
        <v>164</v>
      </c>
      <c r="B53" s="507"/>
      <c r="C53" s="507"/>
      <c r="D53" s="507"/>
      <c r="E53" s="507"/>
      <c r="F53" s="507"/>
      <c r="G53" s="507"/>
    </row>
    <row r="54" spans="1:7" ht="6" customHeight="1" x14ac:dyDescent="0.2">
      <c r="C54" s="141"/>
    </row>
    <row r="55" spans="1:7" x14ac:dyDescent="0.2">
      <c r="B55" s="148" t="s">
        <v>165</v>
      </c>
      <c r="C55" s="184" t="s">
        <v>85</v>
      </c>
      <c r="D55" s="184" t="s">
        <v>166</v>
      </c>
    </row>
    <row r="56" spans="1:7" x14ac:dyDescent="0.2">
      <c r="B56" s="185" t="s">
        <v>167</v>
      </c>
      <c r="C56" s="186">
        <f>+C27+C30</f>
        <v>0</v>
      </c>
      <c r="D56" s="187" t="e">
        <f>+C56/C$59</f>
        <v>#DIV/0!</v>
      </c>
      <c r="E56" s="188" t="s">
        <v>168</v>
      </c>
      <c r="F56" s="169"/>
      <c r="G56" s="189"/>
    </row>
    <row r="57" spans="1:7" x14ac:dyDescent="0.2">
      <c r="B57" s="190" t="s">
        <v>169</v>
      </c>
      <c r="C57" s="191">
        <f>+C28+C31</f>
        <v>0</v>
      </c>
      <c r="D57" s="192" t="e">
        <f>+C57/C$59</f>
        <v>#DIV/0!</v>
      </c>
      <c r="E57" s="193" t="s">
        <v>170</v>
      </c>
      <c r="F57" s="194"/>
      <c r="G57" s="195"/>
    </row>
    <row r="58" spans="1:7" ht="13.5" thickBot="1" x14ac:dyDescent="0.25">
      <c r="B58" s="196" t="s">
        <v>171</v>
      </c>
      <c r="C58" s="197">
        <f>+C29+C32</f>
        <v>0</v>
      </c>
      <c r="D58" s="198" t="e">
        <f>+C58/C$59</f>
        <v>#DIV/0!</v>
      </c>
      <c r="E58" s="188" t="s">
        <v>172</v>
      </c>
      <c r="F58" s="169"/>
      <c r="G58" s="189"/>
    </row>
    <row r="59" spans="1:7" x14ac:dyDescent="0.2">
      <c r="B59" s="162" t="s">
        <v>173</v>
      </c>
      <c r="C59" s="199">
        <f>+C56+C57+C58</f>
        <v>0</v>
      </c>
      <c r="D59" s="200" t="e">
        <f>+C59/C$59</f>
        <v>#DIV/0!</v>
      </c>
      <c r="E59" s="165" t="s">
        <v>174</v>
      </c>
    </row>
    <row r="60" spans="1:7" ht="6.6" customHeight="1" x14ac:dyDescent="0.2"/>
    <row r="62" spans="1:7" x14ac:dyDescent="0.2">
      <c r="A62" s="91" t="s">
        <v>175</v>
      </c>
    </row>
    <row r="63" spans="1:7" x14ac:dyDescent="0.2">
      <c r="B63" s="91" t="s">
        <v>176</v>
      </c>
    </row>
    <row r="64" spans="1:7" x14ac:dyDescent="0.2">
      <c r="B64" s="91" t="s">
        <v>177</v>
      </c>
    </row>
    <row r="65" spans="1:7" ht="8.1" customHeight="1" x14ac:dyDescent="0.2"/>
    <row r="66" spans="1:7" x14ac:dyDescent="0.2">
      <c r="B66" s="91" t="s">
        <v>178</v>
      </c>
      <c r="C66" s="201">
        <f>C39</f>
        <v>0</v>
      </c>
      <c r="D66" s="91" t="s">
        <v>137</v>
      </c>
      <c r="E66" s="165" t="s">
        <v>179</v>
      </c>
    </row>
    <row r="67" spans="1:7" x14ac:dyDescent="0.2">
      <c r="B67" s="91" t="s">
        <v>180</v>
      </c>
      <c r="C67" s="202">
        <f>+C59</f>
        <v>0</v>
      </c>
      <c r="D67" s="91" t="s">
        <v>85</v>
      </c>
      <c r="E67" s="165" t="s">
        <v>181</v>
      </c>
    </row>
    <row r="68" spans="1:7" ht="13.35" customHeight="1" x14ac:dyDescent="0.2">
      <c r="B68" s="91" t="s">
        <v>162</v>
      </c>
      <c r="C68" s="202">
        <f>+C44</f>
        <v>0</v>
      </c>
      <c r="D68" s="91" t="s">
        <v>85</v>
      </c>
      <c r="E68" s="165" t="s">
        <v>182</v>
      </c>
    </row>
    <row r="69" spans="1:7" ht="25.35" customHeight="1" x14ac:dyDescent="0.2">
      <c r="B69" s="203" t="s">
        <v>183</v>
      </c>
      <c r="C69" s="204" t="e">
        <f>+C67/C68</f>
        <v>#DIV/0!</v>
      </c>
      <c r="D69" s="165" t="s">
        <v>184</v>
      </c>
      <c r="E69" s="91" t="str">
        <f>CONCATENATE("[ ",ROUND(C67,2)," acres / ",ROUND(C68,2)," acres ]")</f>
        <v>[ 0 acres / 0 acres ]</v>
      </c>
    </row>
    <row r="70" spans="1:7" s="126" customFormat="1" ht="17.25" customHeight="1" x14ac:dyDescent="0.2"/>
    <row r="71" spans="1:7" ht="42" customHeight="1" x14ac:dyDescent="0.2">
      <c r="A71" s="205"/>
      <c r="B71" s="126" t="s">
        <v>185</v>
      </c>
      <c r="C71" s="206" t="e">
        <f>+C66*(C59/C68)*0.75</f>
        <v>#DIV/0!</v>
      </c>
      <c r="D71" s="91" t="s">
        <v>186</v>
      </c>
      <c r="E71" s="91" t="e">
        <f>CONCATENATE("[ 75% x ",ROUND(C66,2)," pounds x ",ROUND(C69*100,0),"% ]")</f>
        <v>#DIV/0!</v>
      </c>
    </row>
    <row r="72" spans="1:7" ht="26.25" thickBot="1" x14ac:dyDescent="0.25">
      <c r="A72" s="205"/>
      <c r="B72" s="207" t="s">
        <v>187</v>
      </c>
      <c r="C72" s="208">
        <f>+C66*0.25</f>
        <v>0</v>
      </c>
      <c r="D72" s="209" t="s">
        <v>186</v>
      </c>
      <c r="E72" s="91" t="str">
        <f>CONCATENATE("[ 25% x ",ROUND(C66,2)," pounds ]")</f>
        <v>[ 25% x 0 pounds ]</v>
      </c>
    </row>
    <row r="73" spans="1:7" ht="29.1" customHeight="1" x14ac:dyDescent="0.2">
      <c r="B73" s="210" t="s">
        <v>188</v>
      </c>
      <c r="C73" s="211" t="e">
        <f>+C72+C71</f>
        <v>#DIV/0!</v>
      </c>
      <c r="D73" s="212" t="s">
        <v>137</v>
      </c>
    </row>
    <row r="74" spans="1:7" ht="6.6" customHeight="1" x14ac:dyDescent="0.2"/>
    <row r="75" spans="1:7" ht="8.4499999999999993" customHeight="1" x14ac:dyDescent="0.2"/>
    <row r="76" spans="1:7" ht="42" customHeight="1" x14ac:dyDescent="0.2">
      <c r="A76" s="507" t="s">
        <v>189</v>
      </c>
      <c r="B76" s="507"/>
      <c r="C76" s="507"/>
      <c r="D76" s="507"/>
      <c r="E76" s="507"/>
      <c r="F76" s="507"/>
      <c r="G76" s="507"/>
    </row>
    <row r="77" spans="1:7" ht="6" customHeight="1" x14ac:dyDescent="0.2"/>
    <row r="78" spans="1:7" x14ac:dyDescent="0.2">
      <c r="B78" s="96" t="s">
        <v>190</v>
      </c>
    </row>
    <row r="79" spans="1:7" ht="12.75" customHeight="1" x14ac:dyDescent="0.2">
      <c r="B79" s="185" t="s">
        <v>167</v>
      </c>
      <c r="C79" s="213">
        <v>0.15</v>
      </c>
    </row>
    <row r="80" spans="1:7" x14ac:dyDescent="0.2">
      <c r="B80" s="190" t="s">
        <v>169</v>
      </c>
      <c r="C80" s="214">
        <v>0.52</v>
      </c>
    </row>
    <row r="81" spans="1:7" x14ac:dyDescent="0.2">
      <c r="B81" s="185" t="s">
        <v>171</v>
      </c>
      <c r="C81" s="213">
        <v>0.87</v>
      </c>
    </row>
    <row r="82" spans="1:7" ht="6" customHeight="1" x14ac:dyDescent="0.2"/>
    <row r="83" spans="1:7" ht="11.45" customHeight="1" x14ac:dyDescent="0.2"/>
    <row r="84" spans="1:7" ht="24.6" customHeight="1" x14ac:dyDescent="0.2">
      <c r="A84" s="507" t="s">
        <v>191</v>
      </c>
      <c r="B84" s="507"/>
      <c r="C84" s="507"/>
      <c r="D84" s="507"/>
      <c r="E84" s="507"/>
      <c r="F84" s="507"/>
      <c r="G84" s="507"/>
    </row>
    <row r="85" spans="1:7" ht="6" customHeight="1" x14ac:dyDescent="0.2"/>
    <row r="86" spans="1:7" x14ac:dyDescent="0.2">
      <c r="B86" s="96" t="s">
        <v>192</v>
      </c>
    </row>
    <row r="87" spans="1:7" x14ac:dyDescent="0.2">
      <c r="B87" s="215" t="s">
        <v>167</v>
      </c>
      <c r="C87" s="186">
        <f>+C56*C79</f>
        <v>0</v>
      </c>
      <c r="D87" s="169" t="s">
        <v>193</v>
      </c>
      <c r="E87" s="216" t="str">
        <f>CONCATENATE(" [ ",ROUND(C56,2)," acres x ",C79*100," percent ]")</f>
        <v xml:space="preserve"> [ 0 acres x 15 percent ]</v>
      </c>
      <c r="F87" s="169"/>
      <c r="G87" s="189"/>
    </row>
    <row r="88" spans="1:7" x14ac:dyDescent="0.2">
      <c r="B88" s="217" t="s">
        <v>169</v>
      </c>
      <c r="C88" s="191">
        <f>+C57*C80</f>
        <v>0</v>
      </c>
      <c r="D88" s="194" t="s">
        <v>193</v>
      </c>
      <c r="E88" s="218" t="str">
        <f>CONCATENATE(" [ ",ROUND(C57,2)," acres x ",C80*100," percent ]")</f>
        <v xml:space="preserve"> [ 0 acres x 52 percent ]</v>
      </c>
      <c r="F88" s="194"/>
      <c r="G88" s="195"/>
    </row>
    <row r="89" spans="1:7" ht="13.5" thickBot="1" x14ac:dyDescent="0.25">
      <c r="B89" s="219" t="s">
        <v>171</v>
      </c>
      <c r="C89" s="197">
        <f>+C58*C81</f>
        <v>0</v>
      </c>
      <c r="D89" s="220" t="s">
        <v>193</v>
      </c>
      <c r="E89" s="216" t="str">
        <f>CONCATENATE(" [ ",ROUND(C58,2)," acres x ",C81*100," percent ]")</f>
        <v xml:space="preserve"> [ 0 acres x 87 percent ]</v>
      </c>
      <c r="F89" s="169"/>
      <c r="G89" s="189"/>
    </row>
    <row r="90" spans="1:7" ht="29.1" customHeight="1" x14ac:dyDescent="0.2">
      <c r="B90" s="221" t="s">
        <v>194</v>
      </c>
      <c r="C90" s="222">
        <f>+C87+C88+C89</f>
        <v>0</v>
      </c>
      <c r="D90" s="91" t="s">
        <v>85</v>
      </c>
    </row>
    <row r="91" spans="1:7" ht="6" customHeight="1" x14ac:dyDescent="0.2"/>
    <row r="93" spans="1:7" x14ac:dyDescent="0.2">
      <c r="A93" s="91" t="s">
        <v>195</v>
      </c>
    </row>
    <row r="94" spans="1:7" ht="6" customHeight="1" x14ac:dyDescent="0.2"/>
    <row r="95" spans="1:7" x14ac:dyDescent="0.2">
      <c r="A95" s="91" t="str">
        <f>CONCATENATE("Watershed: ",'MMW Output'!$B$3)</f>
        <v>Watershed: Upper Wissahickon</v>
      </c>
    </row>
    <row r="96" spans="1:7" ht="6" customHeight="1" x14ac:dyDescent="0.2"/>
    <row r="97" spans="1:7" x14ac:dyDescent="0.2">
      <c r="A97" s="91" t="str">
        <f>CONCATENATE("Year: ",'MMW Output'!$C$16)</f>
        <v>Year: 2018</v>
      </c>
    </row>
    <row r="99" spans="1:7" x14ac:dyDescent="0.2">
      <c r="A99" s="91" t="s">
        <v>196</v>
      </c>
    </row>
    <row r="100" spans="1:7" ht="6" customHeight="1" x14ac:dyDescent="0.2"/>
    <row r="101" spans="1:7" x14ac:dyDescent="0.2">
      <c r="B101" s="96" t="s">
        <v>197</v>
      </c>
    </row>
    <row r="102" spans="1:7" x14ac:dyDescent="0.2">
      <c r="B102" s="185" t="s">
        <v>167</v>
      </c>
      <c r="C102" s="213" t="e">
        <f>+C87/(C$87+C$88+C$89)</f>
        <v>#DIV/0!</v>
      </c>
      <c r="D102" s="223" t="s">
        <v>198</v>
      </c>
      <c r="E102" s="216" t="str">
        <f>CONCATENATE(" [ ",ROUND(C87,2)," acres / ",ROUND(C90,2)," acres ]")</f>
        <v xml:space="preserve"> [ 0 acres / 0 acres ]</v>
      </c>
      <c r="F102" s="169"/>
      <c r="G102" s="189"/>
    </row>
    <row r="103" spans="1:7" x14ac:dyDescent="0.2">
      <c r="B103" s="190" t="s">
        <v>169</v>
      </c>
      <c r="C103" s="214" t="e">
        <f>+C88/(C$87+C$88+C$89)</f>
        <v>#DIV/0!</v>
      </c>
      <c r="D103" s="224" t="s">
        <v>198</v>
      </c>
      <c r="E103" s="218" t="str">
        <f>CONCATENATE(" [ ",ROUND(C88,2)," acres / ",ROUND(C90,2)," acres ]")</f>
        <v xml:space="preserve"> [ 0 acres / 0 acres ]</v>
      </c>
      <c r="F103" s="194"/>
      <c r="G103" s="195"/>
    </row>
    <row r="104" spans="1:7" ht="13.5" thickBot="1" x14ac:dyDescent="0.25">
      <c r="B104" s="196" t="s">
        <v>171</v>
      </c>
      <c r="C104" s="225" t="e">
        <f>+C89/(C$87+C$88+C$89)</f>
        <v>#DIV/0!</v>
      </c>
      <c r="D104" s="223" t="s">
        <v>198</v>
      </c>
      <c r="E104" s="216" t="str">
        <f>CONCATENATE(" [ ",ROUND(C89,2)," acres / ",ROUND(C90,2)," acres ]")</f>
        <v xml:space="preserve"> [ 0 acres / 0 acres ]</v>
      </c>
      <c r="F104" s="169"/>
      <c r="G104" s="189"/>
    </row>
    <row r="105" spans="1:7" x14ac:dyDescent="0.2">
      <c r="B105" s="91" t="s">
        <v>173</v>
      </c>
      <c r="C105" s="226" t="e">
        <f>+C102+C103+C104</f>
        <v>#DIV/0!</v>
      </c>
    </row>
    <row r="106" spans="1:7" ht="7.35" customHeight="1" x14ac:dyDescent="0.2"/>
    <row r="107" spans="1:7" ht="13.35" customHeight="1" x14ac:dyDescent="0.2"/>
    <row r="108" spans="1:7" ht="24" customHeight="1" x14ac:dyDescent="0.2">
      <c r="A108" s="507" t="s">
        <v>199</v>
      </c>
      <c r="B108" s="507"/>
      <c r="C108" s="507"/>
      <c r="D108" s="507"/>
      <c r="E108" s="507"/>
      <c r="F108" s="507"/>
      <c r="G108" s="507"/>
    </row>
    <row r="109" spans="1:7" ht="6" customHeight="1" x14ac:dyDescent="0.2"/>
    <row r="110" spans="1:7" ht="25.5" customHeight="1" x14ac:dyDescent="0.2">
      <c r="B110" s="227" t="s">
        <v>188</v>
      </c>
      <c r="C110" s="114" t="e">
        <f>+C73</f>
        <v>#DIV/0!</v>
      </c>
      <c r="D110" s="91" t="s">
        <v>200</v>
      </c>
      <c r="E110" s="165" t="s">
        <v>201</v>
      </c>
    </row>
    <row r="111" spans="1:7" ht="25.5" customHeight="1" x14ac:dyDescent="0.2">
      <c r="B111" s="182" t="s">
        <v>202</v>
      </c>
      <c r="C111" s="206" t="e">
        <f>+C71</f>
        <v>#DIV/0!</v>
      </c>
      <c r="D111" s="91" t="s">
        <v>200</v>
      </c>
      <c r="E111" s="165" t="s">
        <v>201</v>
      </c>
    </row>
    <row r="112" spans="1:7" ht="25.5" customHeight="1" x14ac:dyDescent="0.2">
      <c r="B112" s="182" t="s">
        <v>203</v>
      </c>
      <c r="C112" s="206">
        <f>+C72</f>
        <v>0</v>
      </c>
      <c r="D112" s="91" t="s">
        <v>200</v>
      </c>
      <c r="E112" s="165" t="s">
        <v>201</v>
      </c>
    </row>
    <row r="113" spans="1:7" ht="6" customHeight="1" x14ac:dyDescent="0.2"/>
    <row r="114" spans="1:7" ht="13.35" customHeight="1" x14ac:dyDescent="0.2"/>
    <row r="115" spans="1:7" ht="14.1" customHeight="1" x14ac:dyDescent="0.2">
      <c r="A115" s="507" t="s">
        <v>204</v>
      </c>
      <c r="B115" s="507"/>
      <c r="C115" s="507"/>
      <c r="D115" s="507"/>
      <c r="E115" s="507"/>
      <c r="F115" s="507"/>
      <c r="G115" s="507"/>
    </row>
    <row r="116" spans="1:7" ht="15" customHeight="1" x14ac:dyDescent="0.2">
      <c r="A116" s="507" t="str">
        <f>CONCATENATE("multiplying the 'Percent of Total Impervious Surfaces' (Step 8) by ",ROUND(C112,2)," pounds (calculated in Step 9):")</f>
        <v>multiplying the 'Percent of Total Impervious Surfaces' (Step 8) by 0 pounds (calculated in Step 9):</v>
      </c>
      <c r="B116" s="507"/>
      <c r="C116" s="507"/>
      <c r="D116" s="507"/>
      <c r="E116" s="507"/>
      <c r="F116" s="507"/>
      <c r="G116" s="507"/>
    </row>
    <row r="117" spans="1:7" ht="6" customHeight="1" x14ac:dyDescent="0.2">
      <c r="A117" s="182"/>
      <c r="B117" s="182"/>
      <c r="C117" s="182"/>
      <c r="D117" s="182"/>
      <c r="E117" s="182"/>
      <c r="F117" s="182"/>
      <c r="G117" s="182"/>
    </row>
    <row r="118" spans="1:7" ht="16.350000000000001" customHeight="1" x14ac:dyDescent="0.2">
      <c r="B118" s="96" t="s">
        <v>205</v>
      </c>
      <c r="C118" s="221"/>
      <c r="D118" s="221"/>
      <c r="E118" s="221"/>
      <c r="F118" s="126"/>
    </row>
    <row r="119" spans="1:7" x14ac:dyDescent="0.2">
      <c r="B119" s="185" t="s">
        <v>167</v>
      </c>
      <c r="C119" s="170" t="e">
        <f>C102*C$112</f>
        <v>#DIV/0!</v>
      </c>
      <c r="D119" s="528" t="e">
        <f>CONCATENATE("=   [ ",ROUND(C102*100,0)," % x ",ROUND(C$112,2)," pounds ]")</f>
        <v>#DIV/0!</v>
      </c>
      <c r="E119" s="529"/>
      <c r="F119" s="529"/>
      <c r="G119" s="529"/>
    </row>
    <row r="120" spans="1:7" x14ac:dyDescent="0.2">
      <c r="B120" s="190" t="s">
        <v>169</v>
      </c>
      <c r="C120" s="228" t="e">
        <f>C103*C$112</f>
        <v>#DIV/0!</v>
      </c>
      <c r="D120" s="530" t="e">
        <f>CONCATENATE("=   [ ",ROUND(C103*100,0)," % x ",ROUND(C$112,2)," pounds ]")</f>
        <v>#DIV/0!</v>
      </c>
      <c r="E120" s="531"/>
      <c r="F120" s="531"/>
      <c r="G120" s="531"/>
    </row>
    <row r="121" spans="1:7" x14ac:dyDescent="0.2">
      <c r="B121" s="185" t="s">
        <v>171</v>
      </c>
      <c r="C121" s="170" t="e">
        <f>C104*C$112</f>
        <v>#DIV/0!</v>
      </c>
      <c r="D121" s="528" t="e">
        <f>CONCATENATE("=   [ ",ROUND(C104*100,0)," % x ",ROUND(C$112,2)," pounds ]")</f>
        <v>#DIV/0!</v>
      </c>
      <c r="E121" s="529"/>
      <c r="F121" s="529"/>
      <c r="G121" s="529"/>
    </row>
    <row r="122" spans="1:7" ht="6" customHeight="1" x14ac:dyDescent="0.2">
      <c r="C122" s="229"/>
    </row>
    <row r="124" spans="1:7" x14ac:dyDescent="0.2">
      <c r="A124" s="507" t="s">
        <v>206</v>
      </c>
      <c r="B124" s="507"/>
      <c r="C124" s="507"/>
      <c r="D124" s="507"/>
      <c r="E124" s="507"/>
      <c r="F124" s="507"/>
      <c r="G124" s="507"/>
    </row>
    <row r="125" spans="1:7" x14ac:dyDescent="0.2">
      <c r="A125" s="507" t="e">
        <f>CONCATENATE("the 'Percent of Area of Developed Lands' (from Step 4) by ",ROUND(C111,2)," pounds (calculated in Step 9):")</f>
        <v>#DIV/0!</v>
      </c>
      <c r="B125" s="507"/>
      <c r="C125" s="507"/>
      <c r="D125" s="507"/>
      <c r="E125" s="507"/>
      <c r="F125" s="507"/>
      <c r="G125" s="507"/>
    </row>
    <row r="126" spans="1:7" ht="6" customHeight="1" x14ac:dyDescent="0.2"/>
    <row r="127" spans="1:7" ht="17.100000000000001" customHeight="1" x14ac:dyDescent="0.2">
      <c r="B127" s="96" t="s">
        <v>207</v>
      </c>
      <c r="C127" s="221"/>
      <c r="D127" s="221"/>
      <c r="E127" s="221"/>
    </row>
    <row r="128" spans="1:7" x14ac:dyDescent="0.2">
      <c r="B128" s="185" t="s">
        <v>167</v>
      </c>
      <c r="C128" s="170" t="e">
        <f>(C56/C$59)*C$111</f>
        <v>#DIV/0!</v>
      </c>
      <c r="D128" s="528" t="e">
        <f>CONCATENATE("=   [ ",ROUND(D56*100,0)," % x ",ROUND(C$111,2)," pounds ]")</f>
        <v>#DIV/0!</v>
      </c>
      <c r="E128" s="529"/>
      <c r="F128" s="529"/>
      <c r="G128" s="529"/>
    </row>
    <row r="129" spans="1:13" x14ac:dyDescent="0.2">
      <c r="B129" s="190" t="s">
        <v>169</v>
      </c>
      <c r="C129" s="228" t="e">
        <f>(C57/C$59)*C$111</f>
        <v>#DIV/0!</v>
      </c>
      <c r="D129" s="530" t="e">
        <f>CONCATENATE("=   [ ",ROUND(D57*100,0)," % x ",ROUND(C$111,2)," pounds ]")</f>
        <v>#DIV/0!</v>
      </c>
      <c r="E129" s="531"/>
      <c r="F129" s="531"/>
      <c r="G129" s="531"/>
    </row>
    <row r="130" spans="1:13" x14ac:dyDescent="0.2">
      <c r="B130" s="185" t="s">
        <v>171</v>
      </c>
      <c r="C130" s="170" t="e">
        <f>(C58/C$59)*C$111</f>
        <v>#DIV/0!</v>
      </c>
      <c r="D130" s="528" t="e">
        <f>CONCATENATE("=   [ ",ROUND(D58*100,0)," % x ",ROUND(C$111,2)," pounds ] ")</f>
        <v>#DIV/0!</v>
      </c>
      <c r="E130" s="529"/>
      <c r="F130" s="529"/>
      <c r="G130" s="529"/>
    </row>
    <row r="131" spans="1:13" ht="7.35" customHeight="1" x14ac:dyDescent="0.2"/>
    <row r="133" spans="1:13" ht="26.45" customHeight="1" x14ac:dyDescent="0.2">
      <c r="A133" s="507" t="s">
        <v>208</v>
      </c>
      <c r="B133" s="507"/>
      <c r="C133" s="507"/>
      <c r="D133" s="507"/>
      <c r="E133" s="507"/>
      <c r="F133" s="507"/>
      <c r="G133" s="507"/>
    </row>
    <row r="134" spans="1:13" ht="6" customHeight="1" x14ac:dyDescent="0.2"/>
    <row r="135" spans="1:13" ht="16.350000000000001" customHeight="1" x14ac:dyDescent="0.2">
      <c r="B135" s="96" t="s">
        <v>209</v>
      </c>
      <c r="C135" s="230"/>
      <c r="D135" s="230"/>
      <c r="E135" s="221"/>
      <c r="F135" s="221"/>
      <c r="G135" s="221"/>
      <c r="H135" s="221"/>
      <c r="I135" s="221"/>
      <c r="J135" s="221"/>
      <c r="K135" s="221"/>
      <c r="L135" s="231"/>
      <c r="M135" s="232"/>
    </row>
    <row r="136" spans="1:13" x14ac:dyDescent="0.2">
      <c r="B136" s="185" t="s">
        <v>167</v>
      </c>
      <c r="C136" s="169" t="e">
        <f>+C119+C128</f>
        <v>#DIV/0!</v>
      </c>
      <c r="D136" s="215" t="e">
        <f>CONCATENATE("   =   [ ",ROUND(C119,2)," pounds + ",ROUND(C128,2)," pounds ]")</f>
        <v>#DIV/0!</v>
      </c>
      <c r="E136" s="189"/>
      <c r="F136" s="169"/>
      <c r="G136" s="189"/>
      <c r="I136" s="233"/>
      <c r="J136" s="233"/>
      <c r="K136" s="234"/>
      <c r="M136" s="235"/>
    </row>
    <row r="137" spans="1:13" x14ac:dyDescent="0.2">
      <c r="B137" s="190" t="s">
        <v>169</v>
      </c>
      <c r="C137" s="194" t="e">
        <f>+C120+C129</f>
        <v>#DIV/0!</v>
      </c>
      <c r="D137" s="217" t="e">
        <f>CONCATENATE("   =   [ ",ROUND(C120,2)," pounds + ",ROUND(C129,2)," pounds ]")</f>
        <v>#DIV/0!</v>
      </c>
      <c r="E137" s="195"/>
      <c r="F137" s="194"/>
      <c r="G137" s="195"/>
      <c r="I137" s="233"/>
      <c r="J137" s="233"/>
      <c r="K137" s="234"/>
      <c r="M137" s="235"/>
    </row>
    <row r="138" spans="1:13" x14ac:dyDescent="0.2">
      <c r="B138" s="185" t="s">
        <v>171</v>
      </c>
      <c r="C138" s="169" t="e">
        <f>+C121+C130</f>
        <v>#DIV/0!</v>
      </c>
      <c r="D138" s="215" t="e">
        <f>CONCATENATE("   =   [ ",ROUND(C121,2)," pounds + ",ROUND(C130,2)," pounds ]")</f>
        <v>#DIV/0!</v>
      </c>
      <c r="E138" s="189"/>
      <c r="F138" s="169"/>
      <c r="G138" s="189"/>
      <c r="I138" s="233"/>
      <c r="J138" s="233"/>
      <c r="K138" s="234"/>
      <c r="M138" s="235"/>
    </row>
    <row r="139" spans="1:13" ht="7.35" customHeight="1" x14ac:dyDescent="0.2">
      <c r="M139" s="229"/>
    </row>
    <row r="142" spans="1:13" x14ac:dyDescent="0.2">
      <c r="A142" s="91" t="s">
        <v>210</v>
      </c>
    </row>
    <row r="143" spans="1:13" ht="6" customHeight="1" x14ac:dyDescent="0.2"/>
    <row r="144" spans="1:13" x14ac:dyDescent="0.2">
      <c r="A144" s="91" t="str">
        <f>CONCATENATE("Watershed: ",'MMW Output'!$B$3)</f>
        <v>Watershed: Upper Wissahickon</v>
      </c>
    </row>
    <row r="145" spans="1:7" ht="6" customHeight="1" x14ac:dyDescent="0.2"/>
    <row r="146" spans="1:7" x14ac:dyDescent="0.2">
      <c r="A146" s="91" t="str">
        <f>CONCATENATE("Year: ",'MMW Output'!$C$16)</f>
        <v>Year: 2018</v>
      </c>
    </row>
    <row r="148" spans="1:7" ht="28.35" customHeight="1" x14ac:dyDescent="0.2">
      <c r="A148" s="507" t="s">
        <v>211</v>
      </c>
      <c r="B148" s="507"/>
      <c r="C148" s="507"/>
      <c r="D148" s="507"/>
      <c r="E148" s="507"/>
      <c r="F148" s="507"/>
      <c r="G148" s="507"/>
    </row>
    <row r="149" spans="1:7" ht="8.4499999999999993" customHeight="1" x14ac:dyDescent="0.2"/>
    <row r="150" spans="1:7" ht="53.45" customHeight="1" x14ac:dyDescent="0.2">
      <c r="A150" s="532" t="s">
        <v>212</v>
      </c>
      <c r="B150" s="532"/>
      <c r="C150" s="236" t="s">
        <v>137</v>
      </c>
      <c r="D150" s="237" t="s">
        <v>213</v>
      </c>
      <c r="E150" s="533" t="s">
        <v>214</v>
      </c>
      <c r="F150" s="533"/>
    </row>
    <row r="151" spans="1:7" x14ac:dyDescent="0.2">
      <c r="B151" s="238" t="s">
        <v>167</v>
      </c>
      <c r="C151" s="169" t="e">
        <f>+C136</f>
        <v>#DIV/0!</v>
      </c>
      <c r="D151" s="169">
        <f>+C56</f>
        <v>0</v>
      </c>
      <c r="E151" s="239" t="e">
        <f>+C151/D151</f>
        <v>#DIV/0!</v>
      </c>
      <c r="F151" s="240" t="e">
        <f>CONCATENATE("= [",ROUND(C151,2)," lbs / ",(ROUND(D151,2))," acres ]")</f>
        <v>#DIV/0!</v>
      </c>
      <c r="G151" s="189"/>
    </row>
    <row r="152" spans="1:7" x14ac:dyDescent="0.2">
      <c r="B152" s="241" t="s">
        <v>169</v>
      </c>
      <c r="C152" s="194" t="e">
        <f>+C137</f>
        <v>#DIV/0!</v>
      </c>
      <c r="D152" s="194">
        <f>+C57</f>
        <v>0</v>
      </c>
      <c r="E152" s="242" t="e">
        <f>+C152/D152</f>
        <v>#DIV/0!</v>
      </c>
      <c r="F152" s="243" t="e">
        <f>CONCATENATE("= [",ROUND(C152,2)," lbs / ",(ROUND(D152,2))," acres ]")</f>
        <v>#DIV/0!</v>
      </c>
      <c r="G152" s="195"/>
    </row>
    <row r="153" spans="1:7" x14ac:dyDescent="0.2">
      <c r="B153" s="238" t="s">
        <v>171</v>
      </c>
      <c r="C153" s="169" t="e">
        <f>+C138</f>
        <v>#DIV/0!</v>
      </c>
      <c r="D153" s="169">
        <f>+C58</f>
        <v>0</v>
      </c>
      <c r="E153" s="239" t="e">
        <f>+C153/D153</f>
        <v>#DIV/0!</v>
      </c>
      <c r="F153" s="240" t="e">
        <f>CONCATENATE("= [",ROUND(C153,2)," lbs / ",(ROUND(D153,2))," acres ]")</f>
        <v>#DIV/0!</v>
      </c>
      <c r="G153" s="189"/>
    </row>
    <row r="154" spans="1:7" ht="6" customHeight="1" x14ac:dyDescent="0.2"/>
    <row r="155" spans="1:7" ht="7.35" customHeight="1" x14ac:dyDescent="0.2"/>
    <row r="157" spans="1:7" x14ac:dyDescent="0.2">
      <c r="A157" s="91" t="s">
        <v>215</v>
      </c>
    </row>
    <row r="158" spans="1:7" ht="6" customHeight="1" x14ac:dyDescent="0.2"/>
    <row r="159" spans="1:7" x14ac:dyDescent="0.2">
      <c r="B159" s="91" t="s">
        <v>216</v>
      </c>
      <c r="C159" s="206">
        <f>+C39</f>
        <v>0</v>
      </c>
      <c r="D159" s="91" t="s">
        <v>200</v>
      </c>
      <c r="E159" s="165" t="s">
        <v>217</v>
      </c>
    </row>
    <row r="160" spans="1:7" x14ac:dyDescent="0.2">
      <c r="B160" s="244" t="s">
        <v>218</v>
      </c>
      <c r="C160" s="245" t="e">
        <f>+C73</f>
        <v>#DIV/0!</v>
      </c>
      <c r="D160" s="167" t="s">
        <v>200</v>
      </c>
      <c r="E160" s="165" t="s">
        <v>219</v>
      </c>
    </row>
    <row r="161" spans="1:7" ht="25.5" x14ac:dyDescent="0.2">
      <c r="B161" s="126" t="s">
        <v>220</v>
      </c>
      <c r="C161" s="114" t="e">
        <f>+C159-C160</f>
        <v>#DIV/0!</v>
      </c>
      <c r="D161" s="91" t="s">
        <v>200</v>
      </c>
      <c r="E161" s="246" t="e">
        <f>CONCATENATE("[ ",ROUND(C159,2)," pounds - ",ROUND(C160,2)," pounds ]")</f>
        <v>#DIV/0!</v>
      </c>
    </row>
    <row r="162" spans="1:7" ht="8.4499999999999993" customHeight="1" x14ac:dyDescent="0.2"/>
    <row r="163" spans="1:7" x14ac:dyDescent="0.2">
      <c r="B163" s="91" t="s">
        <v>221</v>
      </c>
      <c r="C163" s="247">
        <f>+C44-C59</f>
        <v>0</v>
      </c>
      <c r="D163" s="91" t="s">
        <v>222</v>
      </c>
      <c r="E163" s="165" t="s">
        <v>223</v>
      </c>
    </row>
    <row r="164" spans="1:7" ht="9" customHeight="1" x14ac:dyDescent="0.2"/>
    <row r="165" spans="1:7" ht="38.25" x14ac:dyDescent="0.2">
      <c r="B165" s="248" t="s">
        <v>224</v>
      </c>
      <c r="C165" s="249" t="e">
        <f>+C161/C163</f>
        <v>#DIV/0!</v>
      </c>
      <c r="D165" s="248" t="s">
        <v>150</v>
      </c>
      <c r="E165" s="91" t="e">
        <f>CONCATENATE("=  [ ",ROUND(C161,2)," pounds / ",ROUND(C163,2)," acres ]")</f>
        <v>#DIV/0!</v>
      </c>
    </row>
    <row r="166" spans="1:7" ht="8.1" customHeight="1" x14ac:dyDescent="0.2"/>
    <row r="168" spans="1:7" ht="51" customHeight="1" x14ac:dyDescent="0.2">
      <c r="A168" s="507" t="s">
        <v>225</v>
      </c>
      <c r="B168" s="507"/>
      <c r="C168" s="507"/>
      <c r="D168" s="507"/>
      <c r="E168" s="507"/>
      <c r="F168" s="507"/>
      <c r="G168" s="507"/>
    </row>
  </sheetData>
  <mergeCells count="26">
    <mergeCell ref="A168:G168"/>
    <mergeCell ref="D128:G128"/>
    <mergeCell ref="D129:G129"/>
    <mergeCell ref="D130:G130"/>
    <mergeCell ref="A133:G133"/>
    <mergeCell ref="A148:G148"/>
    <mergeCell ref="A150:B150"/>
    <mergeCell ref="E150:F150"/>
    <mergeCell ref="A125:G125"/>
    <mergeCell ref="A42:G42"/>
    <mergeCell ref="A53:G53"/>
    <mergeCell ref="A76:G76"/>
    <mergeCell ref="A84:G84"/>
    <mergeCell ref="A108:G108"/>
    <mergeCell ref="A115:G115"/>
    <mergeCell ref="A116:G116"/>
    <mergeCell ref="D119:G119"/>
    <mergeCell ref="D120:G120"/>
    <mergeCell ref="D121:G121"/>
    <mergeCell ref="A124:G124"/>
    <mergeCell ref="A36:G36"/>
    <mergeCell ref="A7:F7"/>
    <mergeCell ref="A8:G8"/>
    <mergeCell ref="A11:G11"/>
    <mergeCell ref="E14:G16"/>
    <mergeCell ref="A17:A32"/>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5"/>
  <sheetViews>
    <sheetView topLeftCell="B107" zoomScale="80" zoomScaleNormal="80" zoomScaleSheetLayoutView="80" workbookViewId="0">
      <selection activeCell="G1" sqref="G1"/>
    </sheetView>
  </sheetViews>
  <sheetFormatPr defaultColWidth="8.875" defaultRowHeight="12.75" x14ac:dyDescent="0.2"/>
  <cols>
    <col min="1" max="1" width="2.625" style="91" customWidth="1"/>
    <col min="2" max="2" width="25" style="91" customWidth="1"/>
    <col min="3" max="3" width="16.375" style="91" customWidth="1"/>
    <col min="4" max="4" width="9.875" style="91" customWidth="1"/>
    <col min="5" max="5" width="9.5" style="91" customWidth="1"/>
    <col min="6" max="6" width="9.875" style="91" customWidth="1"/>
    <col min="7" max="7" width="16.5" style="91" customWidth="1"/>
    <col min="8" max="8" width="5" style="91" customWidth="1"/>
    <col min="9" max="9" width="10.5" style="91" customWidth="1"/>
    <col min="10" max="10" width="8.875" style="91"/>
    <col min="11" max="11" width="10.125" style="91" bestFit="1" customWidth="1"/>
    <col min="12" max="12" width="3.5" style="91" customWidth="1"/>
    <col min="13" max="16384" width="8.875" style="91"/>
  </cols>
  <sheetData>
    <row r="1" spans="1:11" ht="14.45" customHeight="1" x14ac:dyDescent="0.25">
      <c r="A1" s="92" t="s">
        <v>7</v>
      </c>
      <c r="B1" s="124"/>
    </row>
    <row r="2" spans="1:11" ht="6" customHeight="1" x14ac:dyDescent="0.2"/>
    <row r="3" spans="1:11" ht="14.45" customHeight="1" x14ac:dyDescent="0.2">
      <c r="A3" s="91" t="str">
        <f>CONCATENATE("Watershed: ",'MMW Output'!$B$3)</f>
        <v>Watershed: Upper Wissahickon</v>
      </c>
    </row>
    <row r="4" spans="1:11" ht="6" customHeight="1" x14ac:dyDescent="0.2"/>
    <row r="5" spans="1:11" ht="14.45" customHeight="1" x14ac:dyDescent="0.2">
      <c r="A5" s="91" t="str">
        <f>CONCATENATE("Year: ",'MMW Output'!$C$16)</f>
        <v>Year: 2018</v>
      </c>
    </row>
    <row r="6" spans="1:11" ht="11.45" customHeight="1" x14ac:dyDescent="0.2"/>
    <row r="7" spans="1:11" ht="18.75" customHeight="1" x14ac:dyDescent="0.2">
      <c r="A7" s="508" t="s">
        <v>226</v>
      </c>
      <c r="B7" s="508"/>
      <c r="C7" s="508"/>
      <c r="D7" s="508"/>
      <c r="E7" s="508"/>
      <c r="F7" s="508"/>
    </row>
    <row r="8" spans="1:11" ht="95.1" customHeight="1" x14ac:dyDescent="0.2">
      <c r="A8" s="507" t="s">
        <v>227</v>
      </c>
      <c r="B8" s="507"/>
      <c r="C8" s="507"/>
      <c r="D8" s="507"/>
      <c r="E8" s="507"/>
      <c r="F8" s="507"/>
      <c r="G8" s="507"/>
    </row>
    <row r="9" spans="1:11" ht="8.4499999999999993" customHeight="1" x14ac:dyDescent="0.2"/>
    <row r="10" spans="1:11" ht="8.4499999999999993" customHeight="1" x14ac:dyDescent="0.2"/>
    <row r="11" spans="1:11" ht="27.6" customHeight="1" x14ac:dyDescent="0.2">
      <c r="A11" s="507" t="s">
        <v>228</v>
      </c>
      <c r="B11" s="507"/>
      <c r="C11" s="507"/>
      <c r="D11" s="507"/>
      <c r="E11" s="507"/>
      <c r="F11" s="507"/>
      <c r="G11" s="507"/>
    </row>
    <row r="12" spans="1:11" ht="6" customHeight="1" x14ac:dyDescent="0.2"/>
    <row r="13" spans="1:11" x14ac:dyDescent="0.2">
      <c r="B13" s="134" t="s">
        <v>14</v>
      </c>
      <c r="C13" s="135" t="s">
        <v>140</v>
      </c>
      <c r="E13" s="250"/>
      <c r="F13" s="250"/>
      <c r="G13" s="250"/>
      <c r="K13" s="171"/>
    </row>
    <row r="14" spans="1:11" ht="13.35" customHeight="1" x14ac:dyDescent="0.2">
      <c r="A14" s="525" t="s">
        <v>158</v>
      </c>
      <c r="B14" s="172" t="s">
        <v>103</v>
      </c>
      <c r="C14" s="173">
        <f>+'MMW Output'!C22</f>
        <v>0</v>
      </c>
    </row>
    <row r="15" spans="1:11" ht="13.35" customHeight="1" x14ac:dyDescent="0.2">
      <c r="A15" s="526"/>
      <c r="B15" s="174" t="s">
        <v>37</v>
      </c>
      <c r="C15" s="175">
        <f>+'MMW Output'!C23</f>
        <v>0</v>
      </c>
    </row>
    <row r="16" spans="1:11" ht="13.35" customHeight="1" x14ac:dyDescent="0.2">
      <c r="A16" s="526"/>
      <c r="B16" s="176" t="s">
        <v>38</v>
      </c>
      <c r="C16" s="177">
        <f>+'MMW Output'!C24</f>
        <v>0</v>
      </c>
    </row>
    <row r="17" spans="1:3" ht="13.35" customHeight="1" x14ac:dyDescent="0.2">
      <c r="A17" s="526"/>
      <c r="B17" s="174" t="s">
        <v>40</v>
      </c>
      <c r="C17" s="175">
        <f>+'MMW Output'!C25</f>
        <v>0</v>
      </c>
    </row>
    <row r="18" spans="1:3" ht="13.35" customHeight="1" x14ac:dyDescent="0.2">
      <c r="A18" s="526"/>
      <c r="B18" s="176" t="s">
        <v>41</v>
      </c>
      <c r="C18" s="177">
        <f>+'MMW Output'!C26</f>
        <v>0</v>
      </c>
    </row>
    <row r="19" spans="1:3" ht="13.35" customHeight="1" x14ac:dyDescent="0.2">
      <c r="A19" s="526"/>
      <c r="B19" s="174" t="s">
        <v>42</v>
      </c>
      <c r="C19" s="175">
        <f>+'MMW Output'!C27</f>
        <v>0</v>
      </c>
    </row>
    <row r="20" spans="1:3" ht="13.35" customHeight="1" x14ac:dyDescent="0.2">
      <c r="A20" s="526"/>
      <c r="B20" s="176" t="s">
        <v>43</v>
      </c>
      <c r="C20" s="177">
        <f>+'MMW Output'!C28</f>
        <v>0</v>
      </c>
    </row>
    <row r="21" spans="1:3" ht="13.35" customHeight="1" x14ac:dyDescent="0.2">
      <c r="A21" s="526"/>
      <c r="B21" s="174" t="s">
        <v>44</v>
      </c>
      <c r="C21" s="175">
        <f>+'MMW Output'!C29</f>
        <v>0</v>
      </c>
    </row>
    <row r="22" spans="1:3" ht="13.35" customHeight="1" x14ac:dyDescent="0.2">
      <c r="A22" s="526"/>
      <c r="B22" s="176" t="s">
        <v>45</v>
      </c>
      <c r="C22" s="177">
        <f>+'MMW Output'!C30</f>
        <v>0</v>
      </c>
    </row>
    <row r="23" spans="1:3" ht="13.35" customHeight="1" x14ac:dyDescent="0.2">
      <c r="A23" s="526"/>
      <c r="B23" s="174" t="s">
        <v>46</v>
      </c>
      <c r="C23" s="175">
        <f>+'MMW Output'!C31</f>
        <v>0</v>
      </c>
    </row>
    <row r="24" spans="1:3" ht="13.35" customHeight="1" x14ac:dyDescent="0.2">
      <c r="A24" s="526"/>
      <c r="B24" s="176" t="s">
        <v>47</v>
      </c>
      <c r="C24" s="177">
        <f>+'MMW Output'!C32</f>
        <v>0</v>
      </c>
    </row>
    <row r="25" spans="1:3" ht="13.35" customHeight="1" x14ac:dyDescent="0.2">
      <c r="A25" s="526"/>
      <c r="B25" s="174" t="s">
        <v>48</v>
      </c>
      <c r="C25" s="175">
        <f>+'MMW Output'!C33</f>
        <v>0</v>
      </c>
    </row>
    <row r="26" spans="1:3" ht="13.35" customHeight="1" x14ac:dyDescent="0.2">
      <c r="A26" s="526"/>
      <c r="B26" s="176" t="s">
        <v>49</v>
      </c>
      <c r="C26" s="177">
        <f>+'MMW Output'!C34</f>
        <v>0</v>
      </c>
    </row>
    <row r="27" spans="1:3" ht="13.35" customHeight="1" x14ac:dyDescent="0.2">
      <c r="A27" s="526"/>
      <c r="B27" s="174" t="s">
        <v>50</v>
      </c>
      <c r="C27" s="175">
        <f>+'MMW Output'!C35</f>
        <v>0</v>
      </c>
    </row>
    <row r="28" spans="1:3" ht="13.35" customHeight="1" x14ac:dyDescent="0.2">
      <c r="A28" s="526"/>
      <c r="B28" s="176" t="s">
        <v>51</v>
      </c>
      <c r="C28" s="177">
        <f>+'MMW Output'!C36</f>
        <v>0</v>
      </c>
    </row>
    <row r="29" spans="1:3" ht="13.35" customHeight="1" x14ac:dyDescent="0.2">
      <c r="A29" s="527"/>
      <c r="B29" s="178" t="s">
        <v>52</v>
      </c>
      <c r="C29" s="179">
        <f>+'MMW Output'!C37</f>
        <v>0</v>
      </c>
    </row>
    <row r="30" spans="1:3" ht="6" customHeight="1" x14ac:dyDescent="0.2">
      <c r="C30" s="180"/>
    </row>
    <row r="31" spans="1:3" ht="15.6" customHeight="1" x14ac:dyDescent="0.2">
      <c r="B31" s="96" t="s">
        <v>159</v>
      </c>
      <c r="C31" s="181">
        <f>SUM(C14:C30)</f>
        <v>0</v>
      </c>
    </row>
    <row r="32" spans="1:3" ht="17.100000000000001" customHeight="1" x14ac:dyDescent="0.2"/>
    <row r="33" spans="1:7" x14ac:dyDescent="0.2">
      <c r="A33" s="507" t="s">
        <v>229</v>
      </c>
      <c r="B33" s="507"/>
      <c r="C33" s="507"/>
      <c r="D33" s="507"/>
      <c r="E33" s="507"/>
      <c r="F33" s="507"/>
      <c r="G33" s="507"/>
    </row>
    <row r="34" spans="1:7" ht="6" customHeight="1" x14ac:dyDescent="0.2">
      <c r="B34" s="142"/>
      <c r="C34" s="143"/>
      <c r="D34" s="144"/>
    </row>
    <row r="35" spans="1:7" x14ac:dyDescent="0.2">
      <c r="B35" s="167"/>
      <c r="C35" s="168" t="s">
        <v>230</v>
      </c>
      <c r="D35" s="168"/>
    </row>
    <row r="36" spans="1:7" x14ac:dyDescent="0.2">
      <c r="B36" s="169" t="s">
        <v>88</v>
      </c>
      <c r="C36" s="169">
        <f>+'MMW Output'!E40</f>
        <v>0</v>
      </c>
      <c r="D36" s="169" t="s">
        <v>137</v>
      </c>
    </row>
    <row r="37" spans="1:7" ht="6" customHeight="1" x14ac:dyDescent="0.2">
      <c r="B37" s="142"/>
      <c r="D37" s="144"/>
    </row>
    <row r="38" spans="1:7" ht="17.100000000000001" customHeight="1" x14ac:dyDescent="0.2">
      <c r="B38" s="142"/>
      <c r="C38" s="143"/>
      <c r="D38" s="144"/>
    </row>
    <row r="39" spans="1:7" x14ac:dyDescent="0.2">
      <c r="A39" s="507" t="str">
        <f>CONCATENATE("Step 3. Sum the total acres in the ", 'MMW Output'!C15," watershed.")</f>
        <v>Step 3. Sum the total acres in the Upper Wissahickon watershed.</v>
      </c>
      <c r="B39" s="507"/>
      <c r="C39" s="507"/>
      <c r="D39" s="507"/>
      <c r="E39" s="507"/>
      <c r="F39" s="507"/>
      <c r="G39" s="507"/>
    </row>
    <row r="40" spans="1:7" ht="6" customHeight="1" x14ac:dyDescent="0.2">
      <c r="A40" s="182"/>
      <c r="B40" s="182"/>
      <c r="C40" s="182"/>
      <c r="D40" s="182"/>
      <c r="E40" s="182"/>
      <c r="F40" s="182"/>
      <c r="G40" s="182"/>
    </row>
    <row r="41" spans="1:7" x14ac:dyDescent="0.2">
      <c r="B41" s="183" t="s">
        <v>162</v>
      </c>
      <c r="C41" s="146">
        <f>SUM(C14:C30)</f>
        <v>0</v>
      </c>
      <c r="D41" s="162" t="s">
        <v>85</v>
      </c>
    </row>
    <row r="42" spans="1:7" ht="6" customHeight="1" x14ac:dyDescent="0.2">
      <c r="B42" s="142"/>
      <c r="C42" s="143"/>
      <c r="D42" s="144"/>
    </row>
    <row r="43" spans="1:7" ht="4.3499999999999996" customHeight="1" x14ac:dyDescent="0.2">
      <c r="B43" s="142"/>
      <c r="C43" s="143"/>
      <c r="D43" s="144"/>
    </row>
    <row r="44" spans="1:7" ht="14.45" customHeight="1" x14ac:dyDescent="0.2">
      <c r="A44" s="91" t="s">
        <v>231</v>
      </c>
      <c r="B44" s="142"/>
      <c r="C44" s="143"/>
      <c r="D44" s="144"/>
    </row>
    <row r="45" spans="1:7" ht="6" customHeight="1" x14ac:dyDescent="0.2">
      <c r="B45" s="142"/>
      <c r="C45" s="143"/>
      <c r="D45" s="144"/>
    </row>
    <row r="46" spans="1:7" ht="14.1" customHeight="1" x14ac:dyDescent="0.2">
      <c r="A46" s="91" t="str">
        <f>CONCATENATE("Watershed: ",'MMW Output'!$B$3)</f>
        <v>Watershed: Upper Wissahickon</v>
      </c>
      <c r="B46" s="142"/>
      <c r="C46" s="143"/>
      <c r="D46" s="144"/>
    </row>
    <row r="47" spans="1:7" ht="6" customHeight="1" x14ac:dyDescent="0.2">
      <c r="B47" s="142"/>
      <c r="C47" s="143"/>
      <c r="D47" s="144"/>
    </row>
    <row r="48" spans="1:7" ht="14.1" customHeight="1" x14ac:dyDescent="0.2">
      <c r="A48" s="91" t="str">
        <f>CONCATENATE("Year: ",'MMW Output'!$C$16)</f>
        <v>Year: 2018</v>
      </c>
      <c r="B48" s="142"/>
      <c r="C48" s="143"/>
      <c r="D48" s="144"/>
    </row>
    <row r="49" spans="1:7" ht="11.1" customHeight="1" x14ac:dyDescent="0.2">
      <c r="B49" s="142"/>
      <c r="C49" s="143"/>
      <c r="D49" s="144"/>
    </row>
    <row r="50" spans="1:7" ht="51" customHeight="1" x14ac:dyDescent="0.2">
      <c r="A50" s="507" t="s">
        <v>232</v>
      </c>
      <c r="B50" s="507"/>
      <c r="C50" s="507"/>
      <c r="D50" s="507"/>
      <c r="E50" s="507"/>
      <c r="F50" s="507"/>
      <c r="G50" s="507"/>
    </row>
    <row r="51" spans="1:7" ht="6" customHeight="1" x14ac:dyDescent="0.2">
      <c r="C51" s="141"/>
    </row>
    <row r="52" spans="1:7" x14ac:dyDescent="0.2">
      <c r="B52" s="148" t="s">
        <v>165</v>
      </c>
      <c r="C52" s="184" t="s">
        <v>85</v>
      </c>
      <c r="D52" s="184" t="s">
        <v>166</v>
      </c>
    </row>
    <row r="53" spans="1:7" x14ac:dyDescent="0.2">
      <c r="B53" s="185" t="s">
        <v>167</v>
      </c>
      <c r="C53" s="186">
        <f>+C24+C27</f>
        <v>0</v>
      </c>
      <c r="D53" s="187" t="e">
        <f>+C53/C$56</f>
        <v>#DIV/0!</v>
      </c>
      <c r="E53" s="188" t="s">
        <v>168</v>
      </c>
      <c r="F53" s="169"/>
      <c r="G53" s="189"/>
    </row>
    <row r="54" spans="1:7" x14ac:dyDescent="0.2">
      <c r="B54" s="190" t="s">
        <v>169</v>
      </c>
      <c r="C54" s="191">
        <f>+C25+C28</f>
        <v>0</v>
      </c>
      <c r="D54" s="192" t="e">
        <f>+C54/C$56</f>
        <v>#DIV/0!</v>
      </c>
      <c r="E54" s="193" t="s">
        <v>170</v>
      </c>
      <c r="F54" s="194"/>
      <c r="G54" s="195"/>
    </row>
    <row r="55" spans="1:7" ht="13.5" thickBot="1" x14ac:dyDescent="0.25">
      <c r="B55" s="196" t="s">
        <v>171</v>
      </c>
      <c r="C55" s="197">
        <f>+C26+C29</f>
        <v>0</v>
      </c>
      <c r="D55" s="198" t="e">
        <f>+C55/C$56</f>
        <v>#DIV/0!</v>
      </c>
      <c r="E55" s="188" t="s">
        <v>172</v>
      </c>
      <c r="F55" s="169"/>
      <c r="G55" s="189"/>
    </row>
    <row r="56" spans="1:7" x14ac:dyDescent="0.2">
      <c r="B56" s="162" t="s">
        <v>173</v>
      </c>
      <c r="C56" s="199">
        <f>+C53+C54+C55</f>
        <v>0</v>
      </c>
      <c r="D56" s="200" t="e">
        <f>+C56/C$56</f>
        <v>#DIV/0!</v>
      </c>
      <c r="E56" s="165" t="s">
        <v>174</v>
      </c>
    </row>
    <row r="57" spans="1:7" ht="6.6" customHeight="1" x14ac:dyDescent="0.2"/>
    <row r="59" spans="1:7" x14ac:dyDescent="0.2">
      <c r="A59" s="91" t="s">
        <v>233</v>
      </c>
    </row>
    <row r="60" spans="1:7" x14ac:dyDescent="0.2">
      <c r="B60" s="91" t="s">
        <v>234</v>
      </c>
    </row>
    <row r="61" spans="1:7" x14ac:dyDescent="0.2">
      <c r="B61" s="91" t="s">
        <v>235</v>
      </c>
    </row>
    <row r="62" spans="1:7" ht="8.1" customHeight="1" x14ac:dyDescent="0.2"/>
    <row r="63" spans="1:7" x14ac:dyDescent="0.2">
      <c r="B63" s="91" t="s">
        <v>236</v>
      </c>
      <c r="C63" s="201">
        <f>C36</f>
        <v>0</v>
      </c>
      <c r="D63" s="91" t="s">
        <v>137</v>
      </c>
      <c r="E63" s="165" t="s">
        <v>179</v>
      </c>
    </row>
    <row r="64" spans="1:7" x14ac:dyDescent="0.2">
      <c r="B64" s="91" t="s">
        <v>180</v>
      </c>
      <c r="C64" s="202">
        <f>+C56</f>
        <v>0</v>
      </c>
      <c r="D64" s="91" t="s">
        <v>85</v>
      </c>
      <c r="E64" s="165" t="s">
        <v>181</v>
      </c>
    </row>
    <row r="65" spans="1:7" ht="13.35" customHeight="1" x14ac:dyDescent="0.2">
      <c r="B65" s="91" t="s">
        <v>162</v>
      </c>
      <c r="C65" s="202">
        <f>+C41</f>
        <v>0</v>
      </c>
      <c r="D65" s="91" t="s">
        <v>85</v>
      </c>
      <c r="E65" s="165" t="s">
        <v>182</v>
      </c>
    </row>
    <row r="66" spans="1:7" ht="25.35" customHeight="1" x14ac:dyDescent="0.2">
      <c r="B66" s="203" t="s">
        <v>183</v>
      </c>
      <c r="C66" s="204" t="e">
        <f>+C64/C65</f>
        <v>#DIV/0!</v>
      </c>
      <c r="D66" s="165" t="s">
        <v>184</v>
      </c>
      <c r="E66" s="91" t="str">
        <f>CONCATENATE("[ ",ROUND(C64,2)," acres / ",ROUND(C65,2)," acres ]")</f>
        <v>[ 0 acres / 0 acres ]</v>
      </c>
    </row>
    <row r="67" spans="1:7" ht="7.35" customHeight="1" x14ac:dyDescent="0.2"/>
    <row r="68" spans="1:7" ht="42" customHeight="1" x14ac:dyDescent="0.2">
      <c r="A68" s="205"/>
      <c r="B68" s="126" t="s">
        <v>237</v>
      </c>
      <c r="C68" s="206" t="e">
        <f>+C63*C66*0.75</f>
        <v>#DIV/0!</v>
      </c>
      <c r="D68" s="91" t="s">
        <v>186</v>
      </c>
      <c r="E68" s="91" t="e">
        <f>CONCATENATE("[ 75% x ",ROUND(C63,2)," pounds x ",ROUND(C66*100,0),"% ]")</f>
        <v>#DIV/0!</v>
      </c>
    </row>
    <row r="69" spans="1:7" ht="13.5" thickBot="1" x14ac:dyDescent="0.25">
      <c r="A69" s="205"/>
      <c r="B69" s="207" t="s">
        <v>238</v>
      </c>
      <c r="C69" s="208">
        <f>+C63*0.25</f>
        <v>0</v>
      </c>
      <c r="D69" s="209" t="s">
        <v>186</v>
      </c>
      <c r="E69" s="91" t="str">
        <f>CONCATENATE("[ 25% x ",ROUND(C63,2)," pounds ]")</f>
        <v>[ 25% x 0 pounds ]</v>
      </c>
    </row>
    <row r="70" spans="1:7" ht="29.1" customHeight="1" x14ac:dyDescent="0.2">
      <c r="B70" s="210" t="s">
        <v>188</v>
      </c>
      <c r="C70" s="211" t="e">
        <f>+C69+C68</f>
        <v>#DIV/0!</v>
      </c>
      <c r="D70" s="212" t="s">
        <v>137</v>
      </c>
    </row>
    <row r="71" spans="1:7" ht="6.6" customHeight="1" x14ac:dyDescent="0.2"/>
    <row r="72" spans="1:7" ht="8.4499999999999993" customHeight="1" x14ac:dyDescent="0.2"/>
    <row r="73" spans="1:7" ht="42" customHeight="1" x14ac:dyDescent="0.2">
      <c r="A73" s="507" t="s">
        <v>239</v>
      </c>
      <c r="B73" s="507"/>
      <c r="C73" s="507"/>
      <c r="D73" s="507"/>
      <c r="E73" s="507"/>
      <c r="F73" s="507"/>
      <c r="G73" s="507"/>
    </row>
    <row r="74" spans="1:7" ht="6" customHeight="1" x14ac:dyDescent="0.2"/>
    <row r="75" spans="1:7" x14ac:dyDescent="0.2">
      <c r="B75" s="96" t="s">
        <v>190</v>
      </c>
    </row>
    <row r="76" spans="1:7" ht="12.75" customHeight="1" x14ac:dyDescent="0.2">
      <c r="B76" s="185" t="s">
        <v>167</v>
      </c>
      <c r="C76" s="213">
        <v>0.15</v>
      </c>
    </row>
    <row r="77" spans="1:7" x14ac:dyDescent="0.2">
      <c r="B77" s="190" t="s">
        <v>169</v>
      </c>
      <c r="C77" s="214">
        <v>0.52</v>
      </c>
    </row>
    <row r="78" spans="1:7" x14ac:dyDescent="0.2">
      <c r="B78" s="185" t="s">
        <v>171</v>
      </c>
      <c r="C78" s="213">
        <v>0.87</v>
      </c>
    </row>
    <row r="79" spans="1:7" ht="6" customHeight="1" x14ac:dyDescent="0.2"/>
    <row r="80" spans="1:7" ht="11.45" customHeight="1" x14ac:dyDescent="0.2"/>
    <row r="81" spans="1:7" ht="24.6" customHeight="1" x14ac:dyDescent="0.2">
      <c r="A81" s="507" t="s">
        <v>191</v>
      </c>
      <c r="B81" s="507"/>
      <c r="C81" s="507"/>
      <c r="D81" s="507"/>
      <c r="E81" s="507"/>
      <c r="F81" s="507"/>
      <c r="G81" s="507"/>
    </row>
    <row r="82" spans="1:7" ht="6" customHeight="1" x14ac:dyDescent="0.2"/>
    <row r="83" spans="1:7" x14ac:dyDescent="0.2">
      <c r="B83" s="96" t="s">
        <v>192</v>
      </c>
    </row>
    <row r="84" spans="1:7" x14ac:dyDescent="0.2">
      <c r="B84" s="215" t="s">
        <v>167</v>
      </c>
      <c r="C84" s="186">
        <f>+C53*C76</f>
        <v>0</v>
      </c>
      <c r="D84" s="169" t="s">
        <v>193</v>
      </c>
      <c r="E84" s="216" t="str">
        <f>CONCATENATE(" [ ",ROUND(C53,2)," acres x ",C76*100," percent ]")</f>
        <v xml:space="preserve"> [ 0 acres x 15 percent ]</v>
      </c>
      <c r="F84" s="169"/>
      <c r="G84" s="189"/>
    </row>
    <row r="85" spans="1:7" x14ac:dyDescent="0.2">
      <c r="B85" s="217" t="s">
        <v>169</v>
      </c>
      <c r="C85" s="191">
        <f>+C54*C77</f>
        <v>0</v>
      </c>
      <c r="D85" s="194" t="s">
        <v>193</v>
      </c>
      <c r="E85" s="218" t="str">
        <f>CONCATENATE(" [ ",ROUND(C54,2)," acres x ",C77*100," percent ]")</f>
        <v xml:space="preserve"> [ 0 acres x 52 percent ]</v>
      </c>
      <c r="F85" s="194"/>
      <c r="G85" s="195"/>
    </row>
    <row r="86" spans="1:7" ht="13.5" thickBot="1" x14ac:dyDescent="0.25">
      <c r="B86" s="219" t="s">
        <v>171</v>
      </c>
      <c r="C86" s="197">
        <f>+C55*C78</f>
        <v>0</v>
      </c>
      <c r="D86" s="220" t="s">
        <v>193</v>
      </c>
      <c r="E86" s="216" t="str">
        <f>CONCATENATE(" [ ",ROUND(C55,2)," acres x ",C78*100," percent ]")</f>
        <v xml:space="preserve"> [ 0 acres x 87 percent ]</v>
      </c>
      <c r="F86" s="169"/>
      <c r="G86" s="189"/>
    </row>
    <row r="87" spans="1:7" ht="29.1" customHeight="1" x14ac:dyDescent="0.2">
      <c r="B87" s="221" t="s">
        <v>194</v>
      </c>
      <c r="C87" s="222">
        <f>+C84+C85+C86</f>
        <v>0</v>
      </c>
      <c r="D87" s="91" t="s">
        <v>85</v>
      </c>
    </row>
    <row r="88" spans="1:7" ht="6" customHeight="1" x14ac:dyDescent="0.2"/>
    <row r="90" spans="1:7" x14ac:dyDescent="0.2">
      <c r="A90" s="91" t="s">
        <v>240</v>
      </c>
    </row>
    <row r="91" spans="1:7" ht="6" customHeight="1" x14ac:dyDescent="0.2"/>
    <row r="92" spans="1:7" x14ac:dyDescent="0.2">
      <c r="A92" s="91" t="str">
        <f>CONCATENATE("Watershed: ",'MMW Output'!$B$3)</f>
        <v>Watershed: Upper Wissahickon</v>
      </c>
    </row>
    <row r="93" spans="1:7" ht="6" customHeight="1" x14ac:dyDescent="0.2"/>
    <row r="94" spans="1:7" x14ac:dyDescent="0.2">
      <c r="A94" s="91" t="str">
        <f>CONCATENATE("Year: ",'MMW Output'!$C$16)</f>
        <v>Year: 2018</v>
      </c>
    </row>
    <row r="96" spans="1:7" x14ac:dyDescent="0.2">
      <c r="A96" s="91" t="s">
        <v>196</v>
      </c>
    </row>
    <row r="97" spans="1:7" ht="6" customHeight="1" x14ac:dyDescent="0.2"/>
    <row r="98" spans="1:7" x14ac:dyDescent="0.2">
      <c r="B98" s="96" t="s">
        <v>197</v>
      </c>
    </row>
    <row r="99" spans="1:7" x14ac:dyDescent="0.2">
      <c r="B99" s="185" t="s">
        <v>167</v>
      </c>
      <c r="C99" s="213" t="e">
        <f>+C84/(C$84+C$85+C$86)</f>
        <v>#DIV/0!</v>
      </c>
      <c r="D99" s="223" t="s">
        <v>198</v>
      </c>
      <c r="E99" s="216" t="str">
        <f>CONCATENATE(" [ ",ROUND(C84,2)," acres / ",ROUND(C87,2)," acres ]")</f>
        <v xml:space="preserve"> [ 0 acres / 0 acres ]</v>
      </c>
      <c r="F99" s="169"/>
      <c r="G99" s="189"/>
    </row>
    <row r="100" spans="1:7" x14ac:dyDescent="0.2">
      <c r="B100" s="190" t="s">
        <v>169</v>
      </c>
      <c r="C100" s="214" t="e">
        <f>+C85/(C$84+C$85+C$86)</f>
        <v>#DIV/0!</v>
      </c>
      <c r="D100" s="224" t="s">
        <v>198</v>
      </c>
      <c r="E100" s="218" t="str">
        <f>CONCATENATE(" [ ",ROUND(C85,2)," acres / ",ROUND(C87,2)," acres ]")</f>
        <v xml:space="preserve"> [ 0 acres / 0 acres ]</v>
      </c>
      <c r="F100" s="194"/>
      <c r="G100" s="195"/>
    </row>
    <row r="101" spans="1:7" ht="13.5" thickBot="1" x14ac:dyDescent="0.25">
      <c r="B101" s="196" t="s">
        <v>171</v>
      </c>
      <c r="C101" s="225" t="e">
        <f>+C86/(C$84+C$85+C$86)</f>
        <v>#DIV/0!</v>
      </c>
      <c r="D101" s="223" t="s">
        <v>198</v>
      </c>
      <c r="E101" s="216" t="str">
        <f>CONCATENATE(" [ ",ROUND(C86,2)," acres / ",ROUND(C87,2)," acres ]")</f>
        <v xml:space="preserve"> [ 0 acres / 0 acres ]</v>
      </c>
      <c r="F101" s="169"/>
      <c r="G101" s="189"/>
    </row>
    <row r="102" spans="1:7" x14ac:dyDescent="0.2">
      <c r="B102" s="91" t="s">
        <v>173</v>
      </c>
      <c r="C102" s="226" t="e">
        <f>+C99+C100+C101</f>
        <v>#DIV/0!</v>
      </c>
    </row>
    <row r="103" spans="1:7" ht="7.35" customHeight="1" x14ac:dyDescent="0.2"/>
    <row r="104" spans="1:7" ht="13.35" customHeight="1" x14ac:dyDescent="0.2"/>
    <row r="105" spans="1:7" ht="24" customHeight="1" x14ac:dyDescent="0.2">
      <c r="A105" s="507" t="s">
        <v>241</v>
      </c>
      <c r="B105" s="507"/>
      <c r="C105" s="507"/>
      <c r="D105" s="507"/>
      <c r="E105" s="507"/>
      <c r="F105" s="507"/>
      <c r="G105" s="507"/>
    </row>
    <row r="106" spans="1:7" ht="6" customHeight="1" x14ac:dyDescent="0.2"/>
    <row r="107" spans="1:7" ht="25.5" customHeight="1" x14ac:dyDescent="0.2">
      <c r="B107" s="227" t="s">
        <v>188</v>
      </c>
      <c r="C107" s="114" t="e">
        <f>+C70</f>
        <v>#DIV/0!</v>
      </c>
      <c r="D107" s="91" t="s">
        <v>200</v>
      </c>
      <c r="E107" s="165" t="s">
        <v>201</v>
      </c>
    </row>
    <row r="108" spans="1:7" ht="25.5" customHeight="1" x14ac:dyDescent="0.2">
      <c r="B108" s="182" t="s">
        <v>242</v>
      </c>
      <c r="C108" s="206" t="e">
        <f>+C68</f>
        <v>#DIV/0!</v>
      </c>
      <c r="D108" s="91" t="s">
        <v>200</v>
      </c>
      <c r="E108" s="165" t="s">
        <v>201</v>
      </c>
    </row>
    <row r="109" spans="1:7" ht="25.5" customHeight="1" x14ac:dyDescent="0.2">
      <c r="B109" s="182" t="s">
        <v>243</v>
      </c>
      <c r="C109" s="206">
        <f>+C69</f>
        <v>0</v>
      </c>
      <c r="D109" s="91" t="s">
        <v>200</v>
      </c>
      <c r="E109" s="165" t="s">
        <v>201</v>
      </c>
    </row>
    <row r="110" spans="1:7" ht="6" customHeight="1" x14ac:dyDescent="0.2"/>
    <row r="111" spans="1:7" ht="13.35" customHeight="1" x14ac:dyDescent="0.2"/>
    <row r="112" spans="1:7" ht="14.1" customHeight="1" x14ac:dyDescent="0.2">
      <c r="A112" s="507" t="s">
        <v>204</v>
      </c>
      <c r="B112" s="507"/>
      <c r="C112" s="507"/>
      <c r="D112" s="507"/>
      <c r="E112" s="507"/>
      <c r="F112" s="507"/>
      <c r="G112" s="507"/>
    </row>
    <row r="113" spans="1:7" ht="15" customHeight="1" x14ac:dyDescent="0.2">
      <c r="A113" s="507" t="str">
        <f>CONCATENATE("multiplying the 'Percent of Total Impervious Surfaces' (Step 8) by ",ROUND(C109,2)," pounds (calculated in Step 9):")</f>
        <v>multiplying the 'Percent of Total Impervious Surfaces' (Step 8) by 0 pounds (calculated in Step 9):</v>
      </c>
      <c r="B113" s="507"/>
      <c r="C113" s="507"/>
      <c r="D113" s="507"/>
      <c r="E113" s="507"/>
      <c r="F113" s="507"/>
      <c r="G113" s="507"/>
    </row>
    <row r="114" spans="1:7" ht="6" customHeight="1" x14ac:dyDescent="0.2">
      <c r="A114" s="182"/>
      <c r="B114" s="182"/>
      <c r="C114" s="182"/>
      <c r="D114" s="182"/>
      <c r="E114" s="182"/>
      <c r="F114" s="182"/>
      <c r="G114" s="182"/>
    </row>
    <row r="115" spans="1:7" ht="16.350000000000001" customHeight="1" x14ac:dyDescent="0.2">
      <c r="B115" s="96" t="s">
        <v>244</v>
      </c>
      <c r="C115" s="221"/>
      <c r="D115" s="221"/>
      <c r="E115" s="221"/>
      <c r="F115" s="126"/>
    </row>
    <row r="116" spans="1:7" x14ac:dyDescent="0.2">
      <c r="B116" s="185" t="s">
        <v>167</v>
      </c>
      <c r="C116" s="170" t="e">
        <f>C99*C$108</f>
        <v>#DIV/0!</v>
      </c>
      <c r="D116" s="528" t="e">
        <f>CONCATENATE("=   [ ",ROUND(C99*100,0)," % x ",ROUND(C$109,2)," pounds ]")</f>
        <v>#DIV/0!</v>
      </c>
      <c r="E116" s="529"/>
      <c r="F116" s="529"/>
      <c r="G116" s="529"/>
    </row>
    <row r="117" spans="1:7" x14ac:dyDescent="0.2">
      <c r="B117" s="190" t="s">
        <v>169</v>
      </c>
      <c r="C117" s="228" t="e">
        <f>C100*C$108</f>
        <v>#DIV/0!</v>
      </c>
      <c r="D117" s="530" t="e">
        <f>CONCATENATE("=   [ ",ROUND(C100*100,0)," % x ",ROUND(C$109,2)," pounds ]")</f>
        <v>#DIV/0!</v>
      </c>
      <c r="E117" s="531"/>
      <c r="F117" s="531"/>
      <c r="G117" s="531"/>
    </row>
    <row r="118" spans="1:7" x14ac:dyDescent="0.2">
      <c r="B118" s="185" t="s">
        <v>171</v>
      </c>
      <c r="C118" s="170" t="e">
        <f>C101*C$108</f>
        <v>#DIV/0!</v>
      </c>
      <c r="D118" s="528" t="e">
        <f>CONCATENATE("=   [ ",ROUND(C101*100,0)," % x ",ROUND(C$109,2)," pounds ]")</f>
        <v>#DIV/0!</v>
      </c>
      <c r="E118" s="529"/>
      <c r="F118" s="529"/>
      <c r="G118" s="529"/>
    </row>
    <row r="119" spans="1:7" ht="6" customHeight="1" x14ac:dyDescent="0.2">
      <c r="C119" s="229"/>
    </row>
    <row r="121" spans="1:7" x14ac:dyDescent="0.2">
      <c r="A121" s="507" t="s">
        <v>206</v>
      </c>
      <c r="B121" s="507"/>
      <c r="C121" s="507"/>
      <c r="D121" s="507"/>
      <c r="E121" s="507"/>
      <c r="F121" s="507"/>
      <c r="G121" s="507"/>
    </row>
    <row r="122" spans="1:7" x14ac:dyDescent="0.2">
      <c r="A122" s="507" t="e">
        <f>CONCATENATE("the 'Percent of Area of Developed Lands' (from Step 4) by ",ROUND(C108,2)," pounds (calculated in Step 9):")</f>
        <v>#DIV/0!</v>
      </c>
      <c r="B122" s="507"/>
      <c r="C122" s="507"/>
      <c r="D122" s="507"/>
      <c r="E122" s="507"/>
      <c r="F122" s="507"/>
      <c r="G122" s="507"/>
    </row>
    <row r="123" spans="1:7" ht="6" customHeight="1" x14ac:dyDescent="0.2"/>
    <row r="124" spans="1:7" ht="17.100000000000001" customHeight="1" x14ac:dyDescent="0.2">
      <c r="B124" s="96" t="s">
        <v>245</v>
      </c>
      <c r="C124" s="221"/>
      <c r="D124" s="221"/>
      <c r="E124" s="221"/>
    </row>
    <row r="125" spans="1:7" x14ac:dyDescent="0.2">
      <c r="B125" s="185" t="s">
        <v>167</v>
      </c>
      <c r="C125" s="170" t="e">
        <f>C53/C$56*C$109</f>
        <v>#DIV/0!</v>
      </c>
      <c r="D125" s="528" t="e">
        <f>CONCATENATE("=   [ ",ROUND(D53*100,0)," % x ",ROUND(C$108,2)," pounds ]")</f>
        <v>#DIV/0!</v>
      </c>
      <c r="E125" s="529"/>
      <c r="F125" s="529"/>
      <c r="G125" s="529"/>
    </row>
    <row r="126" spans="1:7" x14ac:dyDescent="0.2">
      <c r="B126" s="190" t="s">
        <v>169</v>
      </c>
      <c r="C126" s="228" t="e">
        <f>C54/C$56*C$109</f>
        <v>#DIV/0!</v>
      </c>
      <c r="D126" s="530" t="e">
        <f>CONCATENATE("=   [ ",ROUND(D54*100,0)," % x ",ROUND(C$108,2)," pounds ]")</f>
        <v>#DIV/0!</v>
      </c>
      <c r="E126" s="531"/>
      <c r="F126" s="531"/>
      <c r="G126" s="531"/>
    </row>
    <row r="127" spans="1:7" x14ac:dyDescent="0.2">
      <c r="B127" s="185" t="s">
        <v>171</v>
      </c>
      <c r="C127" s="170" t="e">
        <f>C55/C$56*C$109</f>
        <v>#DIV/0!</v>
      </c>
      <c r="D127" s="528" t="e">
        <f>CONCATENATE("=   [ ",ROUND(D55*100,0)," % x ",ROUND(C$108,2)," pounds ]  ")</f>
        <v>#DIV/0!</v>
      </c>
      <c r="E127" s="529"/>
      <c r="F127" s="529"/>
      <c r="G127" s="529"/>
    </row>
    <row r="128" spans="1:7" ht="7.35" customHeight="1" x14ac:dyDescent="0.2"/>
    <row r="130" spans="1:13" ht="26.45" customHeight="1" x14ac:dyDescent="0.2">
      <c r="A130" s="507" t="s">
        <v>208</v>
      </c>
      <c r="B130" s="507"/>
      <c r="C130" s="507"/>
      <c r="D130" s="507"/>
      <c r="E130" s="507"/>
      <c r="F130" s="507"/>
      <c r="G130" s="507"/>
    </row>
    <row r="131" spans="1:13" ht="6" customHeight="1" x14ac:dyDescent="0.2"/>
    <row r="132" spans="1:13" ht="16.350000000000001" customHeight="1" x14ac:dyDescent="0.2">
      <c r="B132" s="96" t="s">
        <v>246</v>
      </c>
      <c r="C132" s="230"/>
      <c r="D132" s="230"/>
      <c r="E132" s="221"/>
      <c r="F132" s="221"/>
      <c r="G132" s="221"/>
      <c r="H132" s="221"/>
      <c r="I132" s="221"/>
      <c r="J132" s="221"/>
      <c r="K132" s="221"/>
      <c r="L132" s="231"/>
      <c r="M132" s="232"/>
    </row>
    <row r="133" spans="1:13" x14ac:dyDescent="0.2">
      <c r="B133" s="185" t="s">
        <v>167</v>
      </c>
      <c r="C133" s="169" t="e">
        <f>+C116+C125</f>
        <v>#DIV/0!</v>
      </c>
      <c r="D133" s="215" t="e">
        <f>CONCATENATE("   =   [ ",ROUND(C116,2)," pounds + ",ROUND(C125,2)," pounds ]")</f>
        <v>#DIV/0!</v>
      </c>
      <c r="E133" s="189"/>
      <c r="F133" s="169"/>
      <c r="G133" s="189"/>
      <c r="I133" s="233"/>
      <c r="J133" s="233"/>
      <c r="K133" s="234"/>
      <c r="M133" s="235"/>
    </row>
    <row r="134" spans="1:13" x14ac:dyDescent="0.2">
      <c r="B134" s="190" t="s">
        <v>169</v>
      </c>
      <c r="C134" s="194" t="e">
        <f>+C117+C126</f>
        <v>#DIV/0!</v>
      </c>
      <c r="D134" s="217" t="e">
        <f>CONCATENATE("   =   [ ",ROUND(C117,2)," pounds + ",ROUND(C126,2)," pounds ]")</f>
        <v>#DIV/0!</v>
      </c>
      <c r="E134" s="195"/>
      <c r="F134" s="194"/>
      <c r="G134" s="195"/>
      <c r="I134" s="233"/>
      <c r="J134" s="233"/>
      <c r="K134" s="234"/>
      <c r="M134" s="235"/>
    </row>
    <row r="135" spans="1:13" x14ac:dyDescent="0.2">
      <c r="B135" s="185" t="s">
        <v>171</v>
      </c>
      <c r="C135" s="169" t="e">
        <f>+C118+C127</f>
        <v>#DIV/0!</v>
      </c>
      <c r="D135" s="215" t="e">
        <f>CONCATENATE("   =   [ ",ROUND(C118,2)," pounds + ",ROUND(C127,2)," pounds ]")</f>
        <v>#DIV/0!</v>
      </c>
      <c r="E135" s="189"/>
      <c r="F135" s="169"/>
      <c r="G135" s="189"/>
      <c r="I135" s="233"/>
      <c r="J135" s="233"/>
      <c r="K135" s="234"/>
      <c r="M135" s="235"/>
    </row>
    <row r="136" spans="1:13" ht="7.35" customHeight="1" x14ac:dyDescent="0.2">
      <c r="M136" s="229"/>
    </row>
    <row r="139" spans="1:13" x14ac:dyDescent="0.2">
      <c r="A139" s="91" t="s">
        <v>247</v>
      </c>
    </row>
    <row r="140" spans="1:13" ht="6" customHeight="1" x14ac:dyDescent="0.2"/>
    <row r="141" spans="1:13" x14ac:dyDescent="0.2">
      <c r="A141" s="91" t="str">
        <f>CONCATENATE("Watershed: ",'MMW Output'!$B$3)</f>
        <v>Watershed: Upper Wissahickon</v>
      </c>
    </row>
    <row r="142" spans="1:13" ht="6" customHeight="1" x14ac:dyDescent="0.2"/>
    <row r="143" spans="1:13" x14ac:dyDescent="0.2">
      <c r="A143" s="91" t="str">
        <f>CONCATENATE("Year: ",'MMW Output'!$C$16)</f>
        <v>Year: 2018</v>
      </c>
    </row>
    <row r="145" spans="1:7" ht="28.35" customHeight="1" x14ac:dyDescent="0.2">
      <c r="A145" s="507" t="s">
        <v>211</v>
      </c>
      <c r="B145" s="507"/>
      <c r="C145" s="507"/>
      <c r="D145" s="507"/>
      <c r="E145" s="507"/>
      <c r="F145" s="507"/>
      <c r="G145" s="507"/>
    </row>
    <row r="146" spans="1:7" ht="8.4499999999999993" customHeight="1" x14ac:dyDescent="0.2"/>
    <row r="147" spans="1:7" ht="53.45" customHeight="1" x14ac:dyDescent="0.2">
      <c r="A147" s="532" t="s">
        <v>248</v>
      </c>
      <c r="B147" s="532"/>
      <c r="C147" s="236" t="s">
        <v>137</v>
      </c>
      <c r="D147" s="237" t="s">
        <v>213</v>
      </c>
      <c r="E147" s="533" t="s">
        <v>249</v>
      </c>
      <c r="F147" s="533"/>
    </row>
    <row r="148" spans="1:7" x14ac:dyDescent="0.2">
      <c r="B148" s="238" t="s">
        <v>167</v>
      </c>
      <c r="C148" s="169" t="e">
        <f>+C133</f>
        <v>#DIV/0!</v>
      </c>
      <c r="D148" s="169">
        <f>+C53</f>
        <v>0</v>
      </c>
      <c r="E148" s="239" t="e">
        <f>+C148/D148</f>
        <v>#DIV/0!</v>
      </c>
      <c r="F148" s="215" t="e">
        <f>CONCATENATE("= [",ROUND(C148,2)," lbs / ",(ROUND(D148,2))," acres ]")</f>
        <v>#DIV/0!</v>
      </c>
      <c r="G148" s="189"/>
    </row>
    <row r="149" spans="1:7" x14ac:dyDescent="0.2">
      <c r="B149" s="241" t="s">
        <v>169</v>
      </c>
      <c r="C149" s="194" t="e">
        <f>+C134</f>
        <v>#DIV/0!</v>
      </c>
      <c r="D149" s="194">
        <f>+C54</f>
        <v>0</v>
      </c>
      <c r="E149" s="242" t="e">
        <f>+C149/D149</f>
        <v>#DIV/0!</v>
      </c>
      <c r="F149" s="217" t="e">
        <f>CONCATENATE("= [",ROUND(C149,2)," lbs / ",(ROUND(D149,2))," acres ]")</f>
        <v>#DIV/0!</v>
      </c>
      <c r="G149" s="195"/>
    </row>
    <row r="150" spans="1:7" x14ac:dyDescent="0.2">
      <c r="B150" s="238" t="s">
        <v>171</v>
      </c>
      <c r="C150" s="169" t="e">
        <f>+C135</f>
        <v>#DIV/0!</v>
      </c>
      <c r="D150" s="169">
        <f>+C55</f>
        <v>0</v>
      </c>
      <c r="E150" s="239" t="e">
        <f>+C150/D150</f>
        <v>#DIV/0!</v>
      </c>
      <c r="F150" s="215" t="e">
        <f>CONCATENATE("= [",ROUND(C150,2)," lbs / ",(ROUND(D150,2))," acres ]")</f>
        <v>#DIV/0!</v>
      </c>
      <c r="G150" s="189"/>
    </row>
    <row r="151" spans="1:7" ht="6" customHeight="1" x14ac:dyDescent="0.2"/>
    <row r="152" spans="1:7" ht="7.35" customHeight="1" x14ac:dyDescent="0.2"/>
    <row r="154" spans="1:7" x14ac:dyDescent="0.2">
      <c r="A154" s="91" t="s">
        <v>215</v>
      </c>
    </row>
    <row r="155" spans="1:7" ht="6" customHeight="1" x14ac:dyDescent="0.2"/>
    <row r="156" spans="1:7" x14ac:dyDescent="0.2">
      <c r="B156" s="91" t="s">
        <v>216</v>
      </c>
      <c r="C156" s="206">
        <f>+C36</f>
        <v>0</v>
      </c>
      <c r="D156" s="91" t="s">
        <v>200</v>
      </c>
      <c r="E156" s="165" t="s">
        <v>217</v>
      </c>
    </row>
    <row r="157" spans="1:7" ht="29.45" customHeight="1" x14ac:dyDescent="0.2">
      <c r="B157" s="251" t="s">
        <v>250</v>
      </c>
      <c r="C157" s="245" t="e">
        <f>+C70</f>
        <v>#DIV/0!</v>
      </c>
      <c r="D157" s="167" t="s">
        <v>200</v>
      </c>
      <c r="E157" s="165" t="s">
        <v>219</v>
      </c>
    </row>
    <row r="158" spans="1:7" ht="25.5" x14ac:dyDescent="0.2">
      <c r="B158" s="126" t="s">
        <v>220</v>
      </c>
      <c r="C158" s="114" t="e">
        <f>+C156-C157</f>
        <v>#DIV/0!</v>
      </c>
      <c r="D158" s="91" t="s">
        <v>200</v>
      </c>
      <c r="E158" s="246" t="e">
        <f>CONCATENATE(" [ ",ROUND(C156,2)," pounds - ",ROUND(C157,2)," pounds ]")</f>
        <v>#DIV/0!</v>
      </c>
    </row>
    <row r="159" spans="1:7" ht="8.4499999999999993" customHeight="1" x14ac:dyDescent="0.2"/>
    <row r="160" spans="1:7" x14ac:dyDescent="0.2">
      <c r="B160" s="91" t="s">
        <v>221</v>
      </c>
      <c r="C160" s="247">
        <f>+C41-C56</f>
        <v>0</v>
      </c>
      <c r="D160" s="91" t="s">
        <v>222</v>
      </c>
      <c r="E160" s="165" t="s">
        <v>223</v>
      </c>
    </row>
    <row r="161" spans="1:7" ht="9" customHeight="1" x14ac:dyDescent="0.2"/>
    <row r="162" spans="1:7" ht="38.25" x14ac:dyDescent="0.2">
      <c r="B162" s="248" t="s">
        <v>251</v>
      </c>
      <c r="C162" s="249" t="e">
        <f>+C158/C160</f>
        <v>#DIV/0!</v>
      </c>
      <c r="D162" s="248" t="s">
        <v>150</v>
      </c>
      <c r="E162" s="91" t="e">
        <f>CONCATENATE("=  [ ",ROUND(C158,2)," pounds / ",ROUND(C160,2)," acres ]")</f>
        <v>#DIV/0!</v>
      </c>
    </row>
    <row r="163" spans="1:7" ht="8.1" customHeight="1" x14ac:dyDescent="0.2"/>
    <row r="165" spans="1:7" ht="51" customHeight="1" x14ac:dyDescent="0.2">
      <c r="A165" s="507" t="s">
        <v>252</v>
      </c>
      <c r="B165" s="507"/>
      <c r="C165" s="507"/>
      <c r="D165" s="507"/>
      <c r="E165" s="507"/>
      <c r="F165" s="507"/>
      <c r="G165" s="507"/>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5"/>
  <sheetViews>
    <sheetView zoomScale="80" zoomScaleNormal="80" zoomScaleSheetLayoutView="80" workbookViewId="0">
      <selection activeCell="G1" sqref="G1"/>
    </sheetView>
  </sheetViews>
  <sheetFormatPr defaultColWidth="8.875" defaultRowHeight="12.75" x14ac:dyDescent="0.2"/>
  <cols>
    <col min="1" max="1" width="2.625" style="91" customWidth="1"/>
    <col min="2" max="2" width="25" style="91" customWidth="1"/>
    <col min="3" max="3" width="16.375" style="91" customWidth="1"/>
    <col min="4" max="4" width="9.875" style="91" customWidth="1"/>
    <col min="5" max="5" width="9.5" style="91" customWidth="1"/>
    <col min="6" max="6" width="9.875" style="91" customWidth="1"/>
    <col min="7" max="7" width="16.5" style="91" customWidth="1"/>
    <col min="8" max="8" width="5" style="91" customWidth="1"/>
    <col min="9" max="9" width="10.5" style="91" customWidth="1"/>
    <col min="10" max="10" width="8.875" style="91"/>
    <col min="11" max="11" width="10.125" style="91" bestFit="1" customWidth="1"/>
    <col min="12" max="12" width="3.5" style="91" customWidth="1"/>
    <col min="13" max="16384" width="8.875" style="91"/>
  </cols>
  <sheetData>
    <row r="1" spans="1:11" ht="14.45" customHeight="1" x14ac:dyDescent="0.25">
      <c r="A1" s="92" t="s">
        <v>7</v>
      </c>
      <c r="B1" s="124"/>
    </row>
    <row r="2" spans="1:11" ht="6" customHeight="1" x14ac:dyDescent="0.2"/>
    <row r="3" spans="1:11" ht="14.45" customHeight="1" x14ac:dyDescent="0.2">
      <c r="A3" s="91" t="str">
        <f>CONCATENATE("Watershed: ",'MMW Output'!$B$3)</f>
        <v>Watershed: Upper Wissahickon</v>
      </c>
    </row>
    <row r="4" spans="1:11" ht="6" customHeight="1" x14ac:dyDescent="0.2"/>
    <row r="5" spans="1:11" ht="14.45" customHeight="1" x14ac:dyDescent="0.2">
      <c r="A5" s="91" t="str">
        <f>CONCATENATE("Year: ",'MMW Output'!$C$16)</f>
        <v>Year: 2018</v>
      </c>
    </row>
    <row r="6" spans="1:11" ht="11.45" customHeight="1" x14ac:dyDescent="0.2"/>
    <row r="7" spans="1:11" ht="18.75" customHeight="1" x14ac:dyDescent="0.2">
      <c r="A7" s="508" t="s">
        <v>253</v>
      </c>
      <c r="B7" s="508"/>
      <c r="C7" s="508"/>
      <c r="D7" s="508"/>
      <c r="E7" s="508"/>
      <c r="F7" s="508"/>
    </row>
    <row r="8" spans="1:11" ht="95.1" customHeight="1" x14ac:dyDescent="0.2">
      <c r="A8" s="507" t="s">
        <v>254</v>
      </c>
      <c r="B8" s="507"/>
      <c r="C8" s="507"/>
      <c r="D8" s="507"/>
      <c r="E8" s="507"/>
      <c r="F8" s="507"/>
      <c r="G8" s="507"/>
    </row>
    <row r="9" spans="1:11" ht="8.4499999999999993" customHeight="1" x14ac:dyDescent="0.2"/>
    <row r="10" spans="1:11" ht="8.4499999999999993" customHeight="1" x14ac:dyDescent="0.2"/>
    <row r="11" spans="1:11" ht="27.6" customHeight="1" x14ac:dyDescent="0.2">
      <c r="A11" s="507" t="s">
        <v>228</v>
      </c>
      <c r="B11" s="507"/>
      <c r="C11" s="507"/>
      <c r="D11" s="507"/>
      <c r="E11" s="507"/>
      <c r="F11" s="507"/>
      <c r="G11" s="507"/>
    </row>
    <row r="12" spans="1:11" ht="6" customHeight="1" x14ac:dyDescent="0.2"/>
    <row r="13" spans="1:11" x14ac:dyDescent="0.2">
      <c r="B13" s="134" t="s">
        <v>14</v>
      </c>
      <c r="C13" s="135" t="s">
        <v>140</v>
      </c>
      <c r="E13" s="250"/>
      <c r="F13" s="250"/>
      <c r="G13" s="250"/>
      <c r="K13" s="171"/>
    </row>
    <row r="14" spans="1:11" ht="13.35" customHeight="1" x14ac:dyDescent="0.2">
      <c r="A14" s="525" t="s">
        <v>158</v>
      </c>
      <c r="B14" s="172" t="s">
        <v>103</v>
      </c>
      <c r="C14" s="173">
        <f>+'MMW Output'!C22</f>
        <v>0</v>
      </c>
    </row>
    <row r="15" spans="1:11" ht="13.35" customHeight="1" x14ac:dyDescent="0.2">
      <c r="A15" s="526"/>
      <c r="B15" s="174" t="s">
        <v>37</v>
      </c>
      <c r="C15" s="175">
        <f>+'MMW Output'!C23</f>
        <v>0</v>
      </c>
    </row>
    <row r="16" spans="1:11" ht="13.35" customHeight="1" x14ac:dyDescent="0.2">
      <c r="A16" s="526"/>
      <c r="B16" s="176" t="s">
        <v>38</v>
      </c>
      <c r="C16" s="177">
        <f>+'MMW Output'!C24</f>
        <v>0</v>
      </c>
    </row>
    <row r="17" spans="1:3" ht="13.35" customHeight="1" x14ac:dyDescent="0.2">
      <c r="A17" s="526"/>
      <c r="B17" s="174" t="s">
        <v>40</v>
      </c>
      <c r="C17" s="175">
        <f>+'MMW Output'!C25</f>
        <v>0</v>
      </c>
    </row>
    <row r="18" spans="1:3" ht="13.35" customHeight="1" x14ac:dyDescent="0.2">
      <c r="A18" s="526"/>
      <c r="B18" s="176" t="s">
        <v>41</v>
      </c>
      <c r="C18" s="177">
        <f>+'MMW Output'!C26</f>
        <v>0</v>
      </c>
    </row>
    <row r="19" spans="1:3" ht="13.35" customHeight="1" x14ac:dyDescent="0.2">
      <c r="A19" s="526"/>
      <c r="B19" s="174" t="s">
        <v>42</v>
      </c>
      <c r="C19" s="175">
        <f>+'MMW Output'!C27</f>
        <v>0</v>
      </c>
    </row>
    <row r="20" spans="1:3" ht="13.35" customHeight="1" x14ac:dyDescent="0.2">
      <c r="A20" s="526"/>
      <c r="B20" s="176" t="s">
        <v>43</v>
      </c>
      <c r="C20" s="177">
        <f>+'MMW Output'!C28</f>
        <v>0</v>
      </c>
    </row>
    <row r="21" spans="1:3" ht="13.35" customHeight="1" x14ac:dyDescent="0.2">
      <c r="A21" s="526"/>
      <c r="B21" s="174" t="s">
        <v>44</v>
      </c>
      <c r="C21" s="175">
        <f>+'MMW Output'!C29</f>
        <v>0</v>
      </c>
    </row>
    <row r="22" spans="1:3" ht="13.35" customHeight="1" x14ac:dyDescent="0.2">
      <c r="A22" s="526"/>
      <c r="B22" s="176" t="s">
        <v>45</v>
      </c>
      <c r="C22" s="177">
        <f>+'MMW Output'!C30</f>
        <v>0</v>
      </c>
    </row>
    <row r="23" spans="1:3" ht="13.35" customHeight="1" x14ac:dyDescent="0.2">
      <c r="A23" s="526"/>
      <c r="B23" s="174" t="s">
        <v>46</v>
      </c>
      <c r="C23" s="175">
        <f>+'MMW Output'!C31</f>
        <v>0</v>
      </c>
    </row>
    <row r="24" spans="1:3" ht="13.35" customHeight="1" x14ac:dyDescent="0.2">
      <c r="A24" s="526"/>
      <c r="B24" s="176" t="s">
        <v>47</v>
      </c>
      <c r="C24" s="177">
        <f>+'MMW Output'!C32</f>
        <v>0</v>
      </c>
    </row>
    <row r="25" spans="1:3" ht="13.35" customHeight="1" x14ac:dyDescent="0.2">
      <c r="A25" s="526"/>
      <c r="B25" s="174" t="s">
        <v>48</v>
      </c>
      <c r="C25" s="175">
        <f>+'MMW Output'!C33</f>
        <v>0</v>
      </c>
    </row>
    <row r="26" spans="1:3" ht="13.35" customHeight="1" x14ac:dyDescent="0.2">
      <c r="A26" s="526"/>
      <c r="B26" s="176" t="s">
        <v>49</v>
      </c>
      <c r="C26" s="177">
        <f>+'MMW Output'!C34</f>
        <v>0</v>
      </c>
    </row>
    <row r="27" spans="1:3" ht="13.35" customHeight="1" x14ac:dyDescent="0.2">
      <c r="A27" s="526"/>
      <c r="B27" s="174" t="s">
        <v>50</v>
      </c>
      <c r="C27" s="175">
        <f>+'MMW Output'!C35</f>
        <v>0</v>
      </c>
    </row>
    <row r="28" spans="1:3" ht="13.35" customHeight="1" x14ac:dyDescent="0.2">
      <c r="A28" s="526"/>
      <c r="B28" s="176" t="s">
        <v>51</v>
      </c>
      <c r="C28" s="177">
        <f>+'MMW Output'!C36</f>
        <v>0</v>
      </c>
    </row>
    <row r="29" spans="1:3" ht="13.35" customHeight="1" x14ac:dyDescent="0.2">
      <c r="A29" s="527"/>
      <c r="B29" s="178" t="s">
        <v>52</v>
      </c>
      <c r="C29" s="179">
        <f>+'MMW Output'!C37</f>
        <v>0</v>
      </c>
    </row>
    <row r="30" spans="1:3" ht="6" customHeight="1" x14ac:dyDescent="0.2">
      <c r="C30" s="180"/>
    </row>
    <row r="31" spans="1:3" ht="15.6" customHeight="1" x14ac:dyDescent="0.2">
      <c r="B31" s="96" t="s">
        <v>159</v>
      </c>
      <c r="C31" s="181">
        <f>SUM(C14:C30)</f>
        <v>0</v>
      </c>
    </row>
    <row r="32" spans="1:3" ht="17.100000000000001" customHeight="1" x14ac:dyDescent="0.2"/>
    <row r="33" spans="1:7" x14ac:dyDescent="0.2">
      <c r="A33" s="507" t="s">
        <v>255</v>
      </c>
      <c r="B33" s="507"/>
      <c r="C33" s="507"/>
      <c r="D33" s="507"/>
      <c r="E33" s="507"/>
      <c r="F33" s="507"/>
      <c r="G33" s="507"/>
    </row>
    <row r="34" spans="1:7" ht="6" customHeight="1" x14ac:dyDescent="0.2">
      <c r="B34" s="142"/>
      <c r="C34" s="143"/>
      <c r="D34" s="144"/>
    </row>
    <row r="35" spans="1:7" x14ac:dyDescent="0.2">
      <c r="B35" s="167"/>
      <c r="C35" s="168" t="s">
        <v>256</v>
      </c>
      <c r="D35" s="168"/>
    </row>
    <row r="36" spans="1:7" x14ac:dyDescent="0.2">
      <c r="B36" s="169" t="s">
        <v>88</v>
      </c>
      <c r="C36" s="169">
        <f>+'MMW Output'!F40</f>
        <v>0</v>
      </c>
      <c r="D36" s="169" t="s">
        <v>137</v>
      </c>
    </row>
    <row r="37" spans="1:7" ht="6" customHeight="1" x14ac:dyDescent="0.2">
      <c r="B37" s="142"/>
      <c r="D37" s="144"/>
    </row>
    <row r="38" spans="1:7" ht="17.100000000000001" customHeight="1" x14ac:dyDescent="0.2">
      <c r="B38" s="142"/>
      <c r="C38" s="143"/>
      <c r="D38" s="144"/>
    </row>
    <row r="39" spans="1:7" x14ac:dyDescent="0.2">
      <c r="A39" s="507" t="str">
        <f>CONCATENATE("Step 3. Sum the total acres in the ", 'MMW Output'!C15," watershed.")</f>
        <v>Step 3. Sum the total acres in the Upper Wissahickon watershed.</v>
      </c>
      <c r="B39" s="507"/>
      <c r="C39" s="507"/>
      <c r="D39" s="507"/>
      <c r="E39" s="507"/>
      <c r="F39" s="507"/>
      <c r="G39" s="507"/>
    </row>
    <row r="40" spans="1:7" ht="6" customHeight="1" x14ac:dyDescent="0.2">
      <c r="A40" s="182"/>
      <c r="B40" s="182"/>
      <c r="C40" s="182"/>
      <c r="D40" s="182"/>
      <c r="E40" s="182"/>
      <c r="F40" s="182"/>
      <c r="G40" s="182"/>
    </row>
    <row r="41" spans="1:7" x14ac:dyDescent="0.2">
      <c r="B41" s="183" t="s">
        <v>162</v>
      </c>
      <c r="C41" s="146">
        <f>SUM(C14:C30)</f>
        <v>0</v>
      </c>
      <c r="D41" s="162" t="s">
        <v>85</v>
      </c>
    </row>
    <row r="42" spans="1:7" ht="6" customHeight="1" x14ac:dyDescent="0.2">
      <c r="B42" s="142"/>
      <c r="C42" s="143"/>
      <c r="D42" s="144"/>
    </row>
    <row r="43" spans="1:7" ht="4.3499999999999996" customHeight="1" x14ac:dyDescent="0.2">
      <c r="B43" s="142"/>
      <c r="C43" s="143"/>
      <c r="D43" s="144"/>
    </row>
    <row r="44" spans="1:7" ht="14.45" customHeight="1" x14ac:dyDescent="0.2">
      <c r="A44" s="91" t="s">
        <v>257</v>
      </c>
      <c r="B44" s="142"/>
      <c r="C44" s="143"/>
      <c r="D44" s="144"/>
    </row>
    <row r="45" spans="1:7" ht="6" customHeight="1" x14ac:dyDescent="0.2">
      <c r="B45" s="142"/>
      <c r="C45" s="143"/>
      <c r="D45" s="144"/>
    </row>
    <row r="46" spans="1:7" ht="14.1" customHeight="1" x14ac:dyDescent="0.2">
      <c r="A46" s="91" t="str">
        <f>CONCATENATE("Watershed: ",'MMW Output'!$B$3)</f>
        <v>Watershed: Upper Wissahickon</v>
      </c>
      <c r="B46" s="142"/>
      <c r="C46" s="143"/>
      <c r="D46" s="144"/>
    </row>
    <row r="47" spans="1:7" ht="6" customHeight="1" x14ac:dyDescent="0.2">
      <c r="B47" s="142"/>
      <c r="C47" s="143"/>
      <c r="D47" s="144"/>
    </row>
    <row r="48" spans="1:7" ht="14.1" customHeight="1" x14ac:dyDescent="0.2">
      <c r="A48" s="91" t="str">
        <f>CONCATENATE("Year: ",'MMW Output'!$C$16)</f>
        <v>Year: 2018</v>
      </c>
      <c r="B48" s="142"/>
      <c r="C48" s="143"/>
      <c r="D48" s="144"/>
    </row>
    <row r="49" spans="1:7" ht="11.1" customHeight="1" x14ac:dyDescent="0.2">
      <c r="B49" s="142"/>
      <c r="C49" s="143"/>
      <c r="D49" s="144"/>
    </row>
    <row r="50" spans="1:7" ht="51" customHeight="1" x14ac:dyDescent="0.2">
      <c r="A50" s="507" t="s">
        <v>232</v>
      </c>
      <c r="B50" s="507"/>
      <c r="C50" s="507"/>
      <c r="D50" s="507"/>
      <c r="E50" s="507"/>
      <c r="F50" s="507"/>
      <c r="G50" s="507"/>
    </row>
    <row r="51" spans="1:7" ht="6" customHeight="1" x14ac:dyDescent="0.2">
      <c r="C51" s="141"/>
    </row>
    <row r="52" spans="1:7" x14ac:dyDescent="0.2">
      <c r="B52" s="148" t="s">
        <v>165</v>
      </c>
      <c r="C52" s="184" t="s">
        <v>85</v>
      </c>
      <c r="D52" s="184" t="s">
        <v>166</v>
      </c>
    </row>
    <row r="53" spans="1:7" x14ac:dyDescent="0.2">
      <c r="B53" s="185" t="s">
        <v>167</v>
      </c>
      <c r="C53" s="186">
        <f>+C24+C27</f>
        <v>0</v>
      </c>
      <c r="D53" s="187" t="e">
        <f>+C53/C$56</f>
        <v>#DIV/0!</v>
      </c>
      <c r="E53" s="188" t="s">
        <v>168</v>
      </c>
      <c r="F53" s="169"/>
      <c r="G53" s="189"/>
    </row>
    <row r="54" spans="1:7" x14ac:dyDescent="0.2">
      <c r="B54" s="190" t="s">
        <v>169</v>
      </c>
      <c r="C54" s="191">
        <f>+C25+C28</f>
        <v>0</v>
      </c>
      <c r="D54" s="192" t="e">
        <f>+C54/C$56</f>
        <v>#DIV/0!</v>
      </c>
      <c r="E54" s="193" t="s">
        <v>170</v>
      </c>
      <c r="F54" s="194"/>
      <c r="G54" s="195"/>
    </row>
    <row r="55" spans="1:7" ht="13.5" thickBot="1" x14ac:dyDescent="0.25">
      <c r="B55" s="196" t="s">
        <v>171</v>
      </c>
      <c r="C55" s="197">
        <f>+C26+C29</f>
        <v>0</v>
      </c>
      <c r="D55" s="198" t="e">
        <f>+C55/C$56</f>
        <v>#DIV/0!</v>
      </c>
      <c r="E55" s="188" t="s">
        <v>172</v>
      </c>
      <c r="F55" s="169"/>
      <c r="G55" s="189"/>
    </row>
    <row r="56" spans="1:7" x14ac:dyDescent="0.2">
      <c r="B56" s="162" t="s">
        <v>173</v>
      </c>
      <c r="C56" s="199">
        <f>+C53+C54+C55</f>
        <v>0</v>
      </c>
      <c r="D56" s="200" t="e">
        <f>+C56/C$56</f>
        <v>#DIV/0!</v>
      </c>
      <c r="E56" s="165" t="s">
        <v>174</v>
      </c>
    </row>
    <row r="57" spans="1:7" ht="6.6" customHeight="1" x14ac:dyDescent="0.2"/>
    <row r="59" spans="1:7" x14ac:dyDescent="0.2">
      <c r="A59" s="91" t="s">
        <v>258</v>
      </c>
    </row>
    <row r="60" spans="1:7" x14ac:dyDescent="0.2">
      <c r="B60" s="91" t="s">
        <v>259</v>
      </c>
    </row>
    <row r="61" spans="1:7" x14ac:dyDescent="0.2">
      <c r="B61" s="91" t="s">
        <v>260</v>
      </c>
    </row>
    <row r="62" spans="1:7" ht="8.1" customHeight="1" x14ac:dyDescent="0.2"/>
    <row r="63" spans="1:7" x14ac:dyDescent="0.2">
      <c r="B63" s="91" t="s">
        <v>261</v>
      </c>
      <c r="C63" s="201">
        <f>C36</f>
        <v>0</v>
      </c>
      <c r="D63" s="91" t="s">
        <v>137</v>
      </c>
      <c r="E63" s="165" t="s">
        <v>179</v>
      </c>
    </row>
    <row r="64" spans="1:7" x14ac:dyDescent="0.2">
      <c r="B64" s="91" t="s">
        <v>180</v>
      </c>
      <c r="C64" s="202">
        <f>+C56</f>
        <v>0</v>
      </c>
      <c r="D64" s="91" t="s">
        <v>85</v>
      </c>
      <c r="E64" s="165" t="s">
        <v>181</v>
      </c>
    </row>
    <row r="65" spans="1:7" ht="13.35" customHeight="1" x14ac:dyDescent="0.2">
      <c r="B65" s="91" t="s">
        <v>162</v>
      </c>
      <c r="C65" s="202">
        <f>+C41</f>
        <v>0</v>
      </c>
      <c r="D65" s="91" t="s">
        <v>85</v>
      </c>
      <c r="E65" s="165" t="s">
        <v>182</v>
      </c>
    </row>
    <row r="66" spans="1:7" ht="25.35" customHeight="1" x14ac:dyDescent="0.2">
      <c r="B66" s="203" t="s">
        <v>183</v>
      </c>
      <c r="C66" s="204" t="e">
        <f>+C64/C65</f>
        <v>#DIV/0!</v>
      </c>
      <c r="D66" s="165" t="s">
        <v>184</v>
      </c>
      <c r="E66" s="91" t="str">
        <f>CONCATENATE("[ ",ROUND(C64,2)," acres / ",ROUND(C65,2)," acres ]")</f>
        <v>[ 0 acres / 0 acres ]</v>
      </c>
    </row>
    <row r="67" spans="1:7" ht="7.35" customHeight="1" x14ac:dyDescent="0.2"/>
    <row r="68" spans="1:7" ht="42" customHeight="1" x14ac:dyDescent="0.2">
      <c r="A68" s="205"/>
      <c r="B68" s="126" t="s">
        <v>262</v>
      </c>
      <c r="C68" s="206" t="e">
        <f>+C63*C66*0.75</f>
        <v>#DIV/0!</v>
      </c>
      <c r="D68" s="91" t="s">
        <v>186</v>
      </c>
      <c r="E68" s="91" t="e">
        <f>CONCATENATE("[ 75% x ",ROUND(C63,2)," pounds x ",ROUND(C66*100,0),"% ]")</f>
        <v>#DIV/0!</v>
      </c>
    </row>
    <row r="69" spans="1:7" ht="13.5" thickBot="1" x14ac:dyDescent="0.25">
      <c r="A69" s="205"/>
      <c r="B69" s="207" t="s">
        <v>263</v>
      </c>
      <c r="C69" s="208">
        <f>+C63*0.25</f>
        <v>0</v>
      </c>
      <c r="D69" s="209" t="s">
        <v>186</v>
      </c>
      <c r="E69" s="91" t="str">
        <f>CONCATENATE("[ 25% x ",ROUND(C63,2)," pounds ]")</f>
        <v>[ 25% x 0 pounds ]</v>
      </c>
    </row>
    <row r="70" spans="1:7" ht="29.1" customHeight="1" x14ac:dyDescent="0.2">
      <c r="B70" s="210" t="s">
        <v>188</v>
      </c>
      <c r="C70" s="211" t="e">
        <f>+C69+C68</f>
        <v>#DIV/0!</v>
      </c>
      <c r="D70" s="212" t="s">
        <v>137</v>
      </c>
    </row>
    <row r="71" spans="1:7" ht="6.6" customHeight="1" x14ac:dyDescent="0.2"/>
    <row r="72" spans="1:7" ht="8.4499999999999993" customHeight="1" x14ac:dyDescent="0.2"/>
    <row r="73" spans="1:7" ht="42" customHeight="1" x14ac:dyDescent="0.2">
      <c r="A73" s="507" t="s">
        <v>264</v>
      </c>
      <c r="B73" s="507"/>
      <c r="C73" s="507"/>
      <c r="D73" s="507"/>
      <c r="E73" s="507"/>
      <c r="F73" s="507"/>
      <c r="G73" s="507"/>
    </row>
    <row r="74" spans="1:7" ht="6" customHeight="1" x14ac:dyDescent="0.2"/>
    <row r="75" spans="1:7" x14ac:dyDescent="0.2">
      <c r="B75" s="96" t="s">
        <v>190</v>
      </c>
    </row>
    <row r="76" spans="1:7" ht="12.75" customHeight="1" x14ac:dyDescent="0.2">
      <c r="B76" s="185" t="s">
        <v>167</v>
      </c>
      <c r="C76" s="213">
        <v>0.15</v>
      </c>
    </row>
    <row r="77" spans="1:7" x14ac:dyDescent="0.2">
      <c r="B77" s="190" t="s">
        <v>169</v>
      </c>
      <c r="C77" s="214">
        <v>0.52</v>
      </c>
    </row>
    <row r="78" spans="1:7" x14ac:dyDescent="0.2">
      <c r="B78" s="185" t="s">
        <v>171</v>
      </c>
      <c r="C78" s="213">
        <v>0.87</v>
      </c>
    </row>
    <row r="79" spans="1:7" ht="6" customHeight="1" x14ac:dyDescent="0.2"/>
    <row r="80" spans="1:7" ht="11.45" customHeight="1" x14ac:dyDescent="0.2"/>
    <row r="81" spans="1:7" ht="24.6" customHeight="1" x14ac:dyDescent="0.2">
      <c r="A81" s="507" t="s">
        <v>191</v>
      </c>
      <c r="B81" s="507"/>
      <c r="C81" s="507"/>
      <c r="D81" s="507"/>
      <c r="E81" s="507"/>
      <c r="F81" s="507"/>
      <c r="G81" s="507"/>
    </row>
    <row r="82" spans="1:7" ht="6" customHeight="1" x14ac:dyDescent="0.2"/>
    <row r="83" spans="1:7" x14ac:dyDescent="0.2">
      <c r="B83" s="96" t="s">
        <v>192</v>
      </c>
    </row>
    <row r="84" spans="1:7" x14ac:dyDescent="0.2">
      <c r="B84" s="215" t="s">
        <v>167</v>
      </c>
      <c r="C84" s="186">
        <f>+C53*C76</f>
        <v>0</v>
      </c>
      <c r="D84" s="169" t="s">
        <v>193</v>
      </c>
      <c r="E84" s="216" t="str">
        <f>CONCATENATE(" [ ",ROUND(C53,2)," acres x ",C76*100," percent ]")</f>
        <v xml:space="preserve"> [ 0 acres x 15 percent ]</v>
      </c>
      <c r="F84" s="169"/>
      <c r="G84" s="189"/>
    </row>
    <row r="85" spans="1:7" x14ac:dyDescent="0.2">
      <c r="B85" s="217" t="s">
        <v>169</v>
      </c>
      <c r="C85" s="191">
        <f>+C54*C77</f>
        <v>0</v>
      </c>
      <c r="D85" s="194" t="s">
        <v>193</v>
      </c>
      <c r="E85" s="218" t="str">
        <f>CONCATENATE(" [ ",ROUND(C54,2)," acres x ",C77*100," percent ]")</f>
        <v xml:space="preserve"> [ 0 acres x 52 percent ]</v>
      </c>
      <c r="F85" s="194"/>
      <c r="G85" s="195"/>
    </row>
    <row r="86" spans="1:7" ht="13.5" thickBot="1" x14ac:dyDescent="0.25">
      <c r="B86" s="219" t="s">
        <v>171</v>
      </c>
      <c r="C86" s="197">
        <f>+C55*C78</f>
        <v>0</v>
      </c>
      <c r="D86" s="220" t="s">
        <v>193</v>
      </c>
      <c r="E86" s="216" t="str">
        <f>CONCATENATE(" [ ",ROUND(C55,2)," acres x ",C78*100," percent ]")</f>
        <v xml:space="preserve"> [ 0 acres x 87 percent ]</v>
      </c>
      <c r="F86" s="169"/>
      <c r="G86" s="189"/>
    </row>
    <row r="87" spans="1:7" ht="29.1" customHeight="1" x14ac:dyDescent="0.2">
      <c r="B87" s="221" t="s">
        <v>194</v>
      </c>
      <c r="C87" s="222">
        <f>+C84+C85+C86</f>
        <v>0</v>
      </c>
      <c r="D87" s="91" t="s">
        <v>85</v>
      </c>
    </row>
    <row r="88" spans="1:7" ht="6" customHeight="1" x14ac:dyDescent="0.2"/>
    <row r="90" spans="1:7" x14ac:dyDescent="0.2">
      <c r="A90" s="91" t="s">
        <v>265</v>
      </c>
    </row>
    <row r="91" spans="1:7" ht="6" customHeight="1" x14ac:dyDescent="0.2"/>
    <row r="92" spans="1:7" x14ac:dyDescent="0.2">
      <c r="A92" s="91" t="str">
        <f>CONCATENATE("Watershed: ",'MMW Output'!$B$3)</f>
        <v>Watershed: Upper Wissahickon</v>
      </c>
    </row>
    <row r="93" spans="1:7" ht="6" customHeight="1" x14ac:dyDescent="0.2"/>
    <row r="94" spans="1:7" x14ac:dyDescent="0.2">
      <c r="A94" s="91" t="str">
        <f>CONCATENATE("Year: ",'MMW Output'!$C$16)</f>
        <v>Year: 2018</v>
      </c>
    </row>
    <row r="96" spans="1:7" x14ac:dyDescent="0.2">
      <c r="A96" s="91" t="s">
        <v>196</v>
      </c>
    </row>
    <row r="97" spans="1:7" ht="6" customHeight="1" x14ac:dyDescent="0.2"/>
    <row r="98" spans="1:7" x14ac:dyDescent="0.2">
      <c r="B98" s="96" t="s">
        <v>197</v>
      </c>
    </row>
    <row r="99" spans="1:7" x14ac:dyDescent="0.2">
      <c r="B99" s="185" t="s">
        <v>167</v>
      </c>
      <c r="C99" s="213" t="e">
        <f>+C84/(C$84+C$85+C$86)</f>
        <v>#DIV/0!</v>
      </c>
      <c r="D99" s="223" t="s">
        <v>198</v>
      </c>
      <c r="E99" s="216" t="str">
        <f>CONCATENATE(" [ ",ROUND(C84,2)," acres / ",ROUND(C87,2)," acres ]")</f>
        <v xml:space="preserve"> [ 0 acres / 0 acres ]</v>
      </c>
      <c r="F99" s="169"/>
      <c r="G99" s="189"/>
    </row>
    <row r="100" spans="1:7" x14ac:dyDescent="0.2">
      <c r="B100" s="190" t="s">
        <v>169</v>
      </c>
      <c r="C100" s="214" t="e">
        <f>+C85/(C$84+C$85+C$86)</f>
        <v>#DIV/0!</v>
      </c>
      <c r="D100" s="224" t="s">
        <v>198</v>
      </c>
      <c r="E100" s="218" t="str">
        <f>CONCATENATE(" [ ",ROUND(C85,2)," acres / ",ROUND(C87,2)," acres ]")</f>
        <v xml:space="preserve"> [ 0 acres / 0 acres ]</v>
      </c>
      <c r="F100" s="194"/>
      <c r="G100" s="195"/>
    </row>
    <row r="101" spans="1:7" ht="13.5" thickBot="1" x14ac:dyDescent="0.25">
      <c r="B101" s="196" t="s">
        <v>171</v>
      </c>
      <c r="C101" s="225" t="e">
        <f>+C86/(C$84+C$85+C$86)</f>
        <v>#DIV/0!</v>
      </c>
      <c r="D101" s="223" t="s">
        <v>198</v>
      </c>
      <c r="E101" s="216" t="str">
        <f>CONCATENATE(" [ ",ROUND(C86,2)," acres / ",ROUND(C87,2)," acres ]")</f>
        <v xml:space="preserve"> [ 0 acres / 0 acres ]</v>
      </c>
      <c r="F101" s="169"/>
      <c r="G101" s="189"/>
    </row>
    <row r="102" spans="1:7" x14ac:dyDescent="0.2">
      <c r="B102" s="91" t="s">
        <v>173</v>
      </c>
      <c r="C102" s="226" t="e">
        <f>+C99+C100+C101</f>
        <v>#DIV/0!</v>
      </c>
    </row>
    <row r="103" spans="1:7" ht="7.35" customHeight="1" x14ac:dyDescent="0.2"/>
    <row r="104" spans="1:7" ht="13.35" customHeight="1" x14ac:dyDescent="0.2"/>
    <row r="105" spans="1:7" ht="24" customHeight="1" x14ac:dyDescent="0.2">
      <c r="A105" s="507" t="s">
        <v>266</v>
      </c>
      <c r="B105" s="507"/>
      <c r="C105" s="507"/>
      <c r="D105" s="507"/>
      <c r="E105" s="507"/>
      <c r="F105" s="507"/>
      <c r="G105" s="507"/>
    </row>
    <row r="106" spans="1:7" ht="6" customHeight="1" x14ac:dyDescent="0.2"/>
    <row r="107" spans="1:7" ht="25.5" customHeight="1" x14ac:dyDescent="0.2">
      <c r="B107" s="227" t="s">
        <v>188</v>
      </c>
      <c r="C107" s="114" t="e">
        <f>+C70</f>
        <v>#DIV/0!</v>
      </c>
      <c r="D107" s="91" t="s">
        <v>200</v>
      </c>
      <c r="E107" s="165" t="s">
        <v>201</v>
      </c>
    </row>
    <row r="108" spans="1:7" ht="25.5" customHeight="1" x14ac:dyDescent="0.2">
      <c r="B108" s="182" t="s">
        <v>202</v>
      </c>
      <c r="C108" s="206" t="e">
        <f>+C68</f>
        <v>#DIV/0!</v>
      </c>
      <c r="D108" s="91" t="s">
        <v>200</v>
      </c>
      <c r="E108" s="165" t="s">
        <v>201</v>
      </c>
    </row>
    <row r="109" spans="1:7" ht="25.5" customHeight="1" x14ac:dyDescent="0.2">
      <c r="B109" s="182" t="s">
        <v>267</v>
      </c>
      <c r="C109" s="206">
        <f>+C69</f>
        <v>0</v>
      </c>
      <c r="D109" s="91" t="s">
        <v>200</v>
      </c>
      <c r="E109" s="165" t="s">
        <v>201</v>
      </c>
    </row>
    <row r="110" spans="1:7" ht="6" customHeight="1" x14ac:dyDescent="0.2"/>
    <row r="111" spans="1:7" ht="13.35" customHeight="1" x14ac:dyDescent="0.2"/>
    <row r="112" spans="1:7" ht="14.1" customHeight="1" x14ac:dyDescent="0.2">
      <c r="A112" s="507" t="s">
        <v>204</v>
      </c>
      <c r="B112" s="507"/>
      <c r="C112" s="507"/>
      <c r="D112" s="507"/>
      <c r="E112" s="507"/>
      <c r="F112" s="507"/>
      <c r="G112" s="507"/>
    </row>
    <row r="113" spans="1:7" ht="15" customHeight="1" x14ac:dyDescent="0.2">
      <c r="A113" s="507" t="str">
        <f>CONCATENATE("multiplying the 'Percent of Total Impervious Surfaces' (Step 8) by ",ROUND(C109,2)," pounds (calculated in Step 9):")</f>
        <v>multiplying the 'Percent of Total Impervious Surfaces' (Step 8) by 0 pounds (calculated in Step 9):</v>
      </c>
      <c r="B113" s="507"/>
      <c r="C113" s="507"/>
      <c r="D113" s="507"/>
      <c r="E113" s="507"/>
      <c r="F113" s="507"/>
      <c r="G113" s="507"/>
    </row>
    <row r="114" spans="1:7" ht="6" customHeight="1" x14ac:dyDescent="0.2">
      <c r="A114" s="182"/>
      <c r="B114" s="182"/>
      <c r="C114" s="182"/>
      <c r="D114" s="182"/>
      <c r="E114" s="182"/>
      <c r="F114" s="182"/>
      <c r="G114" s="182"/>
    </row>
    <row r="115" spans="1:7" ht="16.350000000000001" customHeight="1" x14ac:dyDescent="0.2">
      <c r="B115" s="96" t="s">
        <v>268</v>
      </c>
      <c r="C115" s="221"/>
      <c r="D115" s="221"/>
      <c r="E115" s="221"/>
      <c r="F115" s="126"/>
    </row>
    <row r="116" spans="1:7" x14ac:dyDescent="0.2">
      <c r="B116" s="185" t="s">
        <v>167</v>
      </c>
      <c r="C116" s="170" t="e">
        <f>C99*C$109</f>
        <v>#DIV/0!</v>
      </c>
      <c r="D116" s="528" t="e">
        <f>CONCATENATE("=   [ ",ROUND(C99*100,0)," % x ",ROUND(C$109,2)," pounds ]")</f>
        <v>#DIV/0!</v>
      </c>
      <c r="E116" s="529"/>
      <c r="F116" s="529"/>
      <c r="G116" s="529"/>
    </row>
    <row r="117" spans="1:7" x14ac:dyDescent="0.2">
      <c r="B117" s="190" t="s">
        <v>169</v>
      </c>
      <c r="C117" s="228" t="e">
        <f>C100*C$109</f>
        <v>#DIV/0!</v>
      </c>
      <c r="D117" s="530" t="e">
        <f>CONCATENATE("=   [ ",ROUND(C100*100,0)," % x ",ROUND(C$109,2)," pounds ]")</f>
        <v>#DIV/0!</v>
      </c>
      <c r="E117" s="531"/>
      <c r="F117" s="531"/>
      <c r="G117" s="531"/>
    </row>
    <row r="118" spans="1:7" x14ac:dyDescent="0.2">
      <c r="B118" s="185" t="s">
        <v>171</v>
      </c>
      <c r="C118" s="170" t="e">
        <f>C101*C$109</f>
        <v>#DIV/0!</v>
      </c>
      <c r="D118" s="528" t="e">
        <f>CONCATENATE("=   [ ",ROUND(C101*100,0)," % x ",ROUND(C$109,2)," pounds ]")</f>
        <v>#DIV/0!</v>
      </c>
      <c r="E118" s="529"/>
      <c r="F118" s="529"/>
      <c r="G118" s="529"/>
    </row>
    <row r="119" spans="1:7" ht="6" customHeight="1" x14ac:dyDescent="0.2">
      <c r="C119" s="229"/>
    </row>
    <row r="121" spans="1:7" x14ac:dyDescent="0.2">
      <c r="A121" s="507" t="s">
        <v>206</v>
      </c>
      <c r="B121" s="507"/>
      <c r="C121" s="507"/>
      <c r="D121" s="507"/>
      <c r="E121" s="507"/>
      <c r="F121" s="507"/>
      <c r="G121" s="507"/>
    </row>
    <row r="122" spans="1:7" x14ac:dyDescent="0.2">
      <c r="A122" s="507" t="e">
        <f>CONCATENATE("the 'Percent of Area of Developed Lands' (from Step 4) by ",ROUND(C108,2)," pounds (calculated in Step 9):")</f>
        <v>#DIV/0!</v>
      </c>
      <c r="B122" s="507"/>
      <c r="C122" s="507"/>
      <c r="D122" s="507"/>
      <c r="E122" s="507"/>
      <c r="F122" s="507"/>
      <c r="G122" s="507"/>
    </row>
    <row r="123" spans="1:7" ht="6" customHeight="1" x14ac:dyDescent="0.2"/>
    <row r="124" spans="1:7" ht="17.100000000000001" customHeight="1" x14ac:dyDescent="0.2">
      <c r="B124" s="96" t="s">
        <v>269</v>
      </c>
      <c r="C124" s="221"/>
      <c r="D124" s="221"/>
      <c r="E124" s="221"/>
    </row>
    <row r="125" spans="1:7" x14ac:dyDescent="0.2">
      <c r="B125" s="185" t="s">
        <v>167</v>
      </c>
      <c r="C125" s="170" t="e">
        <f>C53/C$56*C$108</f>
        <v>#DIV/0!</v>
      </c>
      <c r="D125" s="528" t="e">
        <f>CONCATENATE("=   [ ",ROUND(D53*100,0)," % x ",ROUND(C$108,2)," pounds ]")</f>
        <v>#DIV/0!</v>
      </c>
      <c r="E125" s="529"/>
      <c r="F125" s="529"/>
      <c r="G125" s="529"/>
    </row>
    <row r="126" spans="1:7" x14ac:dyDescent="0.2">
      <c r="B126" s="190" t="s">
        <v>169</v>
      </c>
      <c r="C126" s="228" t="e">
        <f>C54/C$56*C$108</f>
        <v>#DIV/0!</v>
      </c>
      <c r="D126" s="530" t="e">
        <f>CONCATENATE("=   [ ",ROUND(D54*100,0)," % x ",ROUND(C$108,2)," pounds ]")</f>
        <v>#DIV/0!</v>
      </c>
      <c r="E126" s="531"/>
      <c r="F126" s="531"/>
      <c r="G126" s="531"/>
    </row>
    <row r="127" spans="1:7" x14ac:dyDescent="0.2">
      <c r="B127" s="185" t="s">
        <v>171</v>
      </c>
      <c r="C127" s="170" t="e">
        <f>C55/C$56*C$108</f>
        <v>#DIV/0!</v>
      </c>
      <c r="D127" s="528" t="e">
        <f>CONCATENATE("=   [ ",ROUND(D55*100,0)," % x ",ROUND(C$108,2)," pounds ]  ")</f>
        <v>#DIV/0!</v>
      </c>
      <c r="E127" s="529"/>
      <c r="F127" s="529"/>
      <c r="G127" s="529"/>
    </row>
    <row r="128" spans="1:7" ht="7.35" customHeight="1" x14ac:dyDescent="0.2"/>
    <row r="130" spans="1:13" ht="26.45" customHeight="1" x14ac:dyDescent="0.2">
      <c r="A130" s="507" t="s">
        <v>208</v>
      </c>
      <c r="B130" s="507"/>
      <c r="C130" s="507"/>
      <c r="D130" s="507"/>
      <c r="E130" s="507"/>
      <c r="F130" s="507"/>
      <c r="G130" s="507"/>
    </row>
    <row r="131" spans="1:13" ht="6" customHeight="1" x14ac:dyDescent="0.2"/>
    <row r="132" spans="1:13" ht="16.350000000000001" customHeight="1" x14ac:dyDescent="0.2">
      <c r="B132" s="96" t="s">
        <v>270</v>
      </c>
      <c r="C132" s="230"/>
      <c r="D132" s="230"/>
      <c r="E132" s="221"/>
      <c r="F132" s="221"/>
      <c r="G132" s="221"/>
      <c r="H132" s="221"/>
      <c r="I132" s="221"/>
      <c r="J132" s="221"/>
      <c r="K132" s="221"/>
      <c r="L132" s="231"/>
      <c r="M132" s="232"/>
    </row>
    <row r="133" spans="1:13" x14ac:dyDescent="0.2">
      <c r="B133" s="185" t="s">
        <v>167</v>
      </c>
      <c r="C133" s="169" t="e">
        <f>+C116+C125</f>
        <v>#DIV/0!</v>
      </c>
      <c r="D133" s="215" t="e">
        <f>CONCATENATE("   =   [ ",ROUND(C116,2)," pounds + ",ROUND(C125,2)," pounds ]")</f>
        <v>#DIV/0!</v>
      </c>
      <c r="E133" s="189"/>
      <c r="F133" s="169"/>
      <c r="G133" s="189"/>
      <c r="I133" s="233"/>
      <c r="J133" s="233"/>
      <c r="K133" s="234"/>
      <c r="M133" s="235"/>
    </row>
    <row r="134" spans="1:13" x14ac:dyDescent="0.2">
      <c r="B134" s="190" t="s">
        <v>169</v>
      </c>
      <c r="C134" s="194" t="e">
        <f>+C117+C126</f>
        <v>#DIV/0!</v>
      </c>
      <c r="D134" s="217" t="e">
        <f>CONCATENATE("   =   [ ",ROUND(C117,2)," pounds + ",ROUND(C126,2)," pounds ]")</f>
        <v>#DIV/0!</v>
      </c>
      <c r="E134" s="195"/>
      <c r="F134" s="194"/>
      <c r="G134" s="195"/>
      <c r="I134" s="233"/>
      <c r="J134" s="233"/>
      <c r="K134" s="234"/>
      <c r="M134" s="235"/>
    </row>
    <row r="135" spans="1:13" x14ac:dyDescent="0.2">
      <c r="B135" s="185" t="s">
        <v>171</v>
      </c>
      <c r="C135" s="169" t="e">
        <f>+C118+C127</f>
        <v>#DIV/0!</v>
      </c>
      <c r="D135" s="215" t="e">
        <f>CONCATENATE("   =   [ ",ROUND(C118,2)," pounds + ",ROUND(C127,2)," pounds ]")</f>
        <v>#DIV/0!</v>
      </c>
      <c r="E135" s="189"/>
      <c r="F135" s="169"/>
      <c r="G135" s="189"/>
      <c r="I135" s="233"/>
      <c r="J135" s="233"/>
      <c r="K135" s="234"/>
      <c r="M135" s="235"/>
    </row>
    <row r="136" spans="1:13" ht="7.35" customHeight="1" x14ac:dyDescent="0.2">
      <c r="M136" s="229"/>
    </row>
    <row r="139" spans="1:13" x14ac:dyDescent="0.2">
      <c r="A139" s="91" t="s">
        <v>271</v>
      </c>
    </row>
    <row r="140" spans="1:13" ht="6" customHeight="1" x14ac:dyDescent="0.2"/>
    <row r="141" spans="1:13" x14ac:dyDescent="0.2">
      <c r="A141" s="91" t="str">
        <f>CONCATENATE("Watershed: ",'MMW Output'!$B$3)</f>
        <v>Watershed: Upper Wissahickon</v>
      </c>
    </row>
    <row r="142" spans="1:13" ht="6" customHeight="1" x14ac:dyDescent="0.2"/>
    <row r="143" spans="1:13" x14ac:dyDescent="0.2">
      <c r="A143" s="91" t="str">
        <f>CONCATENATE("Year: ",'MMW Output'!$C$16)</f>
        <v>Year: 2018</v>
      </c>
    </row>
    <row r="145" spans="1:7" ht="28.35" customHeight="1" x14ac:dyDescent="0.2">
      <c r="A145" s="507" t="s">
        <v>211</v>
      </c>
      <c r="B145" s="507"/>
      <c r="C145" s="507"/>
      <c r="D145" s="507"/>
      <c r="E145" s="507"/>
      <c r="F145" s="507"/>
      <c r="G145" s="507"/>
    </row>
    <row r="146" spans="1:7" ht="8.4499999999999993" customHeight="1" x14ac:dyDescent="0.2"/>
    <row r="147" spans="1:7" ht="53.45" customHeight="1" x14ac:dyDescent="0.2">
      <c r="A147" s="532" t="s">
        <v>272</v>
      </c>
      <c r="B147" s="532"/>
      <c r="C147" s="236" t="s">
        <v>137</v>
      </c>
      <c r="D147" s="237" t="s">
        <v>213</v>
      </c>
      <c r="E147" s="533" t="s">
        <v>273</v>
      </c>
      <c r="F147" s="533"/>
    </row>
    <row r="148" spans="1:7" x14ac:dyDescent="0.2">
      <c r="B148" s="238" t="s">
        <v>167</v>
      </c>
      <c r="C148" s="169" t="e">
        <f>+C133</f>
        <v>#DIV/0!</v>
      </c>
      <c r="D148" s="169">
        <f>+C53</f>
        <v>0</v>
      </c>
      <c r="E148" s="239" t="e">
        <f>+C148/D148</f>
        <v>#DIV/0!</v>
      </c>
      <c r="F148" s="215" t="e">
        <f>CONCATENATE("= [",ROUND(C148,2)," lbs / ",(ROUND(D148,2))," acres ]")</f>
        <v>#DIV/0!</v>
      </c>
      <c r="G148" s="189"/>
    </row>
    <row r="149" spans="1:7" x14ac:dyDescent="0.2">
      <c r="B149" s="241" t="s">
        <v>169</v>
      </c>
      <c r="C149" s="194" t="e">
        <f>+C134</f>
        <v>#DIV/0!</v>
      </c>
      <c r="D149" s="194">
        <f>+C54</f>
        <v>0</v>
      </c>
      <c r="E149" s="242" t="e">
        <f>+C149/D149</f>
        <v>#DIV/0!</v>
      </c>
      <c r="F149" s="217" t="e">
        <f>CONCATENATE("= [",ROUND(C149,2)," lbs / ",(ROUND(D149,2))," acres ]")</f>
        <v>#DIV/0!</v>
      </c>
      <c r="G149" s="195"/>
    </row>
    <row r="150" spans="1:7" x14ac:dyDescent="0.2">
      <c r="B150" s="238" t="s">
        <v>171</v>
      </c>
      <c r="C150" s="169" t="e">
        <f>+C135</f>
        <v>#DIV/0!</v>
      </c>
      <c r="D150" s="169">
        <f>+C55</f>
        <v>0</v>
      </c>
      <c r="E150" s="239" t="e">
        <f>+C150/D150</f>
        <v>#DIV/0!</v>
      </c>
      <c r="F150" s="215" t="e">
        <f>CONCATENATE("= [",ROUND(C150,2)," lbs / ",(ROUND(D150,2))," acres ]")</f>
        <v>#DIV/0!</v>
      </c>
      <c r="G150" s="189"/>
    </row>
    <row r="151" spans="1:7" ht="6" customHeight="1" x14ac:dyDescent="0.2"/>
    <row r="152" spans="1:7" ht="7.35" customHeight="1" x14ac:dyDescent="0.2"/>
    <row r="154" spans="1:7" x14ac:dyDescent="0.2">
      <c r="A154" s="91" t="s">
        <v>215</v>
      </c>
    </row>
    <row r="155" spans="1:7" ht="6" customHeight="1" x14ac:dyDescent="0.2"/>
    <row r="156" spans="1:7" x14ac:dyDescent="0.2">
      <c r="B156" s="91" t="s">
        <v>216</v>
      </c>
      <c r="C156" s="206">
        <f>+C36</f>
        <v>0</v>
      </c>
      <c r="D156" s="91" t="s">
        <v>200</v>
      </c>
      <c r="E156" s="165" t="s">
        <v>217</v>
      </c>
    </row>
    <row r="157" spans="1:7" ht="29.45" customHeight="1" x14ac:dyDescent="0.2">
      <c r="B157" s="251" t="s">
        <v>250</v>
      </c>
      <c r="C157" s="245" t="e">
        <f>+C70</f>
        <v>#DIV/0!</v>
      </c>
      <c r="D157" s="167" t="s">
        <v>200</v>
      </c>
      <c r="E157" s="165" t="s">
        <v>219</v>
      </c>
    </row>
    <row r="158" spans="1:7" ht="25.5" x14ac:dyDescent="0.2">
      <c r="B158" s="126" t="s">
        <v>220</v>
      </c>
      <c r="C158" s="114" t="e">
        <f>+C156-C157</f>
        <v>#DIV/0!</v>
      </c>
      <c r="D158" s="91" t="s">
        <v>200</v>
      </c>
      <c r="E158" s="246" t="e">
        <f>CONCATENATE(" [ ",ROUND(C156,2)," pounds - ",ROUND(C157,2)," pounds ]")</f>
        <v>#DIV/0!</v>
      </c>
    </row>
    <row r="159" spans="1:7" ht="8.4499999999999993" customHeight="1" x14ac:dyDescent="0.2"/>
    <row r="160" spans="1:7" x14ac:dyDescent="0.2">
      <c r="B160" s="91" t="s">
        <v>221</v>
      </c>
      <c r="C160" s="247">
        <f>+C41-C56</f>
        <v>0</v>
      </c>
      <c r="D160" s="91" t="s">
        <v>222</v>
      </c>
      <c r="E160" s="165" t="s">
        <v>223</v>
      </c>
    </row>
    <row r="161" spans="1:7" ht="9" customHeight="1" x14ac:dyDescent="0.2"/>
    <row r="162" spans="1:7" ht="38.25" x14ac:dyDescent="0.2">
      <c r="B162" s="248" t="s">
        <v>274</v>
      </c>
      <c r="C162" s="249" t="e">
        <f>+C158/C160</f>
        <v>#DIV/0!</v>
      </c>
      <c r="D162" s="248" t="s">
        <v>150</v>
      </c>
      <c r="E162" s="91" t="e">
        <f>CONCATENATE("=  [ ",ROUND(C158,2)," pounds / ",ROUND(C160,2)," acres ]")</f>
        <v>#DIV/0!</v>
      </c>
    </row>
    <row r="163" spans="1:7" ht="8.1" customHeight="1" x14ac:dyDescent="0.2"/>
    <row r="165" spans="1:7" ht="51" customHeight="1" x14ac:dyDescent="0.2">
      <c r="A165" s="507" t="s">
        <v>275</v>
      </c>
      <c r="B165" s="507"/>
      <c r="C165" s="507"/>
      <c r="D165" s="507"/>
      <c r="E165" s="507"/>
      <c r="F165" s="507"/>
      <c r="G165" s="507"/>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2"/>
  <sheetViews>
    <sheetView zoomScale="80" zoomScaleNormal="80" workbookViewId="0">
      <selection activeCell="O47" sqref="O47"/>
    </sheetView>
  </sheetViews>
  <sheetFormatPr defaultColWidth="9.125" defaultRowHeight="15" x14ac:dyDescent="0.25"/>
  <cols>
    <col min="1" max="13" width="9.125" style="253"/>
    <col min="14" max="14" width="10.375" style="1" customWidth="1"/>
    <col min="15" max="20" width="10.125" style="1" customWidth="1"/>
    <col min="21" max="25" width="9.125" style="253"/>
    <col min="26" max="26" width="24.875" style="253" customWidth="1"/>
    <col min="27" max="16384" width="9.125" style="253"/>
  </cols>
  <sheetData>
    <row r="1" spans="1:23" ht="25.5" customHeight="1" x14ac:dyDescent="0.3">
      <c r="A1" s="252" t="s">
        <v>276</v>
      </c>
    </row>
    <row r="2" spans="1:23" ht="36" customHeight="1" x14ac:dyDescent="0.25">
      <c r="A2" s="534" t="s">
        <v>277</v>
      </c>
      <c r="B2" s="534"/>
      <c r="C2" s="534"/>
      <c r="D2" s="534"/>
      <c r="E2" s="534"/>
      <c r="F2" s="534"/>
      <c r="G2" s="534"/>
      <c r="H2" s="534"/>
      <c r="I2" s="534"/>
      <c r="J2" s="534"/>
      <c r="K2" s="534"/>
      <c r="L2" s="534"/>
      <c r="M2" s="534"/>
      <c r="N2" s="534"/>
      <c r="O2" s="534"/>
      <c r="P2" s="254"/>
      <c r="Q2" s="4"/>
      <c r="R2" s="4"/>
      <c r="S2" s="4"/>
      <c r="T2" s="4"/>
      <c r="U2" s="255"/>
      <c r="V2" s="255"/>
      <c r="W2" s="255"/>
    </row>
    <row r="3" spans="1:23" ht="15.75" x14ac:dyDescent="0.25">
      <c r="A3" s="256" t="s">
        <v>278</v>
      </c>
      <c r="C3" s="255"/>
      <c r="D3" s="255"/>
      <c r="E3" s="255"/>
      <c r="F3" s="255"/>
      <c r="G3" s="255"/>
      <c r="H3" s="255"/>
      <c r="I3" s="255"/>
      <c r="J3" s="255"/>
      <c r="K3" s="255"/>
      <c r="L3" s="255"/>
      <c r="M3" s="255"/>
      <c r="N3" s="4"/>
      <c r="Q3" s="4"/>
      <c r="R3" s="4"/>
      <c r="S3" s="4"/>
      <c r="T3" s="4"/>
      <c r="U3" s="255"/>
      <c r="V3" s="255"/>
      <c r="W3" s="255"/>
    </row>
    <row r="4" spans="1:23" x14ac:dyDescent="0.25">
      <c r="P4" s="257"/>
      <c r="Q4" s="257"/>
      <c r="R4" s="257"/>
      <c r="S4" s="257"/>
      <c r="T4" s="257"/>
    </row>
    <row r="36" spans="1:20" ht="46.5" customHeight="1" x14ac:dyDescent="0.25"/>
    <row r="37" spans="1:20" ht="69.75" customHeight="1" x14ac:dyDescent="0.25"/>
    <row r="38" spans="1:20" s="1" customFormat="1" x14ac:dyDescent="0.25">
      <c r="A38" s="258" t="s">
        <v>279</v>
      </c>
      <c r="B38" s="259" t="s">
        <v>280</v>
      </c>
      <c r="C38" s="258"/>
      <c r="D38" s="258"/>
      <c r="E38" s="258"/>
      <c r="F38" s="258"/>
      <c r="G38" s="258"/>
      <c r="H38" s="258"/>
      <c r="I38" s="258"/>
      <c r="J38" s="258"/>
      <c r="K38" s="258"/>
      <c r="L38" s="258"/>
      <c r="M38" s="258"/>
    </row>
    <row r="39" spans="1:20" s="1" customFormat="1" x14ac:dyDescent="0.25">
      <c r="A39" s="260" t="s">
        <v>281</v>
      </c>
      <c r="B39" s="258"/>
      <c r="C39" s="258"/>
      <c r="D39" s="258"/>
      <c r="E39" s="258"/>
      <c r="F39" s="258"/>
      <c r="G39" s="258"/>
      <c r="H39" s="258"/>
      <c r="I39" s="258"/>
      <c r="J39" s="258"/>
      <c r="K39" s="258"/>
      <c r="L39" s="258"/>
      <c r="M39" s="258"/>
    </row>
    <row r="40" spans="1:20" x14ac:dyDescent="0.25">
      <c r="A40" s="253" t="s">
        <v>282</v>
      </c>
      <c r="N40" s="258"/>
    </row>
    <row r="41" spans="1:20" x14ac:dyDescent="0.25">
      <c r="A41" s="253" t="s">
        <v>283</v>
      </c>
      <c r="N41" s="258"/>
    </row>
    <row r="42" spans="1:20" x14ac:dyDescent="0.25">
      <c r="A42" s="253" t="s">
        <v>284</v>
      </c>
      <c r="N42" s="258"/>
    </row>
    <row r="43" spans="1:20" x14ac:dyDescent="0.25">
      <c r="N43" s="258"/>
    </row>
    <row r="44" spans="1:20" x14ac:dyDescent="0.25">
      <c r="A44" s="255" t="s">
        <v>285</v>
      </c>
      <c r="N44" s="258"/>
    </row>
    <row r="45" spans="1:20" x14ac:dyDescent="0.25">
      <c r="A45" s="261" t="s">
        <v>286</v>
      </c>
      <c r="N45" s="259" t="s">
        <v>280</v>
      </c>
    </row>
    <row r="46" spans="1:20" x14ac:dyDescent="0.25">
      <c r="N46" s="259" t="s">
        <v>287</v>
      </c>
    </row>
    <row r="47" spans="1:20" ht="45" x14ac:dyDescent="0.25">
      <c r="N47" s="3" t="s">
        <v>288</v>
      </c>
      <c r="O47" s="3" t="s">
        <v>289</v>
      </c>
      <c r="P47" s="3" t="s">
        <v>290</v>
      </c>
      <c r="Q47" s="3" t="s">
        <v>291</v>
      </c>
      <c r="R47" s="3" t="s">
        <v>292</v>
      </c>
      <c r="S47" s="3" t="s">
        <v>293</v>
      </c>
      <c r="T47" s="3" t="s">
        <v>294</v>
      </c>
    </row>
    <row r="48" spans="1:20" x14ac:dyDescent="0.25">
      <c r="N48" s="262">
        <v>0.05</v>
      </c>
      <c r="O48" s="263">
        <f>0.0304*$N48^5  -0.2619*$N48^4 +0.9161*$N48^3 -1.6837*$N48^2  +1.7072*$N48-0.0091</f>
        <v>7.2163635125000014E-2</v>
      </c>
      <c r="P48" s="263">
        <f>0.0239*$N48^5  -0.2058*$N48^4 +0.7198*$N48^3 -1.3229*$N48^2  +1.3414*$N48-0.0072</f>
        <v>5.6651446218750012E-2</v>
      </c>
      <c r="Q48" s="263">
        <f>0.0308*$N48^5  -0.2562*$N48^4 +0.8634*$N48^3 -1.5285*$N48^2  +1.501*$N48-0.013</f>
        <v>5.8335083375000013E-2</v>
      </c>
      <c r="R48" s="263">
        <f>0.0152*$N48^5
-0.131*$N48^4
+0.4581*$N48^3
-0.8418*$N48^2
+0.8536*$N48
-0.0046</f>
        <v>3.6031948500000001E-2</v>
      </c>
      <c r="S48" s="263">
        <f>0.0326*$N48^5
-0.2806*$N48^4
+0.9816*$N48^3
-1.8039*$N48^2
+1.8292*$N48
-0.0098</f>
        <v>7.727120643749999E-2</v>
      </c>
      <c r="T48" s="263">
        <f>0.0304*$N48^5  -0.2619*$N48^4 +0.9161*$N48^3 -1.6837*$N48^2  +1.7072*$N48-0.0091</f>
        <v>7.2163635125000014E-2</v>
      </c>
    </row>
    <row r="49" spans="14:20" x14ac:dyDescent="0.25">
      <c r="N49" s="264">
        <v>0.1</v>
      </c>
      <c r="O49" s="263">
        <f t="shared" ref="O49:O68" si="0">0.0304*$N49^5  -0.2619*$N49^4 +0.9161*$N49^3 -1.6837*$N49^2  +1.7072*$N49-0.0091</f>
        <v>0.145673214</v>
      </c>
      <c r="P49" s="263">
        <f t="shared" ref="P49:P68" si="1">0.0239*$N49^5  -0.2058*$N49^4 +0.7198*$N49^3 -1.3229*$N49^2  +1.3414*$N49-0.0072</f>
        <v>0.11441045900000001</v>
      </c>
      <c r="Q49" s="263">
        <f t="shared" ref="Q49:Q68" si="2">0.0308*$N49^5  -0.2562*$N49^4 +0.8634*$N49^3 -1.5285*$N49^2  +1.501*$N49-0.013</f>
        <v>0.12265308800000001</v>
      </c>
      <c r="R49" s="263">
        <f t="shared" ref="R49:R68" si="3">0.0152*$N49^5
-0.131*$N49^4
+0.4581*$N49^3
-0.8418*$N49^2
+0.8536*$N49
-0.0046</f>
        <v>7.2787151999999994E-2</v>
      </c>
      <c r="S49" s="263">
        <f t="shared" ref="S49:S68" si="4">0.0326*$N49^5
-0.2806*$N49^4
+0.9816*$N49^3
-1.8039*$N49^2
+1.8292*$N49
-0.0098</f>
        <v>0.15603486599999999</v>
      </c>
      <c r="T49" s="263">
        <f t="shared" ref="T49:T68" si="5">0.0304*$N49^5  -0.2619*$N49^4 +0.9161*$N49^3 -1.6837*$N49^2  +1.7072*$N49-0.0091</f>
        <v>0.145673214</v>
      </c>
    </row>
    <row r="50" spans="14:20" x14ac:dyDescent="0.25">
      <c r="N50" s="264">
        <v>0.2</v>
      </c>
      <c r="O50" s="263">
        <f t="shared" si="0"/>
        <v>0.27191148799999998</v>
      </c>
      <c r="P50" s="263">
        <f t="shared" si="1"/>
        <v>0.213600768</v>
      </c>
      <c r="Q50" s="263">
        <f t="shared" si="2"/>
        <v>0.23256713600000001</v>
      </c>
      <c r="R50" s="263">
        <f t="shared" si="3"/>
        <v>0.13590806400000002</v>
      </c>
      <c r="S50" s="263">
        <f t="shared" si="4"/>
        <v>0.29129827200000002</v>
      </c>
      <c r="T50" s="263">
        <f t="shared" si="5"/>
        <v>0.27191148799999998</v>
      </c>
    </row>
    <row r="51" spans="14:20" x14ac:dyDescent="0.25">
      <c r="N51" s="264">
        <v>0.3</v>
      </c>
      <c r="O51" s="263">
        <f t="shared" si="0"/>
        <v>0.37421418199999995</v>
      </c>
      <c r="P51" s="263">
        <f t="shared" si="1"/>
        <v>0.29398469699999996</v>
      </c>
      <c r="Q51" s="263">
        <f t="shared" si="2"/>
        <v>0.32104642399999994</v>
      </c>
      <c r="R51" s="263">
        <f t="shared" si="3"/>
        <v>0.187062536</v>
      </c>
      <c r="S51" s="263">
        <f t="shared" si="4"/>
        <v>0.40091855799999992</v>
      </c>
      <c r="T51" s="263">
        <f t="shared" si="5"/>
        <v>0.37421418199999995</v>
      </c>
    </row>
    <row r="52" spans="14:20" x14ac:dyDescent="0.25">
      <c r="N52" s="264">
        <v>0.4</v>
      </c>
      <c r="O52" s="263">
        <f t="shared" si="0"/>
        <v>0.45662505599999997</v>
      </c>
      <c r="P52" s="263">
        <f t="shared" si="1"/>
        <v>0.35873945600000001</v>
      </c>
      <c r="Q52" s="263">
        <f t="shared" si="2"/>
        <v>0.391854272</v>
      </c>
      <c r="R52" s="263">
        <f t="shared" si="3"/>
        <v>0.22827244800000002</v>
      </c>
      <c r="S52" s="263">
        <f t="shared" si="4"/>
        <v>0.48922886399999999</v>
      </c>
      <c r="T52" s="263">
        <f t="shared" si="5"/>
        <v>0.45662505599999997</v>
      </c>
    </row>
    <row r="53" spans="14:20" x14ac:dyDescent="0.25">
      <c r="N53" s="264">
        <v>0.5</v>
      </c>
      <c r="O53" s="263">
        <f t="shared" si="0"/>
        <v>0.52266875000000002</v>
      </c>
      <c r="P53" s="263">
        <f t="shared" si="1"/>
        <v>0.410634375</v>
      </c>
      <c r="Q53" s="263">
        <f t="shared" si="2"/>
        <v>0.44824999999999993</v>
      </c>
      <c r="R53" s="263">
        <f t="shared" si="3"/>
        <v>0.26130000000000003</v>
      </c>
      <c r="S53" s="263">
        <f t="shared" si="4"/>
        <v>0.56000624999999993</v>
      </c>
      <c r="T53" s="263">
        <f t="shared" si="5"/>
        <v>0.52266875000000002</v>
      </c>
    </row>
    <row r="54" spans="14:20" x14ac:dyDescent="0.25">
      <c r="N54" s="264">
        <v>0.6</v>
      </c>
      <c r="O54" s="263">
        <f t="shared" si="0"/>
        <v>0.57538726399999984</v>
      </c>
      <c r="P54" s="263">
        <f t="shared" si="1"/>
        <v>0.45205958399999996</v>
      </c>
      <c r="Q54" s="263">
        <f t="shared" si="2"/>
        <v>0.49302588799999991</v>
      </c>
      <c r="R54" s="263">
        <f t="shared" si="3"/>
        <v>0.28766595199999995</v>
      </c>
      <c r="S54" s="263">
        <f t="shared" si="4"/>
        <v>0.61651081599999979</v>
      </c>
      <c r="T54" s="263">
        <f t="shared" si="5"/>
        <v>0.57538726399999984</v>
      </c>
    </row>
    <row r="55" spans="14:20" x14ac:dyDescent="0.25">
      <c r="N55" s="264">
        <v>0.7</v>
      </c>
      <c r="O55" s="263">
        <f t="shared" si="0"/>
        <v>0.61737643799999997</v>
      </c>
      <c r="P55" s="263">
        <f t="shared" si="1"/>
        <v>0.48505469299999993</v>
      </c>
      <c r="Q55" s="263">
        <f t="shared" si="2"/>
        <v>0.52854413599999972</v>
      </c>
      <c r="R55" s="263">
        <f t="shared" si="3"/>
        <v>0.30866786399999996</v>
      </c>
      <c r="S55" s="263">
        <f t="shared" si="4"/>
        <v>0.66152482199999985</v>
      </c>
      <c r="T55" s="263">
        <f t="shared" si="5"/>
        <v>0.61737643799999997</v>
      </c>
    </row>
    <row r="56" spans="14:20" x14ac:dyDescent="0.25">
      <c r="N56" s="264">
        <v>0.8</v>
      </c>
      <c r="O56" s="263">
        <f t="shared" si="0"/>
        <v>0.6508224319999999</v>
      </c>
      <c r="P56" s="263">
        <f t="shared" si="1"/>
        <v>0.51133747200000002</v>
      </c>
      <c r="Q56" s="263">
        <f t="shared" si="2"/>
        <v>0.55677382399999986</v>
      </c>
      <c r="R56" s="263">
        <f t="shared" si="3"/>
        <v>0.32539833599999995</v>
      </c>
      <c r="S56" s="263">
        <f t="shared" si="4"/>
        <v>0.69739180799999989</v>
      </c>
      <c r="T56" s="263">
        <f t="shared" si="5"/>
        <v>0.6508224319999999</v>
      </c>
    </row>
    <row r="57" spans="14:20" x14ac:dyDescent="0.25">
      <c r="N57" s="264">
        <v>0.9</v>
      </c>
      <c r="O57" s="263">
        <f t="shared" si="0"/>
        <v>0.67753820599999992</v>
      </c>
      <c r="P57" s="263">
        <f t="shared" si="1"/>
        <v>0.53233253099999989</v>
      </c>
      <c r="Q57" s="263">
        <f t="shared" si="2"/>
        <v>0.57932787199999991</v>
      </c>
      <c r="R57" s="263">
        <f t="shared" si="3"/>
        <v>0.33876324800000002</v>
      </c>
      <c r="S57" s="263">
        <f t="shared" si="4"/>
        <v>0.72605571399999991</v>
      </c>
      <c r="T57" s="263">
        <f t="shared" si="5"/>
        <v>0.67753820599999992</v>
      </c>
    </row>
    <row r="58" spans="14:20" x14ac:dyDescent="0.25">
      <c r="N58" s="264">
        <v>1</v>
      </c>
      <c r="O58" s="263">
        <f t="shared" si="0"/>
        <v>0.69900000000000007</v>
      </c>
      <c r="P58" s="263">
        <f t="shared" si="1"/>
        <v>0.54920000000000002</v>
      </c>
      <c r="Q58" s="263">
        <f t="shared" si="2"/>
        <v>0.59749999999999981</v>
      </c>
      <c r="R58" s="263">
        <f t="shared" si="3"/>
        <v>0.34950000000000003</v>
      </c>
      <c r="S58" s="263">
        <f t="shared" si="4"/>
        <v>0.74909999999999988</v>
      </c>
      <c r="T58" s="263">
        <f t="shared" si="5"/>
        <v>0.69900000000000007</v>
      </c>
    </row>
    <row r="59" spans="14:20" x14ac:dyDescent="0.25">
      <c r="N59" s="264">
        <v>1.2</v>
      </c>
      <c r="O59" s="263">
        <f t="shared" si="0"/>
        <v>0.73060188799999992</v>
      </c>
      <c r="P59" s="263">
        <f t="shared" si="1"/>
        <v>0.57404236800000008</v>
      </c>
      <c r="Q59" s="263">
        <f t="shared" si="2"/>
        <v>0.62449913599999973</v>
      </c>
      <c r="R59" s="263">
        <f t="shared" si="3"/>
        <v>0.36530566400000003</v>
      </c>
      <c r="S59" s="263">
        <f t="shared" si="4"/>
        <v>0.78309587199999986</v>
      </c>
      <c r="T59" s="263">
        <f t="shared" si="5"/>
        <v>0.73060188799999992</v>
      </c>
    </row>
    <row r="60" spans="14:20" x14ac:dyDescent="0.25">
      <c r="N60" s="264">
        <v>1.4</v>
      </c>
      <c r="O60" s="263">
        <f t="shared" si="0"/>
        <v>0.75208985599999989</v>
      </c>
      <c r="P60" s="263">
        <f t="shared" si="1"/>
        <v>0.59094585599999971</v>
      </c>
      <c r="Q60" s="263">
        <f t="shared" si="2"/>
        <v>0.6431414719999996</v>
      </c>
      <c r="R60" s="263">
        <f t="shared" si="3"/>
        <v>0.3760380479999999</v>
      </c>
      <c r="S60" s="263">
        <f t="shared" si="4"/>
        <v>0.80632406399999978</v>
      </c>
      <c r="T60" s="263">
        <f t="shared" si="5"/>
        <v>0.75208985599999989</v>
      </c>
    </row>
    <row r="61" spans="14:20" x14ac:dyDescent="0.25">
      <c r="N61" s="264">
        <v>1.6</v>
      </c>
      <c r="O61" s="263">
        <f t="shared" si="0"/>
        <v>0.76687286399999899</v>
      </c>
      <c r="P61" s="263">
        <f t="shared" si="1"/>
        <v>0.60259558399999957</v>
      </c>
      <c r="Q61" s="263">
        <f t="shared" si="2"/>
        <v>0.65605548799999969</v>
      </c>
      <c r="R61" s="263">
        <f t="shared" si="3"/>
        <v>0.38339155199999969</v>
      </c>
      <c r="S61" s="263">
        <f t="shared" si="4"/>
        <v>0.82246521599999922</v>
      </c>
      <c r="T61" s="263">
        <f t="shared" si="5"/>
        <v>0.76687286399999899</v>
      </c>
    </row>
    <row r="62" spans="14:20" x14ac:dyDescent="0.25">
      <c r="N62" s="264">
        <v>1.8</v>
      </c>
      <c r="O62" s="263">
        <f t="shared" si="0"/>
        <v>0.77647443199999977</v>
      </c>
      <c r="P62" s="263">
        <f t="shared" si="1"/>
        <v>0.61019827199999954</v>
      </c>
      <c r="Q62" s="263">
        <f t="shared" si="2"/>
        <v>0.66431062399999952</v>
      </c>
      <c r="R62" s="263">
        <f t="shared" si="3"/>
        <v>0.38811593600000011</v>
      </c>
      <c r="S62" s="263">
        <f t="shared" si="4"/>
        <v>0.83318780799999925</v>
      </c>
      <c r="T62" s="263">
        <f t="shared" si="5"/>
        <v>0.77647443199999977</v>
      </c>
    </row>
    <row r="63" spans="14:20" x14ac:dyDescent="0.25">
      <c r="N63" s="264">
        <v>2</v>
      </c>
      <c r="O63" s="263">
        <f t="shared" si="0"/>
        <v>0.78170000000000039</v>
      </c>
      <c r="P63" s="263">
        <f t="shared" si="1"/>
        <v>0.61439999999999995</v>
      </c>
      <c r="Q63" s="263">
        <f t="shared" si="2"/>
        <v>0.66859999999999953</v>
      </c>
      <c r="R63" s="263">
        <f t="shared" si="3"/>
        <v>0.39060000000000022</v>
      </c>
      <c r="S63" s="263">
        <f t="shared" si="4"/>
        <v>0.83939999999999926</v>
      </c>
      <c r="T63" s="263">
        <f t="shared" si="5"/>
        <v>0.78170000000000039</v>
      </c>
    </row>
    <row r="64" spans="14:20" x14ac:dyDescent="0.25">
      <c r="N64" s="264">
        <v>2.2000000000000002</v>
      </c>
      <c r="O64" s="263">
        <f t="shared" si="0"/>
        <v>0.78380428800000035</v>
      </c>
      <c r="P64" s="263">
        <f t="shared" si="1"/>
        <v>0.61620396800000077</v>
      </c>
      <c r="Q64" s="263">
        <f t="shared" si="2"/>
        <v>0.67042313600000092</v>
      </c>
      <c r="R64" s="263">
        <f t="shared" si="3"/>
        <v>0.39145526400000036</v>
      </c>
      <c r="S64" s="263">
        <f t="shared" si="4"/>
        <v>0.8425014719999997</v>
      </c>
      <c r="T64" s="263">
        <f t="shared" si="5"/>
        <v>0.78380428800000035</v>
      </c>
    </row>
    <row r="65" spans="14:20" x14ac:dyDescent="0.25">
      <c r="N65" s="264">
        <v>2.2999999999999998</v>
      </c>
      <c r="O65" s="263">
        <f t="shared" si="0"/>
        <v>0.78448818200000014</v>
      </c>
      <c r="P65" s="263">
        <f t="shared" si="1"/>
        <v>0.61684379699999881</v>
      </c>
      <c r="Q65" s="263">
        <f t="shared" si="2"/>
        <v>0.67139002399999981</v>
      </c>
      <c r="R65" s="263">
        <f t="shared" si="3"/>
        <v>0.39166773599999932</v>
      </c>
      <c r="S65" s="263">
        <f t="shared" si="4"/>
        <v>0.84376555799999964</v>
      </c>
      <c r="T65" s="263">
        <f t="shared" si="5"/>
        <v>0.78448818200000014</v>
      </c>
    </row>
    <row r="66" spans="14:20" x14ac:dyDescent="0.25">
      <c r="N66" s="264">
        <v>2.5</v>
      </c>
      <c r="O66" s="263">
        <f t="shared" si="0"/>
        <v>0.78811874999999987</v>
      </c>
      <c r="P66" s="263">
        <f t="shared" si="1"/>
        <v>0.61997187499999973</v>
      </c>
      <c r="Q66" s="263">
        <f t="shared" si="2"/>
        <v>0.67699999999999949</v>
      </c>
      <c r="R66" s="263">
        <f t="shared" si="3"/>
        <v>0.39315000000000072</v>
      </c>
      <c r="S66" s="263">
        <f t="shared" si="4"/>
        <v>0.84898124999999891</v>
      </c>
      <c r="T66" s="263">
        <f t="shared" si="5"/>
        <v>0.78811874999999987</v>
      </c>
    </row>
    <row r="67" spans="14:20" x14ac:dyDescent="0.25">
      <c r="N67" s="264">
        <v>2.8</v>
      </c>
      <c r="O67" s="263">
        <f t="shared" si="0"/>
        <v>0.81519043199999885</v>
      </c>
      <c r="P67" s="263">
        <f t="shared" si="1"/>
        <v>0.64189107199999917</v>
      </c>
      <c r="Q67" s="263">
        <f t="shared" si="2"/>
        <v>0.71302342400000007</v>
      </c>
      <c r="R67" s="263">
        <f t="shared" si="3"/>
        <v>0.4059615359999999</v>
      </c>
      <c r="S67" s="263">
        <f t="shared" si="4"/>
        <v>0.88079980800000013</v>
      </c>
      <c r="T67" s="263">
        <f t="shared" si="5"/>
        <v>0.81519043199999885</v>
      </c>
    </row>
    <row r="68" spans="14:20" x14ac:dyDescent="0.25">
      <c r="N68" s="264">
        <v>3</v>
      </c>
      <c r="O68" s="263">
        <f t="shared" si="0"/>
        <v>0.86719999999999786</v>
      </c>
      <c r="P68" s="263">
        <f t="shared" si="1"/>
        <v>0.68339999999999723</v>
      </c>
      <c r="Q68" s="263">
        <f t="shared" si="2"/>
        <v>0.77750000000000152</v>
      </c>
      <c r="R68" s="263">
        <f t="shared" si="3"/>
        <v>0.43129999999999974</v>
      </c>
      <c r="S68" s="263">
        <f t="shared" si="4"/>
        <v>0.93909999999999916</v>
      </c>
      <c r="T68" s="263">
        <f t="shared" si="5"/>
        <v>0.86719999999999786</v>
      </c>
    </row>
    <row r="108" spans="1:1" x14ac:dyDescent="0.25">
      <c r="A108" s="253" t="s">
        <v>279</v>
      </c>
    </row>
    <row r="109" spans="1:1" x14ac:dyDescent="0.25">
      <c r="A109" s="265" t="s">
        <v>281</v>
      </c>
    </row>
    <row r="110" spans="1:1" ht="16.5" customHeight="1" x14ac:dyDescent="0.25">
      <c r="A110" s="253" t="s">
        <v>282</v>
      </c>
    </row>
    <row r="111" spans="1:1" x14ac:dyDescent="0.25">
      <c r="A111" s="253" t="s">
        <v>283</v>
      </c>
    </row>
    <row r="112" spans="1:1" x14ac:dyDescent="0.25">
      <c r="A112" s="253" t="s">
        <v>284</v>
      </c>
    </row>
  </sheetData>
  <mergeCells count="1">
    <mergeCell ref="A2:O2"/>
  </mergeCells>
  <hyperlinks>
    <hyperlink ref="B38" r:id="rId1"/>
    <hyperlink ref="N45" r:id="rId2"/>
    <hyperlink ref="N46" r:id="rId3"/>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37"/>
  <sheetViews>
    <sheetView zoomScale="70" zoomScaleNormal="70" workbookViewId="0">
      <pane xSplit="2" ySplit="8" topLeftCell="C10" activePane="bottomRight" state="frozen"/>
      <selection pane="topRight" activeCell="C1" sqref="C1"/>
      <selection pane="bottomLeft" activeCell="A9" sqref="A9"/>
      <selection pane="bottomRight" activeCell="E18" sqref="E18"/>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5.125" style="1" customWidth="1"/>
    <col min="6" max="6" width="28.125" style="1" customWidth="1"/>
    <col min="7" max="7" width="19.625" style="1" customWidth="1"/>
    <col min="8" max="8" width="21.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66" t="s">
        <v>428</v>
      </c>
    </row>
    <row r="2" spans="1:25" x14ac:dyDescent="0.25">
      <c r="A2" s="1" t="s">
        <v>295</v>
      </c>
    </row>
    <row r="3" spans="1:25" x14ac:dyDescent="0.25">
      <c r="A3" s="1" t="s">
        <v>296</v>
      </c>
    </row>
    <row r="4" spans="1:25" x14ac:dyDescent="0.25">
      <c r="A4" s="1" t="s">
        <v>297</v>
      </c>
    </row>
    <row r="5" spans="1:25" x14ac:dyDescent="0.25">
      <c r="A5" s="408" t="s">
        <v>479</v>
      </c>
    </row>
    <row r="8" spans="1:25" s="5" customFormat="1" ht="69" hidden="1" customHeight="1" x14ac:dyDescent="0.25">
      <c r="A8" s="5" t="s">
        <v>298</v>
      </c>
      <c r="B8" s="5" t="s">
        <v>299</v>
      </c>
      <c r="C8" s="5" t="s">
        <v>300</v>
      </c>
      <c r="D8" s="5" t="s">
        <v>301</v>
      </c>
      <c r="E8" s="5" t="s">
        <v>302</v>
      </c>
      <c r="F8" s="5" t="s">
        <v>303</v>
      </c>
      <c r="G8" s="5" t="s">
        <v>304</v>
      </c>
      <c r="H8" s="5" t="s">
        <v>305</v>
      </c>
      <c r="I8" s="5" t="s">
        <v>306</v>
      </c>
      <c r="J8" s="5" t="s">
        <v>307</v>
      </c>
      <c r="K8" s="5" t="s">
        <v>308</v>
      </c>
      <c r="L8" s="5" t="s">
        <v>309</v>
      </c>
      <c r="M8" s="5" t="s">
        <v>310</v>
      </c>
      <c r="N8" s="5" t="s">
        <v>311</v>
      </c>
      <c r="O8" s="5" t="s">
        <v>312</v>
      </c>
      <c r="P8" s="5" t="s">
        <v>313</v>
      </c>
      <c r="Q8" s="5" t="s">
        <v>314</v>
      </c>
      <c r="R8" s="5" t="s">
        <v>315</v>
      </c>
      <c r="S8" s="5" t="s">
        <v>316</v>
      </c>
      <c r="T8" s="5" t="s">
        <v>317</v>
      </c>
      <c r="U8" s="5" t="s">
        <v>318</v>
      </c>
      <c r="V8" s="5" t="s">
        <v>319</v>
      </c>
      <c r="W8" s="5" t="s">
        <v>320</v>
      </c>
      <c r="X8" s="5" t="s">
        <v>321</v>
      </c>
      <c r="Y8" s="5" t="s">
        <v>322</v>
      </c>
    </row>
    <row r="9" spans="1:25" s="277" customFormat="1" ht="60" x14ac:dyDescent="0.25">
      <c r="A9" s="273" t="s">
        <v>426</v>
      </c>
      <c r="B9" s="273" t="s">
        <v>427</v>
      </c>
      <c r="C9" s="274" t="s">
        <v>323</v>
      </c>
      <c r="D9" s="274"/>
      <c r="E9" s="275" t="s">
        <v>324</v>
      </c>
      <c r="F9" s="274" t="s">
        <v>325</v>
      </c>
      <c r="G9" s="274" t="s">
        <v>326</v>
      </c>
      <c r="H9" s="274" t="s">
        <v>327</v>
      </c>
      <c r="I9" s="274" t="s">
        <v>328</v>
      </c>
      <c r="J9" s="274" t="s">
        <v>329</v>
      </c>
      <c r="K9" s="274" t="s">
        <v>330</v>
      </c>
      <c r="L9" s="274" t="s">
        <v>331</v>
      </c>
      <c r="M9" s="274" t="s">
        <v>332</v>
      </c>
      <c r="N9" s="274" t="s">
        <v>333</v>
      </c>
      <c r="O9" s="274" t="s">
        <v>334</v>
      </c>
      <c r="P9" s="274" t="s">
        <v>335</v>
      </c>
      <c r="Q9" s="274" t="s">
        <v>336</v>
      </c>
      <c r="R9" s="274" t="s">
        <v>337</v>
      </c>
      <c r="S9" s="274" t="s">
        <v>338</v>
      </c>
      <c r="T9" s="274" t="s">
        <v>339</v>
      </c>
      <c r="U9" s="274" t="s">
        <v>340</v>
      </c>
      <c r="V9" s="274" t="s">
        <v>341</v>
      </c>
      <c r="W9" s="274" t="s">
        <v>342</v>
      </c>
      <c r="X9" s="274" t="s">
        <v>343</v>
      </c>
      <c r="Y9" s="276" t="s">
        <v>344</v>
      </c>
    </row>
    <row r="10" spans="1:25" s="268" customFormat="1" x14ac:dyDescent="0.25">
      <c r="A10" s="343" t="s">
        <v>298</v>
      </c>
      <c r="B10" s="344" t="s">
        <v>299</v>
      </c>
      <c r="C10" s="343" t="s">
        <v>345</v>
      </c>
      <c r="D10" s="343" t="s">
        <v>429</v>
      </c>
      <c r="E10" s="343" t="s">
        <v>302</v>
      </c>
      <c r="F10" s="343" t="s">
        <v>303</v>
      </c>
      <c r="G10" s="343" t="s">
        <v>304</v>
      </c>
      <c r="H10" s="343" t="s">
        <v>305</v>
      </c>
      <c r="I10" s="343" t="s">
        <v>306</v>
      </c>
      <c r="J10" s="343" t="s">
        <v>346</v>
      </c>
      <c r="K10" s="343" t="s">
        <v>308</v>
      </c>
      <c r="L10" s="343" t="s">
        <v>309</v>
      </c>
      <c r="M10" s="343" t="s">
        <v>310</v>
      </c>
      <c r="N10" s="343" t="s">
        <v>311</v>
      </c>
      <c r="O10" s="343" t="s">
        <v>312</v>
      </c>
      <c r="P10" s="343" t="s">
        <v>313</v>
      </c>
      <c r="Q10" s="343" t="s">
        <v>314</v>
      </c>
      <c r="R10" s="343" t="s">
        <v>315</v>
      </c>
      <c r="S10" s="343" t="s">
        <v>316</v>
      </c>
      <c r="T10" s="343" t="s">
        <v>317</v>
      </c>
      <c r="U10" s="343" t="s">
        <v>318</v>
      </c>
      <c r="V10" s="343" t="s">
        <v>319</v>
      </c>
      <c r="W10" s="343" t="s">
        <v>320</v>
      </c>
      <c r="X10" s="343" t="s">
        <v>321</v>
      </c>
      <c r="Y10" s="343" t="s">
        <v>322</v>
      </c>
    </row>
    <row r="11" spans="1:25" x14ac:dyDescent="0.25">
      <c r="A11" s="485"/>
      <c r="B11" s="486"/>
      <c r="C11" s="425"/>
      <c r="D11" s="425"/>
      <c r="E11" s="432"/>
      <c r="F11" s="267"/>
      <c r="G11" s="267"/>
      <c r="H11" s="415"/>
      <c r="I11" s="419"/>
      <c r="J11" s="419"/>
      <c r="K11" s="269">
        <f>UrbanBMPs[[#This Row],[drainageArea_ac]]*UrbanBMPs[[#This Row],[impervFraction_percent]]</f>
        <v>0</v>
      </c>
      <c r="L11" s="269" t="e">
        <f>IFERROR(MIN(UrbanBMPs[[#This Row],[treatmentDepth_in]]*UrbanBMPs[[#This Row],[drainageArea_ac]]/UrbanBMPs[[#This Row],[impervArea_ac]],2.5),NA())</f>
        <v>#N/A</v>
      </c>
      <c r="M11" s="431"/>
      <c r="N11" s="269" t="e">
        <f>IF(UrbanBMPs[[#This Row],[treatmentDepthNormalizedManual_inPerImpervAc]]&gt;0,UrbanBMPs[[#This Row],[treatmentDepthNormalizedManual_inPerImpervAc]],UrbanBMPs[[#This Row],[treatmentDepthNormalized_inPerImpervAc]])</f>
        <v>#N/A</v>
      </c>
      <c r="O11" s="270">
        <f>IF(UrbanBMPs[[#This Row],[BMP_type]]="Stream Restoration",NA(),IFERROR(INDEX(Impervious[#All],MATCH(UrbanBMPs[[#This Row],[drainageLandCoverClass]],Impervious[[#All],[Source]],0),4),0))</f>
        <v>0</v>
      </c>
      <c r="P11"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71" t="e">
        <f>UrbanBMPs[[#This Row],[TSS_Reduction_lbPerY]]/2000</f>
        <v>#N/A</v>
      </c>
      <c r="X11"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x14ac:dyDescent="0.25">
      <c r="A12" s="485"/>
      <c r="B12" s="486"/>
      <c r="C12" s="425"/>
      <c r="D12" s="425"/>
      <c r="E12" s="432"/>
      <c r="F12" s="267"/>
      <c r="G12" s="267"/>
      <c r="H12" s="415"/>
      <c r="I12" s="419"/>
      <c r="J12" s="419"/>
      <c r="K12" s="422">
        <f>UrbanBMPs[[#This Row],[drainageArea_ac]]*UrbanBMPs[[#This Row],[impervFraction_percent]]</f>
        <v>0</v>
      </c>
      <c r="L12" s="422" t="e">
        <f>IFERROR(MIN(UrbanBMPs[[#This Row],[treatmentDepth_in]]*UrbanBMPs[[#This Row],[drainageArea_ac]]/UrbanBMPs[[#This Row],[impervArea_ac]],2.5),NA())</f>
        <v>#N/A</v>
      </c>
      <c r="M12" s="431"/>
      <c r="N12" s="422" t="e">
        <f>IF(UrbanBMPs[[#This Row],[treatmentDepthNormalizedManual_inPerImpervAc]]&gt;0,UrbanBMPs[[#This Row],[treatmentDepthNormalizedManual_inPerImpervAc]],UrbanBMPs[[#This Row],[treatmentDepthNormalized_inPerImpervAc]])</f>
        <v>#N/A</v>
      </c>
      <c r="O12" s="270">
        <f>IF(UrbanBMPs[[#This Row],[BMP_type]]="Stream Restoration",NA(),IFERROR(INDEX(Impervious[#All],MATCH(UrbanBMPs[[#This Row],[drainageLandCoverClass]],Impervious[[#All],[Source]],0),4),0))</f>
        <v>0</v>
      </c>
      <c r="P12"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24" t="e">
        <f>UrbanBMPs[[#This Row],[TSS_Reduction_lbPerY]]/2000</f>
        <v>#N/A</v>
      </c>
      <c r="X12"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x14ac:dyDescent="0.25">
      <c r="A13" s="485"/>
      <c r="B13" s="486"/>
      <c r="C13" s="425"/>
      <c r="D13" s="425"/>
      <c r="E13" s="432"/>
      <c r="F13" s="267"/>
      <c r="G13" s="267"/>
      <c r="H13" s="415"/>
      <c r="I13" s="419"/>
      <c r="J13" s="419"/>
      <c r="K13" s="269">
        <f>UrbanBMPs[[#This Row],[drainageArea_ac]]*UrbanBMPs[[#This Row],[impervFraction_percent]]</f>
        <v>0</v>
      </c>
      <c r="L13" s="269" t="e">
        <f>IFERROR(MIN(UrbanBMPs[[#This Row],[treatmentDepth_in]]*UrbanBMPs[[#This Row],[drainageArea_ac]]/UrbanBMPs[[#This Row],[impervArea_ac]],2.5),NA())</f>
        <v>#N/A</v>
      </c>
      <c r="M13" s="431"/>
      <c r="N13" s="269" t="e">
        <f>IF(UrbanBMPs[[#This Row],[treatmentDepthNormalizedManual_inPerImpervAc]]&gt;0,UrbanBMPs[[#This Row],[treatmentDepthNormalizedManual_inPerImpervAc]],UrbanBMPs[[#This Row],[treatmentDepthNormalized_inPerImpervAc]])</f>
        <v>#N/A</v>
      </c>
      <c r="O13" s="270">
        <f>IF(UrbanBMPs[[#This Row],[BMP_type]]="Stream Restoration",NA(),IFERROR(INDEX(Impervious[#All],MATCH(UrbanBMPs[[#This Row],[drainageLandCoverClass]],Impervious[[#All],[Source]],0),4),0))</f>
        <v>0</v>
      </c>
      <c r="P13"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71" t="e">
        <f>UrbanBMPs[[#This Row],[TSS_Reduction_lbPerY]]/2000</f>
        <v>#N/A</v>
      </c>
      <c r="X13"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x14ac:dyDescent="0.25">
      <c r="A14" s="485"/>
      <c r="B14" s="486"/>
      <c r="C14" s="425"/>
      <c r="D14" s="425"/>
      <c r="E14" s="432"/>
      <c r="F14" s="267"/>
      <c r="G14" s="267"/>
      <c r="H14" s="415"/>
      <c r="I14" s="419"/>
      <c r="J14" s="419"/>
      <c r="K14" s="422">
        <f>UrbanBMPs[[#This Row],[drainageArea_ac]]*UrbanBMPs[[#This Row],[impervFraction_percent]]</f>
        <v>0</v>
      </c>
      <c r="L14" s="422" t="e">
        <f>IFERROR(MIN(UrbanBMPs[[#This Row],[treatmentDepth_in]]*UrbanBMPs[[#This Row],[drainageArea_ac]]/UrbanBMPs[[#This Row],[impervArea_ac]],2.5),NA())</f>
        <v>#N/A</v>
      </c>
      <c r="M14" s="431"/>
      <c r="N14" s="422" t="e">
        <f>IF(UrbanBMPs[[#This Row],[treatmentDepthNormalizedManual_inPerImpervAc]]&gt;0,UrbanBMPs[[#This Row],[treatmentDepthNormalizedManual_inPerImpervAc]],UrbanBMPs[[#This Row],[treatmentDepthNormalized_inPerImpervAc]])</f>
        <v>#N/A</v>
      </c>
      <c r="O14" s="270">
        <f>IF(UrbanBMPs[[#This Row],[BMP_type]]="Stream Restoration",NA(),IFERROR(INDEX(Impervious[#All],MATCH(UrbanBMPs[[#This Row],[drainageLandCoverClass]],Impervious[[#All],[Source]],0),4),0))</f>
        <v>0</v>
      </c>
      <c r="P14"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24" t="e">
        <f>UrbanBMPs[[#This Row],[TSS_Reduction_lbPerY]]/2000</f>
        <v>#N/A</v>
      </c>
      <c r="X14"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485"/>
      <c r="B15" s="486"/>
      <c r="C15" s="425"/>
      <c r="D15" s="425"/>
      <c r="E15" s="432"/>
      <c r="F15" s="267"/>
      <c r="G15" s="267"/>
      <c r="H15" s="415"/>
      <c r="I15" s="419"/>
      <c r="J15" s="419"/>
      <c r="K15" s="269">
        <f>UrbanBMPs[[#This Row],[drainageArea_ac]]*UrbanBMPs[[#This Row],[impervFraction_percent]]</f>
        <v>0</v>
      </c>
      <c r="L15" s="269" t="e">
        <f>IFERROR(MIN(UrbanBMPs[[#This Row],[treatmentDepth_in]]*UrbanBMPs[[#This Row],[drainageArea_ac]]/UrbanBMPs[[#This Row],[impervArea_ac]],2.5),NA())</f>
        <v>#N/A</v>
      </c>
      <c r="M15" s="431"/>
      <c r="N15" s="269" t="e">
        <f>IF(UrbanBMPs[[#This Row],[treatmentDepthNormalizedManual_inPerImpervAc]]&gt;0,UrbanBMPs[[#This Row],[treatmentDepthNormalizedManual_inPerImpervAc]],UrbanBMPs[[#This Row],[treatmentDepthNormalized_inPerImpervAc]])</f>
        <v>#N/A</v>
      </c>
      <c r="O15" s="270">
        <f>IF(UrbanBMPs[[#This Row],[BMP_type]]="Stream Restoration",NA(),IFERROR(INDEX(Impervious[#All],MATCH(UrbanBMPs[[#This Row],[drainageLandCoverClass]],Impervious[[#All],[Source]],0),4),0))</f>
        <v>0</v>
      </c>
      <c r="P15"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71" t="e">
        <f>UrbanBMPs[[#This Row],[TSS_Reduction_lbPerY]]/2000</f>
        <v>#N/A</v>
      </c>
      <c r="X15"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x14ac:dyDescent="0.25">
      <c r="A16" s="485"/>
      <c r="B16" s="486"/>
      <c r="C16" s="425"/>
      <c r="D16" s="425"/>
      <c r="E16" s="432"/>
      <c r="F16" s="267"/>
      <c r="G16" s="267"/>
      <c r="H16" s="415"/>
      <c r="I16" s="419"/>
      <c r="J16" s="419"/>
      <c r="K16" s="422">
        <f>UrbanBMPs[[#This Row],[drainageArea_ac]]*UrbanBMPs[[#This Row],[impervFraction_percent]]</f>
        <v>0</v>
      </c>
      <c r="L16" s="422" t="e">
        <f>IFERROR(MIN(UrbanBMPs[[#This Row],[treatmentDepth_in]]*UrbanBMPs[[#This Row],[drainageArea_ac]]/UrbanBMPs[[#This Row],[impervArea_ac]],2.5),NA())</f>
        <v>#N/A</v>
      </c>
      <c r="M16" s="431"/>
      <c r="N16" s="422" t="e">
        <f>IF(UrbanBMPs[[#This Row],[treatmentDepthNormalizedManual_inPerImpervAc]]&gt;0,UrbanBMPs[[#This Row],[treatmentDepthNormalizedManual_inPerImpervAc]],UrbanBMPs[[#This Row],[treatmentDepthNormalized_inPerImpervAc]])</f>
        <v>#N/A</v>
      </c>
      <c r="O16" s="270">
        <f>IF(UrbanBMPs[[#This Row],[BMP_type]]="Stream Restoration",NA(),IFERROR(INDEX(Impervious[#All],MATCH(UrbanBMPs[[#This Row],[drainageLandCoverClass]],Impervious[[#All],[Source]],0),4),0))</f>
        <v>0</v>
      </c>
      <c r="P16"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24" t="e">
        <f>UrbanBMPs[[#This Row],[TSS_Reduction_lbPerY]]/2000</f>
        <v>#N/A</v>
      </c>
      <c r="X16"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x14ac:dyDescent="0.25">
      <c r="A17" s="485"/>
      <c r="B17" s="486"/>
      <c r="C17" s="425"/>
      <c r="D17" s="425"/>
      <c r="E17" s="432"/>
      <c r="F17" s="267"/>
      <c r="G17" s="267"/>
      <c r="H17" s="415"/>
      <c r="I17" s="419"/>
      <c r="J17" s="419"/>
      <c r="K17" s="422">
        <f>UrbanBMPs[[#This Row],[drainageArea_ac]]*UrbanBMPs[[#This Row],[impervFraction_percent]]</f>
        <v>0</v>
      </c>
      <c r="L17" s="422" t="e">
        <f>IFERROR(MIN(UrbanBMPs[[#This Row],[treatmentDepth_in]]*UrbanBMPs[[#This Row],[drainageArea_ac]]/UrbanBMPs[[#This Row],[impervArea_ac]],2.5),NA())</f>
        <v>#N/A</v>
      </c>
      <c r="M17" s="431"/>
      <c r="N17" s="422" t="e">
        <f>IF(UrbanBMPs[[#This Row],[treatmentDepthNormalizedManual_inPerImpervAc]]&gt;0,UrbanBMPs[[#This Row],[treatmentDepthNormalizedManual_inPerImpervAc]],UrbanBMPs[[#This Row],[treatmentDepthNormalized_inPerImpervAc]])</f>
        <v>#N/A</v>
      </c>
      <c r="O17" s="270">
        <f>IF(UrbanBMPs[[#This Row],[BMP_type]]="Stream Restoration",NA(),IFERROR(INDEX(Impervious[#All],MATCH(UrbanBMPs[[#This Row],[drainageLandCoverClass]],Impervious[[#All],[Source]],0),4),0))</f>
        <v>0</v>
      </c>
      <c r="P17"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24" t="e">
        <f>UrbanBMPs[[#This Row],[TSS_Reduction_lbPerY]]/2000</f>
        <v>#N/A</v>
      </c>
      <c r="X17"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5">
      <c r="A18" s="425"/>
      <c r="B18" s="426"/>
      <c r="C18" s="425"/>
      <c r="D18" s="425"/>
      <c r="E18" s="432"/>
      <c r="F18" s="267"/>
      <c r="G18" s="267"/>
      <c r="H18" s="415"/>
      <c r="I18" s="419"/>
      <c r="J18" s="419"/>
      <c r="K18" s="422">
        <f>UrbanBMPs[[#This Row],[drainageArea_ac]]*UrbanBMPs[[#This Row],[impervFraction_percent]]</f>
        <v>0</v>
      </c>
      <c r="L18" s="422" t="e">
        <f>IFERROR(MIN(UrbanBMPs[[#This Row],[treatmentDepth_in]]*UrbanBMPs[[#This Row],[drainageArea_ac]]/UrbanBMPs[[#This Row],[impervArea_ac]],2.5),NA())</f>
        <v>#N/A</v>
      </c>
      <c r="M18" s="431"/>
      <c r="N18" s="422" t="e">
        <f>IF(UrbanBMPs[[#This Row],[treatmentDepthNormalizedManual_inPerImpervAc]]&gt;0,UrbanBMPs[[#This Row],[treatmentDepthNormalizedManual_inPerImpervAc]],UrbanBMPs[[#This Row],[treatmentDepthNormalized_inPerImpervAc]])</f>
        <v>#N/A</v>
      </c>
      <c r="O18" s="270">
        <f>IF(UrbanBMPs[[#This Row],[BMP_type]]="Stream Restoration",NA(),IFERROR(INDEX(Impervious[#All],MATCH(UrbanBMPs[[#This Row],[drainageLandCoverClass]],Impervious[[#All],[Source]],0),4),0))</f>
        <v>0</v>
      </c>
      <c r="P18"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24" t="e">
        <f>UrbanBMPs[[#This Row],[TSS_Reduction_lbPerY]]/2000</f>
        <v>#N/A</v>
      </c>
      <c r="X18"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5">
      <c r="A19" s="425"/>
      <c r="B19" s="426"/>
      <c r="C19" s="425"/>
      <c r="D19" s="425"/>
      <c r="E19" s="432"/>
      <c r="F19" s="267"/>
      <c r="G19" s="267"/>
      <c r="H19" s="415"/>
      <c r="I19" s="419"/>
      <c r="J19" s="419"/>
      <c r="K19" s="422">
        <f>UrbanBMPs[[#This Row],[drainageArea_ac]]*UrbanBMPs[[#This Row],[impervFraction_percent]]</f>
        <v>0</v>
      </c>
      <c r="L19" s="422" t="e">
        <f>IFERROR(MIN(UrbanBMPs[[#This Row],[treatmentDepth_in]]*UrbanBMPs[[#This Row],[drainageArea_ac]]/UrbanBMPs[[#This Row],[impervArea_ac]],2.5),NA())</f>
        <v>#N/A</v>
      </c>
      <c r="M19" s="431"/>
      <c r="N19" s="422" t="e">
        <f>IF(UrbanBMPs[[#This Row],[treatmentDepthNormalizedManual_inPerImpervAc]]&gt;0,UrbanBMPs[[#This Row],[treatmentDepthNormalizedManual_inPerImpervAc]],UrbanBMPs[[#This Row],[treatmentDepthNormalized_inPerImpervAc]])</f>
        <v>#N/A</v>
      </c>
      <c r="O19" s="270">
        <f>IF(UrbanBMPs[[#This Row],[BMP_type]]="Stream Restoration",NA(),IFERROR(INDEX(Impervious[#All],MATCH(UrbanBMPs[[#This Row],[drainageLandCoverClass]],Impervious[[#All],[Source]],0),4),0))</f>
        <v>0</v>
      </c>
      <c r="P19"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24" t="e">
        <f>UrbanBMPs[[#This Row],[TSS_Reduction_lbPerY]]/2000</f>
        <v>#N/A</v>
      </c>
      <c r="X19"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25"/>
      <c r="B20" s="426"/>
      <c r="C20" s="425"/>
      <c r="D20" s="425"/>
      <c r="E20" s="432"/>
      <c r="F20" s="267"/>
      <c r="G20" s="267"/>
      <c r="H20" s="415"/>
      <c r="I20" s="419"/>
      <c r="J20" s="419"/>
      <c r="K20" s="422">
        <f>UrbanBMPs[[#This Row],[drainageArea_ac]]*UrbanBMPs[[#This Row],[impervFraction_percent]]</f>
        <v>0</v>
      </c>
      <c r="L20" s="422" t="e">
        <f>IFERROR(MIN(UrbanBMPs[[#This Row],[treatmentDepth_in]]*UrbanBMPs[[#This Row],[drainageArea_ac]]/UrbanBMPs[[#This Row],[impervArea_ac]],2.5),NA())</f>
        <v>#N/A</v>
      </c>
      <c r="M20" s="431"/>
      <c r="N20" s="422" t="e">
        <f>IF(UrbanBMPs[[#This Row],[treatmentDepthNormalizedManual_inPerImpervAc]]&gt;0,UrbanBMPs[[#This Row],[treatmentDepthNormalizedManual_inPerImpervAc]],UrbanBMPs[[#This Row],[treatmentDepthNormalized_inPerImpervAc]])</f>
        <v>#N/A</v>
      </c>
      <c r="O20" s="270">
        <f>IF(UrbanBMPs[[#This Row],[BMP_type]]="Stream Restoration",NA(),IFERROR(INDEX(Impervious[#All],MATCH(UrbanBMPs[[#This Row],[drainageLandCoverClass]],Impervious[[#All],[Source]],0),4),0))</f>
        <v>0</v>
      </c>
      <c r="P20"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24" t="e">
        <f>UrbanBMPs[[#This Row],[TSS_Reduction_lbPerY]]/2000</f>
        <v>#N/A</v>
      </c>
      <c r="X20"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25"/>
      <c r="B21" s="426"/>
      <c r="C21" s="425"/>
      <c r="D21" s="425"/>
      <c r="E21" s="432"/>
      <c r="F21" s="267"/>
      <c r="G21" s="267"/>
      <c r="H21" s="415"/>
      <c r="I21" s="419"/>
      <c r="J21" s="419"/>
      <c r="K21" s="422">
        <f>UrbanBMPs[[#This Row],[drainageArea_ac]]*UrbanBMPs[[#This Row],[impervFraction_percent]]</f>
        <v>0</v>
      </c>
      <c r="L21" s="422" t="e">
        <f>IFERROR(MIN(UrbanBMPs[[#This Row],[treatmentDepth_in]]*UrbanBMPs[[#This Row],[drainageArea_ac]]/UrbanBMPs[[#This Row],[impervArea_ac]],2.5),NA())</f>
        <v>#N/A</v>
      </c>
      <c r="M21" s="431"/>
      <c r="N21" s="422" t="e">
        <f>IF(UrbanBMPs[[#This Row],[treatmentDepthNormalizedManual_inPerImpervAc]]&gt;0,UrbanBMPs[[#This Row],[treatmentDepthNormalizedManual_inPerImpervAc]],UrbanBMPs[[#This Row],[treatmentDepthNormalized_inPerImpervAc]])</f>
        <v>#N/A</v>
      </c>
      <c r="O21" s="270">
        <f>IF(UrbanBMPs[[#This Row],[BMP_type]]="Stream Restoration",NA(),IFERROR(INDEX(Impervious[#All],MATCH(UrbanBMPs[[#This Row],[drainageLandCoverClass]],Impervious[[#All],[Source]],0),4),0))</f>
        <v>0</v>
      </c>
      <c r="P21"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24" t="e">
        <f>UrbanBMPs[[#This Row],[TSS_Reduction_lbPerY]]/2000</f>
        <v>#N/A</v>
      </c>
      <c r="X21"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25"/>
      <c r="B22" s="426"/>
      <c r="C22" s="425"/>
      <c r="D22" s="425"/>
      <c r="E22" s="432"/>
      <c r="F22" s="267"/>
      <c r="G22" s="267"/>
      <c r="H22" s="415"/>
      <c r="I22" s="419"/>
      <c r="J22" s="419"/>
      <c r="K22" s="422">
        <f>UrbanBMPs[[#This Row],[drainageArea_ac]]*UrbanBMPs[[#This Row],[impervFraction_percent]]</f>
        <v>0</v>
      </c>
      <c r="L22" s="422" t="e">
        <f>IFERROR(MIN(UrbanBMPs[[#This Row],[treatmentDepth_in]]*UrbanBMPs[[#This Row],[drainageArea_ac]]/UrbanBMPs[[#This Row],[impervArea_ac]],2.5),NA())</f>
        <v>#N/A</v>
      </c>
      <c r="M22" s="431"/>
      <c r="N22" s="422" t="e">
        <f>IF(UrbanBMPs[[#This Row],[treatmentDepthNormalizedManual_inPerImpervAc]]&gt;0,UrbanBMPs[[#This Row],[treatmentDepthNormalizedManual_inPerImpervAc]],UrbanBMPs[[#This Row],[treatmentDepthNormalized_inPerImpervAc]])</f>
        <v>#N/A</v>
      </c>
      <c r="O22" s="270">
        <f>IF(UrbanBMPs[[#This Row],[BMP_type]]="Stream Restoration",NA(),IFERROR(INDEX(Impervious[#All],MATCH(UrbanBMPs[[#This Row],[drainageLandCoverClass]],Impervious[[#All],[Source]],0),4),0))</f>
        <v>0</v>
      </c>
      <c r="P22"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24" t="e">
        <f>UrbanBMPs[[#This Row],[TSS_Reduction_lbPerY]]/2000</f>
        <v>#N/A</v>
      </c>
      <c r="X22"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27"/>
      <c r="B23" s="428"/>
      <c r="C23" s="427"/>
      <c r="D23" s="427"/>
      <c r="E23" s="433"/>
      <c r="F23" s="345"/>
      <c r="G23" s="345"/>
      <c r="H23" s="416"/>
      <c r="I23" s="420"/>
      <c r="J23" s="420"/>
      <c r="K23" s="422">
        <f>UrbanBMPs[[#This Row],[drainageArea_ac]]*UrbanBMPs[[#This Row],[impervFraction_percent]]</f>
        <v>0</v>
      </c>
      <c r="L23" s="422" t="e">
        <f>IFERROR(MIN(UrbanBMPs[[#This Row],[treatmentDepth_in]]*UrbanBMPs[[#This Row],[drainageArea_ac]]/UrbanBMPs[[#This Row],[impervArea_ac]],2.5),NA())</f>
        <v>#N/A</v>
      </c>
      <c r="M23" s="431"/>
      <c r="N23" s="422" t="e">
        <f>IF(UrbanBMPs[[#This Row],[treatmentDepthNormalizedManual_inPerImpervAc]]&gt;0,UrbanBMPs[[#This Row],[treatmentDepthNormalizedManual_inPerImpervAc]],UrbanBMPs[[#This Row],[treatmentDepthNormalized_inPerImpervAc]])</f>
        <v>#N/A</v>
      </c>
      <c r="O23" s="270">
        <f>IF(UrbanBMPs[[#This Row],[BMP_type]]="Stream Restoration",NA(),IFERROR(INDEX(Impervious[#All],MATCH(UrbanBMPs[[#This Row],[drainageLandCoverClass]],Impervious[[#All],[Source]],0),4),0))</f>
        <v>0</v>
      </c>
      <c r="P23" s="271"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71"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71"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70">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70">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70">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71"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72" t="e">
        <f>UrbanBMPs[[#This Row],[TSS_Reduction_lbPerY]]/2000</f>
        <v>#N/A</v>
      </c>
      <c r="X23" s="271"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71"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431</v>
      </c>
      <c r="C25" s="346" t="s">
        <v>430</v>
      </c>
    </row>
    <row r="26" spans="1:25" x14ac:dyDescent="0.25">
      <c r="A26" s="1" t="s">
        <v>432</v>
      </c>
      <c r="U26" s="347" t="s">
        <v>407</v>
      </c>
      <c r="V26" s="348">
        <f>SUMIF(V$11:V$23, "&lt;&gt;#N/A")</f>
        <v>0</v>
      </c>
      <c r="W26" s="348">
        <f t="shared" ref="W26:Y26" si="0">SUMIF(W$11:W$23, "&lt;&gt;#N/A")</f>
        <v>0</v>
      </c>
      <c r="X26" s="348">
        <f t="shared" si="0"/>
        <v>0</v>
      </c>
      <c r="Y26" s="348">
        <f t="shared" si="0"/>
        <v>0</v>
      </c>
    </row>
    <row r="29" spans="1:25" x14ac:dyDescent="0.25">
      <c r="A29" s="429"/>
      <c r="B29" s="418" t="s">
        <v>500</v>
      </c>
      <c r="U29" s="347" t="s">
        <v>433</v>
      </c>
      <c r="V29" s="348">
        <f>SUMIFS(V$11:V$23, V$11:V$23, "&lt;&gt;#N/A", $D$11:$D$23, "Existing")</f>
        <v>0</v>
      </c>
      <c r="W29" s="348">
        <f>SUMIFS(W$11:W$23, W$11:W$23, "&lt;&gt;#N/A", $D$11:$D$23, "Existing")</f>
        <v>0</v>
      </c>
      <c r="X29" s="348">
        <f>SUMIFS(X$11:X$23, X$11:X$23, "&lt;&gt;#N/A", $D$11:$D$23, "Existing")</f>
        <v>0</v>
      </c>
      <c r="Y29" s="348">
        <f>SUMIFS(Y$11:Y$23, Y$11:Y$23, "&lt;&gt;#N/A", $D$11:$D$23, "Existing")</f>
        <v>0</v>
      </c>
    </row>
    <row r="30" spans="1:25" x14ac:dyDescent="0.25">
      <c r="A30" s="417"/>
      <c r="B30" s="418" t="s">
        <v>497</v>
      </c>
    </row>
    <row r="31" spans="1:25" x14ac:dyDescent="0.25">
      <c r="A31" s="421"/>
      <c r="B31" s="418" t="s">
        <v>498</v>
      </c>
      <c r="U31" s="347" t="s">
        <v>434</v>
      </c>
      <c r="V31" s="348">
        <f>SUMIFS(V$11:V$23, V$11:V$23, "&lt;&gt;#N/A", $D$11:$D$23, "Proposed")</f>
        <v>0</v>
      </c>
      <c r="W31" s="348">
        <f>SUMIFS(W$11:W$23, W$11:W$23, "&lt;&gt;#N/A", $D$11:$D$23, "Proposed")</f>
        <v>0</v>
      </c>
      <c r="X31" s="348">
        <f>SUMIFS(X$11:X$23, X$11:X$23, "&lt;&gt;#N/A", $D$11:$D$23, "Proposed")</f>
        <v>0</v>
      </c>
      <c r="Y31" s="348">
        <f>SUMIFS(Y$11:Y$23, Y$11:Y$23, "&lt;&gt;#N/A", $D$11:$D$23, "Proposed")</f>
        <v>0</v>
      </c>
    </row>
    <row r="32" spans="1:25" x14ac:dyDescent="0.25">
      <c r="A32" s="423"/>
      <c r="B32" s="418" t="s">
        <v>496</v>
      </c>
    </row>
    <row r="33" spans="1:25" x14ac:dyDescent="0.25">
      <c r="A33" s="430"/>
      <c r="B33" s="418" t="s">
        <v>499</v>
      </c>
      <c r="T33" s="1" t="s">
        <v>426</v>
      </c>
    </row>
    <row r="34" spans="1:25" x14ac:dyDescent="0.25">
      <c r="U34" s="347" t="s">
        <v>435</v>
      </c>
      <c r="V34" s="348">
        <f t="shared" ref="V34:Y36" si="1">SUMIFS(V$11:V$23, V$11:V$23, "&lt;&gt;#N/A", $A$11:$A$23, $T34)</f>
        <v>0</v>
      </c>
      <c r="W34" s="348">
        <f t="shared" si="1"/>
        <v>0</v>
      </c>
      <c r="X34" s="348">
        <f t="shared" si="1"/>
        <v>0</v>
      </c>
      <c r="Y34" s="348">
        <f t="shared" si="1"/>
        <v>0</v>
      </c>
    </row>
    <row r="35" spans="1:25" x14ac:dyDescent="0.25">
      <c r="U35" s="347" t="s">
        <v>435</v>
      </c>
      <c r="V35" s="348">
        <f t="shared" si="1"/>
        <v>0</v>
      </c>
      <c r="W35" s="348">
        <f t="shared" si="1"/>
        <v>0</v>
      </c>
      <c r="X35" s="348">
        <f t="shared" si="1"/>
        <v>0</v>
      </c>
      <c r="Y35" s="348">
        <f t="shared" si="1"/>
        <v>0</v>
      </c>
    </row>
    <row r="36" spans="1:25" s="4" customFormat="1" x14ac:dyDescent="0.25">
      <c r="A36" s="484">
        <f>+'MMW Output'!M31</f>
        <v>0</v>
      </c>
      <c r="B36" s="342" t="s">
        <v>530</v>
      </c>
      <c r="C36" s="342"/>
      <c r="D36" s="342"/>
      <c r="T36" s="487"/>
      <c r="U36" s="347" t="s">
        <v>435</v>
      </c>
      <c r="V36" s="348">
        <f t="shared" si="1"/>
        <v>0</v>
      </c>
      <c r="W36" s="348">
        <f t="shared" si="1"/>
        <v>0</v>
      </c>
      <c r="X36" s="348">
        <f t="shared" si="1"/>
        <v>0</v>
      </c>
      <c r="Y36" s="348">
        <f t="shared" si="1"/>
        <v>0</v>
      </c>
    </row>
    <row r="37" spans="1:25" x14ac:dyDescent="0.25">
      <c r="A37" s="484">
        <f>+'MMW Output'!O83</f>
        <v>0</v>
      </c>
      <c r="B37" s="342" t="s">
        <v>531</v>
      </c>
    </row>
  </sheetData>
  <conditionalFormatting sqref="F11:F17">
    <cfRule type="expression" dxfId="51" priority="13">
      <formula>OR($B11="Stream Restoration")</formula>
    </cfRule>
  </conditionalFormatting>
  <conditionalFormatting sqref="G11:H17 M11:M23">
    <cfRule type="expression" dxfId="50" priority="16">
      <formula>OR($B11="Stream Restoration",$B11="Street Sweeping")</formula>
    </cfRule>
  </conditionalFormatting>
  <conditionalFormatting sqref="I11:I17">
    <cfRule type="expression" dxfId="49" priority="15">
      <formula>OR($B11="RR",$B11="ST",$B11="Street Sweeping")</formula>
    </cfRule>
  </conditionalFormatting>
  <conditionalFormatting sqref="J11:J17">
    <cfRule type="expression" dxfId="48" priority="14">
      <formula>OR($B11="RR",$B11="ST",$B11="Stream Restoration")</formula>
    </cfRule>
  </conditionalFormatting>
  <conditionalFormatting sqref="G18:H18">
    <cfRule type="expression" dxfId="47" priority="12">
      <formula>OR($B18="Stream Restoration",$B18="Street Sweeping")</formula>
    </cfRule>
  </conditionalFormatting>
  <conditionalFormatting sqref="I18">
    <cfRule type="expression" dxfId="46" priority="11">
      <formula>OR($B18="RR",$B18="ST",$B18="Street Sweeping")</formula>
    </cfRule>
  </conditionalFormatting>
  <conditionalFormatting sqref="J18">
    <cfRule type="expression" dxfId="45" priority="10">
      <formula>OR($B18="RR",$B18="ST",$B18="Stream Restoration")</formula>
    </cfRule>
  </conditionalFormatting>
  <conditionalFormatting sqref="F19:F21 F23">
    <cfRule type="expression" dxfId="44" priority="5">
      <formula>OR($B19="Stream Restoration")</formula>
    </cfRule>
  </conditionalFormatting>
  <conditionalFormatting sqref="G19:H21 G23:H23">
    <cfRule type="expression" dxfId="43" priority="8">
      <formula>OR($B19="Stream Restoration",$B19="Street Sweeping")</formula>
    </cfRule>
  </conditionalFormatting>
  <conditionalFormatting sqref="I19:I23">
    <cfRule type="expression" dxfId="42" priority="7">
      <formula>OR($B19="RR",$B19="ST",$B19="Street Sweeping")</formula>
    </cfRule>
  </conditionalFormatting>
  <conditionalFormatting sqref="J19:J23">
    <cfRule type="expression" dxfId="41" priority="6">
      <formula>OR($B19="RR",$B19="ST",$B19="Stream Restoration")</formula>
    </cfRule>
  </conditionalFormatting>
  <conditionalFormatting sqref="F18">
    <cfRule type="expression" dxfId="40" priority="1">
      <formula>OR($B18="Stream Restoration")</formula>
    </cfRule>
  </conditionalFormatting>
  <conditionalFormatting sqref="F22">
    <cfRule type="expression" dxfId="39" priority="2">
      <formula>OR($B22="Stream Restoration")</formula>
    </cfRule>
  </conditionalFormatting>
  <conditionalFormatting sqref="G22:H22">
    <cfRule type="expression" dxfId="38"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4:T42">
      <formula1>$A$11:$A$23</formula1>
    </dataValidation>
  </dataValidations>
  <hyperlinks>
    <hyperlink ref="C25"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LandUseLoadingRatesLookUpTable!$B$17:$B$32</xm:f>
          </x14:formula1>
          <xm:sqref>F11:F23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MMW Output</vt:lpstr>
      <vt:lpstr>LandUseLoadingRatesLookUpTable</vt:lpstr>
      <vt:lpstr>Farm Animal TN and TP Loading</vt:lpstr>
      <vt:lpstr>Stream Bank SedimentLoadingRate</vt:lpstr>
      <vt:lpstr>Stream Bank Nitrogen Loading</vt:lpstr>
      <vt:lpstr>Stream Bank Phosphorus Loading</vt:lpstr>
      <vt:lpstr>Perf Std Approach</vt:lpstr>
      <vt:lpstr>Urban BMPs</vt:lpstr>
      <vt:lpstr>Agricultural BMPs</vt:lpstr>
      <vt:lpstr>Impervious Fraction LUT</vt:lpstr>
      <vt:lpstr>Total Load Reductions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bevans</cp:lastModifiedBy>
  <dcterms:created xsi:type="dcterms:W3CDTF">2018-07-24T13:08:45Z</dcterms:created>
  <dcterms:modified xsi:type="dcterms:W3CDTF">2018-09-14T18:38:53Z</dcterms:modified>
</cp:coreProperties>
</file>