
<file path=[Content_Types].xml><?xml version="1.0" encoding="utf-8"?>
<Types xmlns="http://schemas.openxmlformats.org/package/2006/content-types">
  <Default Extension="bin" ContentType="application/vnd.openxmlformats-officedocument.spreadsheetml.printerSettings"/>
  <Default Extension="tmp" ContentType="image/png"/>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showInkAnnotation="0" codeName="ThisWorkbook" autoCompressPictures="0" defaultThemeVersion="124226"/>
  <mc:AlternateContent xmlns:mc="http://schemas.openxmlformats.org/markup-compatibility/2006">
    <mc:Choice Requires="x15">
      <x15ac:absPath xmlns:x15ac="http://schemas.microsoft.com/office/spreadsheetml/2010/11/ac" url="/Users/aaufdenkampe/Documents/GitHub/MMW-BMP-spreadsheet-tool/"/>
    </mc:Choice>
  </mc:AlternateContent>
  <xr:revisionPtr revIDLastSave="0" documentId="13_ncr:1_{1BA0BF0F-66FB-7A40-AAB7-FC485D4FBE67}" xr6:coauthVersionLast="34" xr6:coauthVersionMax="34" xr10:uidLastSave="{00000000-0000-0000-0000-000000000000}"/>
  <bookViews>
    <workbookView xWindow="-2720" yWindow="-21140" windowWidth="20840" windowHeight="21140" tabRatio="922" activeTab="9" xr2:uid="{00000000-000D-0000-FFFF-FFFF00000000}"/>
  </bookViews>
  <sheets>
    <sheet name="Cover Page" sheetId="18" r:id="rId1"/>
    <sheet name="Instructions&amp;Overview" sheetId="3" r:id="rId2"/>
    <sheet name="LandUseLoadingRatesLookUpTable" sheetId="6" r:id="rId3"/>
    <sheet name="MMW Output" sheetId="4" r:id="rId4"/>
    <sheet name="Farm Animal TN and TP Loading" sheetId="15" r:id="rId5"/>
    <sheet name="Stream Bank SedimentLoadingRate" sheetId="9" r:id="rId6"/>
    <sheet name="Stream Bank Nitrogen Loading" sheetId="16" r:id="rId7"/>
    <sheet name="Stream Bank Phosphorus Loading" sheetId="17" r:id="rId8"/>
    <sheet name="Perf Std Approach" sheetId="22" r:id="rId9"/>
    <sheet name="ExistingBMPs" sheetId="26" r:id="rId10"/>
    <sheet name="Urban BMPs (Existing)" sheetId="19" r:id="rId11"/>
    <sheet name="Urban BMPs (Proposed)" sheetId="23" r:id="rId12"/>
    <sheet name="Agricultural BMPs (Existing)" sheetId="20" r:id="rId13"/>
    <sheet name="Agricultural BMPs (Proposed)" sheetId="24" r:id="rId14"/>
    <sheet name="Total Load Reductions" sheetId="21" r:id="rId15"/>
    <sheet name="Sheet1" sheetId="25" r:id="rId16"/>
  </sheets>
  <externalReferences>
    <externalReference r:id="rId17"/>
  </externalReferences>
  <definedNames>
    <definedName name="_xlnm._FilterDatabase" localSheetId="2" hidden="1">LandUseLoadingRatesLookUpTable!$B$11:$M$11</definedName>
    <definedName name="_xlnm._FilterDatabase" localSheetId="10" hidden="1">'Urban BMPs (Existing)'!$A$11:$AD$11</definedName>
    <definedName name="ExistingBMPs_">ExistingBMPs!$A$24:$W$31</definedName>
    <definedName name="Sewersheds">OFFSET(#REF!,0,1,1,COLUMNS(#REF!)-1)</definedName>
  </definedNames>
  <calcPr calcId="179021"/>
  <extLst>
    <ext xmlns:mx="http://schemas.microsoft.com/office/mac/excel/2008/main" uri="{7523E5D3-25F3-A5E0-1632-64F254C22452}">
      <mx:ArchID Flags="2"/>
    </ext>
  </extLst>
</workbook>
</file>

<file path=xl/calcChain.xml><?xml version="1.0" encoding="utf-8"?>
<calcChain xmlns="http://schemas.openxmlformats.org/spreadsheetml/2006/main">
  <c r="S46" i="26" l="1"/>
  <c r="R46" i="26"/>
  <c r="Q46" i="26"/>
  <c r="M46" i="26"/>
  <c r="I46" i="26" s="1"/>
  <c r="J46" i="26" s="1"/>
  <c r="L46" i="26" s="1"/>
  <c r="P45" i="26"/>
  <c r="O45" i="26"/>
  <c r="N45" i="26"/>
  <c r="M45" i="26"/>
  <c r="I45" i="26" s="1"/>
  <c r="J45" i="26" s="1"/>
  <c r="L45" i="26" s="1"/>
  <c r="P44" i="26"/>
  <c r="O44" i="26"/>
  <c r="N44" i="26"/>
  <c r="M44" i="26"/>
  <c r="I44" i="26" s="1"/>
  <c r="J44" i="26" s="1"/>
  <c r="L44" i="26" s="1"/>
  <c r="S44" i="26" s="1"/>
  <c r="W44" i="26" s="1"/>
  <c r="S38" i="26"/>
  <c r="R38" i="26"/>
  <c r="Q38" i="26"/>
  <c r="N38" i="26"/>
  <c r="M38" i="26"/>
  <c r="P38" i="26" s="1"/>
  <c r="I38" i="26"/>
  <c r="J38" i="26" s="1"/>
  <c r="L38" i="26" s="1"/>
  <c r="P37" i="26"/>
  <c r="O37" i="26"/>
  <c r="N37" i="26"/>
  <c r="M37" i="26"/>
  <c r="I37" i="26" s="1"/>
  <c r="J37" i="26" s="1"/>
  <c r="L37" i="26" s="1"/>
  <c r="P36" i="26"/>
  <c r="O36" i="26"/>
  <c r="N36" i="26"/>
  <c r="M36" i="26"/>
  <c r="I36" i="26" s="1"/>
  <c r="J36" i="26" s="1"/>
  <c r="L36" i="26" s="1"/>
  <c r="S31" i="26"/>
  <c r="R31" i="26"/>
  <c r="Q31" i="26"/>
  <c r="M31" i="26"/>
  <c r="I31" i="26" s="1"/>
  <c r="J31" i="26" s="1"/>
  <c r="L31" i="26" s="1"/>
  <c r="S30" i="26"/>
  <c r="R30" i="26"/>
  <c r="Q30" i="26"/>
  <c r="M30" i="26"/>
  <c r="I30" i="26" s="1"/>
  <c r="J30" i="26" s="1"/>
  <c r="L30" i="26" s="1"/>
  <c r="V29" i="26"/>
  <c r="S29" i="26"/>
  <c r="W29" i="26" s="1"/>
  <c r="R29" i="26"/>
  <c r="Q29" i="26"/>
  <c r="T29" i="26" s="1"/>
  <c r="U29" i="26" s="1"/>
  <c r="P29" i="26"/>
  <c r="O29" i="26"/>
  <c r="N29" i="26"/>
  <c r="M29" i="26"/>
  <c r="I29" i="26" s="1"/>
  <c r="J29" i="26" s="1"/>
  <c r="L29" i="26" s="1"/>
  <c r="P28" i="26"/>
  <c r="O28" i="26"/>
  <c r="N28" i="26"/>
  <c r="M28" i="26"/>
  <c r="I28" i="26" s="1"/>
  <c r="J28" i="26" s="1"/>
  <c r="L28" i="26"/>
  <c r="S28" i="26" s="1"/>
  <c r="W28" i="26" s="1"/>
  <c r="P27" i="26"/>
  <c r="O27" i="26"/>
  <c r="N27" i="26"/>
  <c r="M27" i="26"/>
  <c r="I27" i="26"/>
  <c r="J27" i="26" s="1"/>
  <c r="L27" i="26" s="1"/>
  <c r="S27" i="26" s="1"/>
  <c r="W27" i="26" s="1"/>
  <c r="P26" i="26"/>
  <c r="O26" i="26"/>
  <c r="N26" i="26"/>
  <c r="M26" i="26"/>
  <c r="I26" i="26" s="1"/>
  <c r="J26" i="26" s="1"/>
  <c r="L26" i="26" s="1"/>
  <c r="P25" i="26"/>
  <c r="O25" i="26"/>
  <c r="N25" i="26"/>
  <c r="M25" i="26"/>
  <c r="I25" i="26" s="1"/>
  <c r="J25" i="26" s="1"/>
  <c r="L25" i="26" s="1"/>
  <c r="P24" i="26"/>
  <c r="O24" i="26"/>
  <c r="N24" i="26"/>
  <c r="M24" i="26"/>
  <c r="I24" i="26"/>
  <c r="J24" i="26" s="1"/>
  <c r="L24" i="26" s="1"/>
  <c r="S19" i="26"/>
  <c r="R19" i="26"/>
  <c r="Q19" i="26"/>
  <c r="M19" i="26"/>
  <c r="I19" i="26" s="1"/>
  <c r="J19" i="26" s="1"/>
  <c r="L19" i="26" s="1"/>
  <c r="S18" i="26"/>
  <c r="R18" i="26"/>
  <c r="Q18" i="26"/>
  <c r="M18" i="26"/>
  <c r="P18" i="26" s="1"/>
  <c r="T17" i="26"/>
  <c r="U17" i="26" s="1"/>
  <c r="S17" i="26"/>
  <c r="W17" i="26" s="1"/>
  <c r="R17" i="26"/>
  <c r="V17" i="26" s="1"/>
  <c r="Q17" i="26"/>
  <c r="P17" i="26"/>
  <c r="O17" i="26"/>
  <c r="N17" i="26"/>
  <c r="M17" i="26"/>
  <c r="I17" i="26"/>
  <c r="J17" i="26" s="1"/>
  <c r="L17" i="26" s="1"/>
  <c r="Q16" i="26"/>
  <c r="T16" i="26" s="1"/>
  <c r="U16" i="26" s="1"/>
  <c r="P16" i="26"/>
  <c r="O16" i="26"/>
  <c r="N16" i="26"/>
  <c r="M16" i="26"/>
  <c r="I16" i="26" s="1"/>
  <c r="J16" i="26" s="1"/>
  <c r="L16" i="26"/>
  <c r="S16" i="26" s="1"/>
  <c r="W16" i="26" s="1"/>
  <c r="P15" i="26"/>
  <c r="O15" i="26"/>
  <c r="N15" i="26"/>
  <c r="M15" i="26"/>
  <c r="I15" i="26" s="1"/>
  <c r="J15" i="26" s="1"/>
  <c r="L15" i="26" s="1"/>
  <c r="P14" i="26"/>
  <c r="O14" i="26"/>
  <c r="N14" i="26"/>
  <c r="M14" i="26"/>
  <c r="I14" i="26" s="1"/>
  <c r="J14" i="26" s="1"/>
  <c r="L14" i="26" s="1"/>
  <c r="P13" i="26"/>
  <c r="O13" i="26"/>
  <c r="N13" i="26"/>
  <c r="M13" i="26"/>
  <c r="J13" i="26"/>
  <c r="L13" i="26" s="1"/>
  <c r="I13" i="26"/>
  <c r="P12" i="26"/>
  <c r="O12" i="26"/>
  <c r="N12" i="26"/>
  <c r="M12" i="26"/>
  <c r="I12" i="26" s="1"/>
  <c r="J12" i="26" s="1"/>
  <c r="L12" i="26" s="1"/>
  <c r="Z19" i="19"/>
  <c r="Y19" i="19"/>
  <c r="X19" i="19"/>
  <c r="W19" i="19"/>
  <c r="V19" i="19"/>
  <c r="U19" i="19"/>
  <c r="T19" i="19"/>
  <c r="S19" i="19"/>
  <c r="R19" i="19"/>
  <c r="Q19" i="19"/>
  <c r="P19" i="19"/>
  <c r="O19" i="19"/>
  <c r="M19" i="19"/>
  <c r="L19" i="19"/>
  <c r="Z18" i="19"/>
  <c r="Y18" i="19"/>
  <c r="X18" i="19"/>
  <c r="W18" i="19"/>
  <c r="V18" i="19"/>
  <c r="U18" i="19"/>
  <c r="T18" i="19"/>
  <c r="S18" i="19"/>
  <c r="R18" i="19"/>
  <c r="Q18" i="19"/>
  <c r="P18" i="19"/>
  <c r="O18" i="19"/>
  <c r="M18" i="19"/>
  <c r="L18" i="19"/>
  <c r="Z17" i="19"/>
  <c r="Y17" i="19"/>
  <c r="X17" i="19"/>
  <c r="W17" i="19"/>
  <c r="V17" i="19"/>
  <c r="U17" i="19"/>
  <c r="T17" i="19"/>
  <c r="S17" i="19"/>
  <c r="R17" i="19"/>
  <c r="Q17" i="19"/>
  <c r="P17" i="19"/>
  <c r="O17" i="19"/>
  <c r="M17" i="19"/>
  <c r="L17" i="19"/>
  <c r="Z16" i="19"/>
  <c r="Y16" i="19"/>
  <c r="X16" i="19"/>
  <c r="W16" i="19"/>
  <c r="V16" i="19"/>
  <c r="U16" i="19"/>
  <c r="T16" i="19"/>
  <c r="S16" i="19"/>
  <c r="R16" i="19"/>
  <c r="Q16" i="19"/>
  <c r="P16" i="19"/>
  <c r="O16" i="19"/>
  <c r="M16" i="19"/>
  <c r="L16" i="19"/>
  <c r="Z15" i="19"/>
  <c r="Y15" i="19"/>
  <c r="X15" i="19"/>
  <c r="W15" i="19"/>
  <c r="V15" i="19"/>
  <c r="U15" i="19"/>
  <c r="T15" i="19"/>
  <c r="S15" i="19"/>
  <c r="R15" i="19"/>
  <c r="Q15" i="19"/>
  <c r="P15" i="19"/>
  <c r="O15" i="19"/>
  <c r="M15" i="19"/>
  <c r="L15" i="19"/>
  <c r="Z14" i="19"/>
  <c r="Y14" i="19"/>
  <c r="X14" i="19"/>
  <c r="W14" i="19"/>
  <c r="V14" i="19"/>
  <c r="U14" i="19"/>
  <c r="T14" i="19"/>
  <c r="S14" i="19"/>
  <c r="R14" i="19"/>
  <c r="Q14" i="19"/>
  <c r="P14" i="19"/>
  <c r="O14" i="19"/>
  <c r="M14" i="19"/>
  <c r="L14" i="19"/>
  <c r="Z13" i="19"/>
  <c r="Y13" i="19"/>
  <c r="X13" i="19"/>
  <c r="W13" i="19"/>
  <c r="V13" i="19"/>
  <c r="U13" i="19"/>
  <c r="T13" i="19"/>
  <c r="S13" i="19"/>
  <c r="R13" i="19"/>
  <c r="Q13" i="19"/>
  <c r="P13" i="19"/>
  <c r="O13" i="19"/>
  <c r="M13" i="19"/>
  <c r="L13" i="19"/>
  <c r="Z12" i="19"/>
  <c r="Y12" i="19"/>
  <c r="X12" i="19"/>
  <c r="W12" i="19"/>
  <c r="V12" i="19"/>
  <c r="U12" i="19"/>
  <c r="T12" i="19"/>
  <c r="S12" i="19"/>
  <c r="R12" i="19"/>
  <c r="Q12" i="19"/>
  <c r="P12" i="19"/>
  <c r="O12" i="19"/>
  <c r="M12" i="19"/>
  <c r="L12" i="19"/>
  <c r="R16" i="26" l="1"/>
  <c r="V16" i="26" s="1"/>
  <c r="N18" i="26"/>
  <c r="N31" i="26"/>
  <c r="T31" i="26" s="1"/>
  <c r="U31" i="26" s="1"/>
  <c r="T18" i="26"/>
  <c r="U18" i="26" s="1"/>
  <c r="W19" i="26"/>
  <c r="O31" i="26"/>
  <c r="V31" i="26" s="1"/>
  <c r="P31" i="26"/>
  <c r="W31" i="26" s="1"/>
  <c r="T38" i="26"/>
  <c r="U38" i="26" s="1"/>
  <c r="P46" i="26"/>
  <c r="Q28" i="26"/>
  <c r="T28" i="26" s="1"/>
  <c r="U28" i="26" s="1"/>
  <c r="O19" i="26"/>
  <c r="V19" i="26" s="1"/>
  <c r="R28" i="26"/>
  <c r="V28" i="26" s="1"/>
  <c r="I18" i="26"/>
  <c r="J18" i="26" s="1"/>
  <c r="L18" i="26" s="1"/>
  <c r="P19" i="26"/>
  <c r="W46" i="26"/>
  <c r="R14" i="26"/>
  <c r="V14" i="26" s="1"/>
  <c r="Q14" i="26"/>
  <c r="T14" i="26" s="1"/>
  <c r="U14" i="26" s="1"/>
  <c r="S14" i="26"/>
  <c r="W14" i="26" s="1"/>
  <c r="R24" i="26"/>
  <c r="V24" i="26" s="1"/>
  <c r="Q24" i="26"/>
  <c r="T24" i="26" s="1"/>
  <c r="S24" i="26"/>
  <c r="W24" i="26" s="1"/>
  <c r="W32" i="26" s="1"/>
  <c r="W18" i="26"/>
  <c r="S26" i="26"/>
  <c r="W26" i="26" s="1"/>
  <c r="R26" i="26"/>
  <c r="V26" i="26" s="1"/>
  <c r="Q26" i="26"/>
  <c r="T26" i="26" s="1"/>
  <c r="U26" i="26" s="1"/>
  <c r="R12" i="26"/>
  <c r="V12" i="26" s="1"/>
  <c r="Q12" i="26"/>
  <c r="T12" i="26" s="1"/>
  <c r="S12" i="26"/>
  <c r="W12" i="26" s="1"/>
  <c r="R25" i="26"/>
  <c r="V25" i="26" s="1"/>
  <c r="Q25" i="26"/>
  <c r="T25" i="26" s="1"/>
  <c r="U25" i="26" s="1"/>
  <c r="S25" i="26"/>
  <c r="W25" i="26" s="1"/>
  <c r="S36" i="26"/>
  <c r="W36" i="26" s="1"/>
  <c r="R36" i="26"/>
  <c r="V36" i="26" s="1"/>
  <c r="Q36" i="26"/>
  <c r="T36" i="26" s="1"/>
  <c r="S37" i="26"/>
  <c r="W37" i="26" s="1"/>
  <c r="R37" i="26"/>
  <c r="V37" i="26" s="1"/>
  <c r="Q37" i="26"/>
  <c r="T37" i="26" s="1"/>
  <c r="U37" i="26" s="1"/>
  <c r="S13" i="26"/>
  <c r="W13" i="26" s="1"/>
  <c r="R13" i="26"/>
  <c r="V13" i="26" s="1"/>
  <c r="Q13" i="26"/>
  <c r="T13" i="26" s="1"/>
  <c r="U13" i="26" s="1"/>
  <c r="W38" i="26"/>
  <c r="Q45" i="26"/>
  <c r="T45" i="26" s="1"/>
  <c r="U45" i="26" s="1"/>
  <c r="S45" i="26"/>
  <c r="W45" i="26" s="1"/>
  <c r="W47" i="26" s="1"/>
  <c r="R45" i="26"/>
  <c r="V45" i="26" s="1"/>
  <c r="R15" i="26"/>
  <c r="V15" i="26" s="1"/>
  <c r="Q15" i="26"/>
  <c r="T15" i="26" s="1"/>
  <c r="U15" i="26" s="1"/>
  <c r="S15" i="26"/>
  <c r="W15" i="26" s="1"/>
  <c r="Q27" i="26"/>
  <c r="T27" i="26" s="1"/>
  <c r="U27" i="26" s="1"/>
  <c r="O30" i="26"/>
  <c r="V30" i="26" s="1"/>
  <c r="Q44" i="26"/>
  <c r="T44" i="26" s="1"/>
  <c r="N19" i="26"/>
  <c r="T19" i="26" s="1"/>
  <c r="U19" i="26" s="1"/>
  <c r="R27" i="26"/>
  <c r="V27" i="26" s="1"/>
  <c r="P30" i="26"/>
  <c r="W30" i="26" s="1"/>
  <c r="R44" i="26"/>
  <c r="V44" i="26" s="1"/>
  <c r="N46" i="26"/>
  <c r="T46" i="26" s="1"/>
  <c r="U46" i="26" s="1"/>
  <c r="O46" i="26"/>
  <c r="V46" i="26" s="1"/>
  <c r="N30" i="26"/>
  <c r="T30" i="26" s="1"/>
  <c r="U30" i="26" s="1"/>
  <c r="O18" i="26"/>
  <c r="V18" i="26" s="1"/>
  <c r="O38" i="26"/>
  <c r="V38" i="26" s="1"/>
  <c r="T68" i="22"/>
  <c r="S68" i="22"/>
  <c r="R68" i="22"/>
  <c r="Q68" i="22"/>
  <c r="P68" i="22"/>
  <c r="O68" i="22"/>
  <c r="T67" i="22"/>
  <c r="S67" i="22"/>
  <c r="R67" i="22"/>
  <c r="Q67" i="22"/>
  <c r="P67" i="22"/>
  <c r="O67" i="22"/>
  <c r="T66" i="22"/>
  <c r="S66" i="22"/>
  <c r="R66" i="22"/>
  <c r="Q66" i="22"/>
  <c r="P66" i="22"/>
  <c r="O66" i="22"/>
  <c r="T65" i="22"/>
  <c r="S65" i="22"/>
  <c r="R65" i="22"/>
  <c r="Q65" i="22"/>
  <c r="P65" i="22"/>
  <c r="O65" i="22"/>
  <c r="T64" i="22"/>
  <c r="S64" i="22"/>
  <c r="R64" i="22"/>
  <c r="Q64" i="22"/>
  <c r="P64" i="22"/>
  <c r="O64" i="22"/>
  <c r="T63" i="22"/>
  <c r="S63" i="22"/>
  <c r="R63" i="22"/>
  <c r="Q63" i="22"/>
  <c r="P63" i="22"/>
  <c r="O63" i="22"/>
  <c r="T62" i="22"/>
  <c r="S62" i="22"/>
  <c r="R62" i="22"/>
  <c r="Q62" i="22"/>
  <c r="P62" i="22"/>
  <c r="O62" i="22"/>
  <c r="T61" i="22"/>
  <c r="S61" i="22"/>
  <c r="R61" i="22"/>
  <c r="Q61" i="22"/>
  <c r="P61" i="22"/>
  <c r="O61" i="22"/>
  <c r="T60" i="22"/>
  <c r="S60" i="22"/>
  <c r="R60" i="22"/>
  <c r="Q60" i="22"/>
  <c r="P60" i="22"/>
  <c r="O60" i="22"/>
  <c r="T59" i="22"/>
  <c r="S59" i="22"/>
  <c r="R59" i="22"/>
  <c r="Q59" i="22"/>
  <c r="P59" i="22"/>
  <c r="O59" i="22"/>
  <c r="T58" i="22"/>
  <c r="S58" i="22"/>
  <c r="R58" i="22"/>
  <c r="Q58" i="22"/>
  <c r="P58" i="22"/>
  <c r="O58" i="22"/>
  <c r="T57" i="22"/>
  <c r="S57" i="22"/>
  <c r="R57" i="22"/>
  <c r="Q57" i="22"/>
  <c r="P57" i="22"/>
  <c r="O57" i="22"/>
  <c r="T56" i="22"/>
  <c r="S56" i="22"/>
  <c r="R56" i="22"/>
  <c r="Q56" i="22"/>
  <c r="P56" i="22"/>
  <c r="O56" i="22"/>
  <c r="T55" i="22"/>
  <c r="S55" i="22"/>
  <c r="R55" i="22"/>
  <c r="Q55" i="22"/>
  <c r="P55" i="22"/>
  <c r="O55" i="22"/>
  <c r="T54" i="22"/>
  <c r="S54" i="22"/>
  <c r="R54" i="22"/>
  <c r="Q54" i="22"/>
  <c r="P54" i="22"/>
  <c r="O54" i="22"/>
  <c r="T53" i="22"/>
  <c r="S53" i="22"/>
  <c r="R53" i="22"/>
  <c r="Q53" i="22"/>
  <c r="P53" i="22"/>
  <c r="O53" i="22"/>
  <c r="T52" i="22"/>
  <c r="S52" i="22"/>
  <c r="R52" i="22"/>
  <c r="Q52" i="22"/>
  <c r="P52" i="22"/>
  <c r="O52" i="22"/>
  <c r="T51" i="22"/>
  <c r="S51" i="22"/>
  <c r="R51" i="22"/>
  <c r="Q51" i="22"/>
  <c r="P51" i="22"/>
  <c r="O51" i="22"/>
  <c r="T50" i="22"/>
  <c r="S50" i="22"/>
  <c r="R50" i="22"/>
  <c r="Q50" i="22"/>
  <c r="P50" i="22"/>
  <c r="O50" i="22"/>
  <c r="T49" i="22"/>
  <c r="S49" i="22"/>
  <c r="R49" i="22"/>
  <c r="Q49" i="22"/>
  <c r="P49" i="22"/>
  <c r="O49" i="22"/>
  <c r="T48" i="22"/>
  <c r="S48" i="22"/>
  <c r="R48" i="22"/>
  <c r="Q48" i="22"/>
  <c r="P48" i="22"/>
  <c r="O48" i="22"/>
  <c r="W20" i="26" l="1"/>
  <c r="T32" i="26"/>
  <c r="U24" i="26"/>
  <c r="U32" i="26" s="1"/>
  <c r="T20" i="26"/>
  <c r="U12" i="26"/>
  <c r="U20" i="26" s="1"/>
  <c r="V32" i="26"/>
  <c r="T39" i="26"/>
  <c r="U36" i="26"/>
  <c r="U39" i="26" s="1"/>
  <c r="V20" i="26"/>
  <c r="V47" i="26"/>
  <c r="V39" i="26"/>
  <c r="W39" i="26"/>
  <c r="U44" i="26"/>
  <c r="U47" i="26" s="1"/>
  <c r="T47" i="26"/>
  <c r="D92" i="4" l="1"/>
  <c r="F90" i="4"/>
  <c r="F89" i="4"/>
  <c r="F88" i="4"/>
  <c r="F87" i="4"/>
  <c r="F86" i="4"/>
  <c r="F85" i="4"/>
  <c r="F84" i="4"/>
  <c r="F83" i="4"/>
  <c r="F82" i="4"/>
  <c r="F81" i="4"/>
  <c r="F80" i="4"/>
  <c r="F79" i="4"/>
  <c r="F78" i="4"/>
  <c r="F77" i="4"/>
  <c r="F76" i="4"/>
  <c r="F75" i="4"/>
  <c r="F92" i="4" l="1"/>
  <c r="D67" i="4"/>
  <c r="L67" i="4"/>
  <c r="M67" i="4"/>
  <c r="K67" i="4"/>
  <c r="O51" i="4"/>
  <c r="E23" i="4" s="1"/>
  <c r="P51" i="4"/>
  <c r="F23" i="4" s="1"/>
  <c r="O52" i="4"/>
  <c r="E24" i="4" s="1"/>
  <c r="P52" i="4"/>
  <c r="F24" i="4" s="1"/>
  <c r="O53" i="4"/>
  <c r="E25" i="4" s="1"/>
  <c r="P53" i="4"/>
  <c r="F25" i="4" s="1"/>
  <c r="O54" i="4"/>
  <c r="E28" i="4" s="1"/>
  <c r="P54" i="4"/>
  <c r="F28" i="4" s="1"/>
  <c r="O55" i="4"/>
  <c r="E29" i="4" s="1"/>
  <c r="P55" i="4"/>
  <c r="F29" i="4" s="1"/>
  <c r="O56" i="4"/>
  <c r="E32" i="4" s="1"/>
  <c r="P56" i="4"/>
  <c r="F32" i="4" s="1"/>
  <c r="O57" i="4"/>
  <c r="E33" i="4" s="1"/>
  <c r="P57" i="4"/>
  <c r="F33" i="4" s="1"/>
  <c r="O58" i="4"/>
  <c r="E34" i="4" s="1"/>
  <c r="P58" i="4"/>
  <c r="F34" i="4" s="1"/>
  <c r="O59" i="4"/>
  <c r="P59" i="4"/>
  <c r="O60" i="4"/>
  <c r="E38" i="4" s="1"/>
  <c r="P60" i="4"/>
  <c r="F38" i="4" s="1"/>
  <c r="O61" i="4"/>
  <c r="E40" i="4" s="1"/>
  <c r="P61" i="4"/>
  <c r="F40" i="4" s="1"/>
  <c r="O62" i="4"/>
  <c r="E41" i="4" s="1"/>
  <c r="P62" i="4"/>
  <c r="F41" i="4" s="1"/>
  <c r="O63" i="4"/>
  <c r="E42" i="4" s="1"/>
  <c r="P63" i="4"/>
  <c r="F42" i="4" s="1"/>
  <c r="O64" i="4"/>
  <c r="E43" i="4" s="1"/>
  <c r="P64" i="4"/>
  <c r="F43" i="4" s="1"/>
  <c r="P50" i="4"/>
  <c r="F22" i="4" s="1"/>
  <c r="O50" i="4"/>
  <c r="N51" i="4"/>
  <c r="D23" i="4" s="1"/>
  <c r="N52" i="4"/>
  <c r="D24" i="4" s="1"/>
  <c r="N53" i="4"/>
  <c r="D25" i="4" s="1"/>
  <c r="N54" i="4"/>
  <c r="D28" i="4" s="1"/>
  <c r="N55" i="4"/>
  <c r="D29" i="4" s="1"/>
  <c r="N56" i="4"/>
  <c r="D32" i="4" s="1"/>
  <c r="N57" i="4"/>
  <c r="D33" i="4" s="1"/>
  <c r="N58" i="4"/>
  <c r="D34" i="4" s="1"/>
  <c r="N59" i="4"/>
  <c r="N60" i="4"/>
  <c r="D38" i="4" s="1"/>
  <c r="N61" i="4"/>
  <c r="D40" i="4" s="1"/>
  <c r="N62" i="4"/>
  <c r="D41" i="4" s="1"/>
  <c r="N63" i="4"/>
  <c r="D42" i="4" s="1"/>
  <c r="N64" i="4"/>
  <c r="D43" i="4" s="1"/>
  <c r="N50" i="4"/>
  <c r="D22" i="4" s="1"/>
  <c r="F65" i="4"/>
  <c r="F64" i="4"/>
  <c r="F63" i="4"/>
  <c r="C23" i="4" s="1"/>
  <c r="F62" i="4"/>
  <c r="C22" i="4" s="1"/>
  <c r="F61" i="4"/>
  <c r="C28" i="4" s="1"/>
  <c r="F60" i="4"/>
  <c r="F59" i="4"/>
  <c r="F58" i="4"/>
  <c r="F57" i="4"/>
  <c r="F56" i="4"/>
  <c r="C29" i="4" s="1"/>
  <c r="F55" i="4"/>
  <c r="C34" i="4" s="1"/>
  <c r="F54" i="4"/>
  <c r="C33" i="4" s="1"/>
  <c r="F53" i="4"/>
  <c r="F52" i="4"/>
  <c r="F51" i="4"/>
  <c r="F50" i="4"/>
  <c r="F21" i="25"/>
  <c r="F20" i="25"/>
  <c r="F19" i="25"/>
  <c r="F18" i="25"/>
  <c r="F17" i="25"/>
  <c r="F16" i="25"/>
  <c r="F15" i="25"/>
  <c r="F14" i="25"/>
  <c r="F13" i="25"/>
  <c r="F12" i="25"/>
  <c r="F11" i="25"/>
  <c r="F10" i="25"/>
  <c r="F9" i="25"/>
  <c r="F8" i="25"/>
  <c r="F7" i="25"/>
  <c r="F6" i="25"/>
  <c r="F23" i="25" l="1"/>
  <c r="P67" i="4"/>
  <c r="O67" i="4"/>
  <c r="E22" i="4"/>
  <c r="E45" i="4" s="1"/>
  <c r="N67" i="4"/>
  <c r="C24" i="4"/>
  <c r="B5" i="24" s="1"/>
  <c r="B32" i="24" s="1"/>
  <c r="C25" i="4"/>
  <c r="B6" i="24" s="1"/>
  <c r="B33" i="24" s="1"/>
  <c r="F67" i="4"/>
  <c r="C32" i="4"/>
  <c r="F45" i="4"/>
  <c r="D45" i="4"/>
  <c r="L62" i="24"/>
  <c r="K62" i="24"/>
  <c r="J62" i="24"/>
  <c r="J59" i="24"/>
  <c r="L50" i="24"/>
  <c r="K50" i="24"/>
  <c r="J50" i="24"/>
  <c r="J47" i="24"/>
  <c r="L27" i="24"/>
  <c r="L31" i="24" s="1"/>
  <c r="K27" i="24"/>
  <c r="K31" i="24" s="1"/>
  <c r="K33" i="24" s="1"/>
  <c r="J27" i="24"/>
  <c r="J31" i="24" s="1"/>
  <c r="E24" i="24"/>
  <c r="D24" i="24"/>
  <c r="C24" i="24"/>
  <c r="E23" i="24"/>
  <c r="D23" i="24"/>
  <c r="C23" i="24"/>
  <c r="E22" i="24"/>
  <c r="D22" i="24"/>
  <c r="C22" i="24"/>
  <c r="E21" i="24"/>
  <c r="D21" i="24"/>
  <c r="C21" i="24"/>
  <c r="G21" i="24" s="1"/>
  <c r="E20" i="24"/>
  <c r="D20" i="24"/>
  <c r="C20" i="24"/>
  <c r="G20" i="24" s="1"/>
  <c r="E19" i="24"/>
  <c r="L79" i="24" s="1"/>
  <c r="L82" i="24" s="1"/>
  <c r="D19" i="24"/>
  <c r="K79" i="24" s="1"/>
  <c r="K82" i="24" s="1"/>
  <c r="C19" i="24"/>
  <c r="E18" i="24"/>
  <c r="D18" i="24"/>
  <c r="C18" i="24"/>
  <c r="G18" i="24" s="1"/>
  <c r="B18" i="24"/>
  <c r="J17" i="24"/>
  <c r="J18" i="24" s="1"/>
  <c r="E17" i="24"/>
  <c r="D17" i="24"/>
  <c r="C17" i="24"/>
  <c r="G17" i="24" s="1"/>
  <c r="B17" i="24"/>
  <c r="E16" i="24"/>
  <c r="D16" i="24"/>
  <c r="C16" i="24"/>
  <c r="G16" i="24" s="1"/>
  <c r="B16" i="24"/>
  <c r="E15" i="24"/>
  <c r="D15" i="24"/>
  <c r="C15" i="24"/>
  <c r="G15" i="24" s="1"/>
  <c r="B15" i="24"/>
  <c r="E14" i="24"/>
  <c r="D14" i="24"/>
  <c r="C14" i="24"/>
  <c r="G14" i="24" s="1"/>
  <c r="B14" i="24"/>
  <c r="E13" i="24"/>
  <c r="D13" i="24"/>
  <c r="C13" i="24"/>
  <c r="G13" i="24" s="1"/>
  <c r="B13" i="24"/>
  <c r="E12" i="24"/>
  <c r="D12" i="24"/>
  <c r="C12" i="24"/>
  <c r="G12" i="24" s="1"/>
  <c r="B12" i="24"/>
  <c r="B39" i="24" s="1"/>
  <c r="E11" i="24"/>
  <c r="D11" i="24"/>
  <c r="C11" i="24"/>
  <c r="G11" i="24" s="1"/>
  <c r="B11" i="24"/>
  <c r="B38" i="24" s="1"/>
  <c r="E10" i="24"/>
  <c r="D10" i="24"/>
  <c r="C10" i="24"/>
  <c r="G10" i="24" s="1"/>
  <c r="B10" i="24"/>
  <c r="B37" i="24" s="1"/>
  <c r="E9" i="24"/>
  <c r="D9" i="24"/>
  <c r="C9" i="24"/>
  <c r="G9" i="24" s="1"/>
  <c r="B9" i="24"/>
  <c r="B36" i="24" s="1"/>
  <c r="E8" i="24"/>
  <c r="D8" i="24"/>
  <c r="C8" i="24"/>
  <c r="G8" i="24" s="1"/>
  <c r="B8" i="24"/>
  <c r="B35" i="24" s="1"/>
  <c r="G7" i="24"/>
  <c r="E7" i="24"/>
  <c r="D7" i="24"/>
  <c r="C7" i="24"/>
  <c r="B7" i="24"/>
  <c r="B34" i="24" s="1"/>
  <c r="E6" i="24"/>
  <c r="D6" i="24"/>
  <c r="C6" i="24"/>
  <c r="G6" i="24" s="1"/>
  <c r="E5" i="24"/>
  <c r="D5" i="24"/>
  <c r="C5" i="24"/>
  <c r="G5" i="24" s="1"/>
  <c r="E4" i="24"/>
  <c r="D4" i="24"/>
  <c r="C4" i="24"/>
  <c r="G4" i="24" s="1"/>
  <c r="B4" i="24"/>
  <c r="J66" i="24" s="1"/>
  <c r="E3" i="24"/>
  <c r="C3" i="24"/>
  <c r="B3" i="24"/>
  <c r="J36" i="24" s="1"/>
  <c r="D35" i="24" l="1"/>
  <c r="D3" i="24"/>
  <c r="D25" i="24" s="1"/>
  <c r="C45" i="4"/>
  <c r="D38" i="24"/>
  <c r="E37" i="24"/>
  <c r="C37" i="24"/>
  <c r="E35" i="24"/>
  <c r="E33" i="24"/>
  <c r="D39" i="24"/>
  <c r="E39" i="24"/>
  <c r="D34" i="24"/>
  <c r="C25" i="24"/>
  <c r="E34" i="24"/>
  <c r="C39" i="24"/>
  <c r="E25" i="24"/>
  <c r="J2" i="24"/>
  <c r="J5" i="24" s="1"/>
  <c r="G3" i="24"/>
  <c r="J39" i="24" s="1"/>
  <c r="J9" i="24"/>
  <c r="L12" i="24" s="1"/>
  <c r="J15" i="24"/>
  <c r="E38" i="24"/>
  <c r="D32" i="24"/>
  <c r="C34" i="24"/>
  <c r="D36" i="24"/>
  <c r="C38" i="24"/>
  <c r="L73" i="24"/>
  <c r="K73" i="24"/>
  <c r="L69" i="24"/>
  <c r="K69" i="24"/>
  <c r="C33" i="24"/>
  <c r="C36" i="24"/>
  <c r="L39" i="24"/>
  <c r="K39" i="24"/>
  <c r="E32" i="24"/>
  <c r="D33" i="24"/>
  <c r="C35" i="24"/>
  <c r="E36" i="24"/>
  <c r="D37" i="24"/>
  <c r="C32" i="24"/>
  <c r="B25" i="24"/>
  <c r="J33" i="24"/>
  <c r="B30" i="24"/>
  <c r="B31" i="24"/>
  <c r="D31" i="24" s="1"/>
  <c r="L33" i="24"/>
  <c r="J42" i="24"/>
  <c r="J53" i="24"/>
  <c r="K50" i="20"/>
  <c r="L50" i="20"/>
  <c r="L27" i="20"/>
  <c r="K27" i="20"/>
  <c r="K31" i="20" s="1"/>
  <c r="K33" i="20" s="1"/>
  <c r="L31" i="20" l="1"/>
  <c r="L33" i="20" s="1"/>
  <c r="D30" i="24"/>
  <c r="K44" i="24"/>
  <c r="J12" i="24"/>
  <c r="K75" i="24"/>
  <c r="K5" i="24"/>
  <c r="K12" i="24"/>
  <c r="L5" i="24"/>
  <c r="G25" i="24"/>
  <c r="E30" i="24"/>
  <c r="C30" i="24"/>
  <c r="C31" i="24"/>
  <c r="J44" i="24" s="1"/>
  <c r="E31" i="24"/>
  <c r="L20" i="24" s="1"/>
  <c r="L56" i="24"/>
  <c r="K56" i="24"/>
  <c r="J56" i="24"/>
  <c r="L75" i="24"/>
  <c r="K20" i="24"/>
  <c r="B29" i="24"/>
  <c r="J59" i="20"/>
  <c r="J47" i="20"/>
  <c r="L62" i="20"/>
  <c r="K62" i="20"/>
  <c r="L44" i="24" l="1"/>
  <c r="L86" i="24" s="1"/>
  <c r="L87" i="24" s="1"/>
  <c r="J20" i="24"/>
  <c r="J86" i="24" s="1"/>
  <c r="F12" i="21" s="1"/>
  <c r="K86" i="24"/>
  <c r="K87" i="24" s="1"/>
  <c r="E4" i="20"/>
  <c r="E5" i="20"/>
  <c r="E6" i="20"/>
  <c r="E7" i="20"/>
  <c r="E8" i="20"/>
  <c r="E9" i="20"/>
  <c r="E10" i="20"/>
  <c r="E11" i="20"/>
  <c r="E12" i="20"/>
  <c r="E13" i="20"/>
  <c r="E14" i="20"/>
  <c r="E15" i="20"/>
  <c r="E16" i="20"/>
  <c r="E17" i="20"/>
  <c r="E18" i="20"/>
  <c r="E19" i="20"/>
  <c r="L79" i="20" s="1"/>
  <c r="L82" i="20" s="1"/>
  <c r="E20" i="20"/>
  <c r="E21" i="20"/>
  <c r="E22" i="20"/>
  <c r="E23" i="20"/>
  <c r="E24" i="20"/>
  <c r="E3" i="20"/>
  <c r="D4" i="20"/>
  <c r="D5" i="20"/>
  <c r="D6" i="20"/>
  <c r="D7" i="20"/>
  <c r="D8" i="20"/>
  <c r="D9" i="20"/>
  <c r="D10" i="20"/>
  <c r="D11" i="20"/>
  <c r="D12" i="20"/>
  <c r="D13" i="20"/>
  <c r="D14" i="20"/>
  <c r="D15" i="20"/>
  <c r="D16" i="20"/>
  <c r="D17" i="20"/>
  <c r="D18" i="20"/>
  <c r="D19" i="20"/>
  <c r="K79" i="20" s="1"/>
  <c r="K82" i="20" s="1"/>
  <c r="D20" i="20"/>
  <c r="D21" i="20"/>
  <c r="D22" i="20"/>
  <c r="D23" i="20"/>
  <c r="D24" i="20"/>
  <c r="D3" i="20"/>
  <c r="C4" i="20"/>
  <c r="C5" i="20"/>
  <c r="C6" i="20"/>
  <c r="C7" i="20"/>
  <c r="C8" i="20"/>
  <c r="C9" i="20"/>
  <c r="C10" i="20"/>
  <c r="C11" i="20"/>
  <c r="C12" i="20"/>
  <c r="C13" i="20"/>
  <c r="C14" i="20"/>
  <c r="C15" i="20"/>
  <c r="C16" i="20"/>
  <c r="C17" i="20"/>
  <c r="C18" i="20"/>
  <c r="C19" i="20"/>
  <c r="C20" i="20"/>
  <c r="C21" i="20"/>
  <c r="C22" i="20"/>
  <c r="C23" i="20"/>
  <c r="C24" i="20"/>
  <c r="C3" i="20"/>
  <c r="M30" i="6"/>
  <c r="M31" i="6"/>
  <c r="M32" i="6"/>
  <c r="J30" i="6"/>
  <c r="J31" i="6"/>
  <c r="J32" i="6"/>
  <c r="G30" i="6"/>
  <c r="G31" i="6"/>
  <c r="G32" i="6"/>
  <c r="C30" i="6"/>
  <c r="C31" i="6"/>
  <c r="C32" i="6"/>
  <c r="M39" i="6"/>
  <c r="M40" i="6"/>
  <c r="M41" i="6"/>
  <c r="J39" i="6"/>
  <c r="J40" i="6"/>
  <c r="J41" i="6"/>
  <c r="J87" i="24" l="1"/>
  <c r="H12" i="21"/>
  <c r="H21" i="21" s="1"/>
  <c r="G12" i="21"/>
  <c r="G21" i="21" s="1"/>
  <c r="F21" i="21"/>
  <c r="C25" i="20"/>
  <c r="D25" i="20"/>
  <c r="G4" i="21" s="1"/>
  <c r="E25" i="20"/>
  <c r="B4" i="20"/>
  <c r="B5" i="20"/>
  <c r="G5" i="20" s="1"/>
  <c r="B6" i="20"/>
  <c r="G6" i="20" s="1"/>
  <c r="B7" i="20"/>
  <c r="G7" i="20" s="1"/>
  <c r="B8" i="20"/>
  <c r="B35" i="20" s="1"/>
  <c r="E35" i="20" s="1"/>
  <c r="B9" i="20"/>
  <c r="B36" i="20" s="1"/>
  <c r="E36" i="20" s="1"/>
  <c r="B10" i="20"/>
  <c r="G10" i="20" s="1"/>
  <c r="B11" i="20"/>
  <c r="B38" i="20" s="1"/>
  <c r="E38" i="20" s="1"/>
  <c r="B12" i="20"/>
  <c r="B39" i="20" s="1"/>
  <c r="D39" i="20" s="1"/>
  <c r="B13" i="20"/>
  <c r="G13" i="20" s="1"/>
  <c r="B14" i="20"/>
  <c r="G14" i="20" s="1"/>
  <c r="B15" i="20"/>
  <c r="G15" i="20" s="1"/>
  <c r="B16" i="20"/>
  <c r="B17" i="20"/>
  <c r="G17" i="20" s="1"/>
  <c r="B18" i="20"/>
  <c r="B3" i="20"/>
  <c r="J36" i="20" s="1"/>
  <c r="J62" i="20"/>
  <c r="J50" i="20"/>
  <c r="J27" i="20"/>
  <c r="G20" i="20"/>
  <c r="J17" i="20"/>
  <c r="J18" i="20" s="1"/>
  <c r="G12" i="20"/>
  <c r="G11" i="20"/>
  <c r="G8" i="20"/>
  <c r="C35" i="20" l="1"/>
  <c r="L39" i="20"/>
  <c r="K39" i="20"/>
  <c r="H4" i="21"/>
  <c r="C39" i="20"/>
  <c r="E39" i="20"/>
  <c r="C38" i="20"/>
  <c r="J42" i="20"/>
  <c r="J66" i="20"/>
  <c r="D36" i="20"/>
  <c r="D38" i="20"/>
  <c r="D35" i="20"/>
  <c r="B34" i="20"/>
  <c r="B37" i="20"/>
  <c r="B32" i="20"/>
  <c r="C32" i="20" s="1"/>
  <c r="J31" i="20"/>
  <c r="J33" i="20" s="1"/>
  <c r="G4" i="20"/>
  <c r="B30" i="20"/>
  <c r="G18" i="20"/>
  <c r="B33" i="20"/>
  <c r="C33" i="20" s="1"/>
  <c r="G9" i="20"/>
  <c r="C36" i="20" s="1"/>
  <c r="J15" i="20"/>
  <c r="J2" i="20"/>
  <c r="J9" i="20"/>
  <c r="G16" i="20"/>
  <c r="B25" i="20"/>
  <c r="G21" i="20"/>
  <c r="B31" i="20"/>
  <c r="J53" i="20"/>
  <c r="G3" i="20"/>
  <c r="C30" i="20" s="1"/>
  <c r="B3" i="4"/>
  <c r="A141" i="17" s="1"/>
  <c r="C36" i="17"/>
  <c r="C63" i="17" s="1"/>
  <c r="A143" i="17"/>
  <c r="A94" i="17"/>
  <c r="A48" i="17"/>
  <c r="A39" i="17"/>
  <c r="C29" i="17"/>
  <c r="C28" i="17"/>
  <c r="C27" i="17"/>
  <c r="C26" i="17"/>
  <c r="C25" i="17"/>
  <c r="C24" i="17"/>
  <c r="C23" i="17"/>
  <c r="C22" i="17"/>
  <c r="C21" i="17"/>
  <c r="C20" i="17"/>
  <c r="C19" i="17"/>
  <c r="C18" i="17"/>
  <c r="C17" i="17"/>
  <c r="C16" i="17"/>
  <c r="C15" i="17"/>
  <c r="C14" i="17"/>
  <c r="A5" i="17"/>
  <c r="C36" i="16"/>
  <c r="C156" i="16" s="1"/>
  <c r="A143" i="16"/>
  <c r="A141" i="16"/>
  <c r="A94" i="16"/>
  <c r="A48" i="16"/>
  <c r="A39" i="16"/>
  <c r="C29" i="16"/>
  <c r="C28" i="16"/>
  <c r="C27" i="16"/>
  <c r="C26" i="16"/>
  <c r="C25" i="16"/>
  <c r="C24" i="16"/>
  <c r="C23" i="16"/>
  <c r="C22" i="16"/>
  <c r="C21" i="16"/>
  <c r="C20" i="16"/>
  <c r="C19" i="16"/>
  <c r="C18" i="16"/>
  <c r="C17" i="16"/>
  <c r="C16" i="16"/>
  <c r="C15" i="16"/>
  <c r="C14" i="16"/>
  <c r="A5" i="16"/>
  <c r="A3" i="3"/>
  <c r="A2" i="3"/>
  <c r="A6" i="6"/>
  <c r="A5" i="6"/>
  <c r="A42" i="9"/>
  <c r="D20" i="15"/>
  <c r="D19" i="15"/>
  <c r="E15" i="15"/>
  <c r="E32" i="15" s="1"/>
  <c r="D15" i="15"/>
  <c r="D32" i="15" s="1"/>
  <c r="A5" i="15"/>
  <c r="A146" i="9"/>
  <c r="A97" i="9"/>
  <c r="A51" i="9"/>
  <c r="C32" i="9"/>
  <c r="C31" i="9"/>
  <c r="C30" i="9"/>
  <c r="C29" i="9"/>
  <c r="C28" i="9"/>
  <c r="C27" i="9"/>
  <c r="C26" i="9"/>
  <c r="C25" i="9"/>
  <c r="C24" i="9"/>
  <c r="C23" i="9"/>
  <c r="C22" i="9"/>
  <c r="C21" i="9"/>
  <c r="C20" i="9"/>
  <c r="C19" i="9"/>
  <c r="C18" i="9"/>
  <c r="C17" i="9"/>
  <c r="C14" i="9"/>
  <c r="E39" i="9" s="1"/>
  <c r="A5" i="9"/>
  <c r="M50" i="6"/>
  <c r="K50" i="6"/>
  <c r="J50" i="6"/>
  <c r="H50" i="6"/>
  <c r="G50" i="6"/>
  <c r="E50" i="6"/>
  <c r="D50" i="6"/>
  <c r="C50" i="6"/>
  <c r="M49" i="6"/>
  <c r="K49" i="6"/>
  <c r="J49" i="6"/>
  <c r="H49" i="6"/>
  <c r="G49" i="6"/>
  <c r="E49" i="6"/>
  <c r="D49" i="6"/>
  <c r="C49" i="6"/>
  <c r="M48" i="6"/>
  <c r="K48" i="6"/>
  <c r="J48" i="6"/>
  <c r="H48" i="6"/>
  <c r="G48" i="6"/>
  <c r="E48" i="6"/>
  <c r="D48" i="6"/>
  <c r="C48" i="6"/>
  <c r="M38" i="6"/>
  <c r="K38" i="6"/>
  <c r="J38" i="6"/>
  <c r="H38" i="6"/>
  <c r="G38" i="6"/>
  <c r="E38" i="6"/>
  <c r="D38" i="6"/>
  <c r="C38" i="6"/>
  <c r="M37" i="6"/>
  <c r="K37" i="6"/>
  <c r="J37" i="6"/>
  <c r="H37" i="6"/>
  <c r="G37" i="6"/>
  <c r="E37" i="6"/>
  <c r="D37" i="6"/>
  <c r="C37" i="6"/>
  <c r="M36" i="6"/>
  <c r="K36" i="6"/>
  <c r="J36" i="6"/>
  <c r="H36" i="6"/>
  <c r="G36" i="6"/>
  <c r="E36" i="6"/>
  <c r="D36" i="6"/>
  <c r="C36" i="6"/>
  <c r="O32" i="6"/>
  <c r="X31" i="6"/>
  <c r="S30" i="6"/>
  <c r="M29" i="6"/>
  <c r="K29" i="6"/>
  <c r="J29" i="6"/>
  <c r="H29" i="6"/>
  <c r="G29" i="6"/>
  <c r="E29" i="6"/>
  <c r="D29" i="6"/>
  <c r="C29" i="6"/>
  <c r="M28" i="6"/>
  <c r="K28" i="6"/>
  <c r="J28" i="6"/>
  <c r="H28" i="6"/>
  <c r="G28" i="6"/>
  <c r="E28" i="6"/>
  <c r="D28" i="6"/>
  <c r="C28" i="6"/>
  <c r="M27" i="6"/>
  <c r="K27" i="6"/>
  <c r="J27" i="6"/>
  <c r="H27" i="6"/>
  <c r="G27" i="6"/>
  <c r="E27" i="6"/>
  <c r="D27" i="6"/>
  <c r="C27" i="6"/>
  <c r="M26" i="6"/>
  <c r="K26" i="6"/>
  <c r="J26" i="6"/>
  <c r="H26" i="6"/>
  <c r="G26" i="6"/>
  <c r="E26" i="6"/>
  <c r="D26" i="6"/>
  <c r="C26" i="6"/>
  <c r="O26" i="6" s="1"/>
  <c r="M25" i="6"/>
  <c r="K25" i="6"/>
  <c r="J25" i="6"/>
  <c r="H25" i="6"/>
  <c r="G25" i="6"/>
  <c r="E25" i="6"/>
  <c r="D25" i="6"/>
  <c r="C25" i="6"/>
  <c r="S25" i="6" s="1"/>
  <c r="M24" i="6"/>
  <c r="K24" i="6"/>
  <c r="J24" i="6"/>
  <c r="H24" i="6"/>
  <c r="G24" i="6"/>
  <c r="E24" i="6"/>
  <c r="D24" i="6"/>
  <c r="C24" i="6"/>
  <c r="M23" i="6"/>
  <c r="K23" i="6"/>
  <c r="J23" i="6"/>
  <c r="H23" i="6"/>
  <c r="G23" i="6"/>
  <c r="E23" i="6"/>
  <c r="D23" i="6"/>
  <c r="C23" i="6"/>
  <c r="M22" i="6"/>
  <c r="K22" i="6"/>
  <c r="J22" i="6"/>
  <c r="H22" i="6"/>
  <c r="G22" i="6"/>
  <c r="E22" i="6"/>
  <c r="D22" i="6"/>
  <c r="C22" i="6"/>
  <c r="M21" i="6"/>
  <c r="K21" i="6"/>
  <c r="J21" i="6"/>
  <c r="H21" i="6"/>
  <c r="G21" i="6"/>
  <c r="E21" i="6"/>
  <c r="D21" i="6"/>
  <c r="C21" i="6"/>
  <c r="M20" i="6"/>
  <c r="K20" i="6"/>
  <c r="J20" i="6"/>
  <c r="H20" i="6"/>
  <c r="G20" i="6"/>
  <c r="E20" i="6"/>
  <c r="D20" i="6"/>
  <c r="C20" i="6"/>
  <c r="M19" i="6"/>
  <c r="K19" i="6"/>
  <c r="J19" i="6"/>
  <c r="H19" i="6"/>
  <c r="G19" i="6"/>
  <c r="E19" i="6"/>
  <c r="D19" i="6"/>
  <c r="C19" i="6"/>
  <c r="M18" i="6"/>
  <c r="K18" i="6"/>
  <c r="J18" i="6"/>
  <c r="H18" i="6"/>
  <c r="G18" i="6"/>
  <c r="E18" i="6"/>
  <c r="D18" i="6"/>
  <c r="C18" i="6"/>
  <c r="M17" i="6"/>
  <c r="K17" i="6"/>
  <c r="J17" i="6"/>
  <c r="H17" i="6"/>
  <c r="G17" i="6"/>
  <c r="E17" i="6"/>
  <c r="D17" i="6"/>
  <c r="C17" i="6"/>
  <c r="AD17" i="6" s="1"/>
  <c r="B5" i="4"/>
  <c r="A3" i="16" l="1"/>
  <c r="A46" i="16"/>
  <c r="A3" i="9"/>
  <c r="A144" i="9"/>
  <c r="C54" i="17"/>
  <c r="C85" i="17" s="1"/>
  <c r="O24" i="6"/>
  <c r="C55" i="17"/>
  <c r="E86" i="17" s="1"/>
  <c r="X27" i="6"/>
  <c r="X29" i="6"/>
  <c r="C53" i="16"/>
  <c r="C84" i="16" s="1"/>
  <c r="C63" i="16"/>
  <c r="E69" i="16" s="1"/>
  <c r="F26" i="15"/>
  <c r="C53" i="17"/>
  <c r="D148" i="17" s="1"/>
  <c r="D26" i="15"/>
  <c r="C56" i="9"/>
  <c r="D151" i="9" s="1"/>
  <c r="C156" i="17"/>
  <c r="C31" i="20"/>
  <c r="J20" i="20" s="1"/>
  <c r="C58" i="9"/>
  <c r="D153" i="9" s="1"/>
  <c r="E69" i="17"/>
  <c r="C69" i="17"/>
  <c r="C109" i="17" s="1"/>
  <c r="L12" i="20"/>
  <c r="K12" i="20"/>
  <c r="L5" i="20"/>
  <c r="K5" i="20"/>
  <c r="C41" i="17"/>
  <c r="C65" i="17" s="1"/>
  <c r="C54" i="16"/>
  <c r="D149" i="16" s="1"/>
  <c r="L56" i="20"/>
  <c r="K56" i="20"/>
  <c r="L69" i="20"/>
  <c r="K69" i="20"/>
  <c r="L73" i="20"/>
  <c r="K73" i="20"/>
  <c r="C57" i="9"/>
  <c r="E88" i="9" s="1"/>
  <c r="C31" i="17"/>
  <c r="E30" i="20"/>
  <c r="D30" i="20"/>
  <c r="D37" i="20"/>
  <c r="E37" i="20"/>
  <c r="C37" i="20"/>
  <c r="E34" i="20"/>
  <c r="D34" i="20"/>
  <c r="C34" i="20"/>
  <c r="E31" i="20"/>
  <c r="D31" i="20"/>
  <c r="E33" i="20"/>
  <c r="D33" i="20"/>
  <c r="D32" i="20"/>
  <c r="E32" i="20"/>
  <c r="B29" i="20"/>
  <c r="J12" i="20"/>
  <c r="J5" i="20"/>
  <c r="J56" i="20"/>
  <c r="C44" i="9"/>
  <c r="C68" i="9" s="1"/>
  <c r="C34" i="9"/>
  <c r="C55" i="16"/>
  <c r="D150" i="16" s="1"/>
  <c r="C31" i="16"/>
  <c r="G25" i="20"/>
  <c r="T25" i="6"/>
  <c r="V25" i="6" s="1"/>
  <c r="X26" i="6"/>
  <c r="X24" i="6"/>
  <c r="O17" i="6"/>
  <c r="S22" i="6"/>
  <c r="S27" i="6"/>
  <c r="S28" i="6"/>
  <c r="X30" i="6"/>
  <c r="X32" i="6"/>
  <c r="P26" i="6"/>
  <c r="Q26" i="6" s="1"/>
  <c r="P25" i="6"/>
  <c r="O30" i="6"/>
  <c r="O25" i="6"/>
  <c r="O28" i="6"/>
  <c r="Y26" i="6"/>
  <c r="S26" i="6"/>
  <c r="S24" i="6"/>
  <c r="X17" i="6"/>
  <c r="X25" i="6"/>
  <c r="T26" i="6"/>
  <c r="Y25" i="6"/>
  <c r="S29" i="6"/>
  <c r="S31" i="6"/>
  <c r="S32" i="6"/>
  <c r="X18" i="6"/>
  <c r="O19" i="6"/>
  <c r="X20" i="6"/>
  <c r="O27" i="6"/>
  <c r="X28" i="6"/>
  <c r="O29" i="6"/>
  <c r="O31" i="6"/>
  <c r="S17" i="6"/>
  <c r="A49" i="9"/>
  <c r="A3" i="6"/>
  <c r="A46" i="17"/>
  <c r="A95" i="9"/>
  <c r="A3" i="15"/>
  <c r="A92" i="16"/>
  <c r="A3" i="17"/>
  <c r="A92" i="17"/>
  <c r="X19" i="6"/>
  <c r="X23" i="6"/>
  <c r="S18" i="6"/>
  <c r="O20" i="6"/>
  <c r="O22" i="6"/>
  <c r="C39" i="9"/>
  <c r="O21" i="6"/>
  <c r="E89" i="9"/>
  <c r="E84" i="17"/>
  <c r="C84" i="17"/>
  <c r="D148" i="16"/>
  <c r="S21" i="6"/>
  <c r="S20" i="6"/>
  <c r="O18" i="6"/>
  <c r="X22" i="6"/>
  <c r="C88" i="9"/>
  <c r="S19" i="6"/>
  <c r="S23" i="6"/>
  <c r="O23" i="6"/>
  <c r="X21" i="6"/>
  <c r="C41" i="16"/>
  <c r="J39" i="20"/>
  <c r="E86" i="16" l="1"/>
  <c r="C56" i="17"/>
  <c r="D54" i="17" s="1"/>
  <c r="D149" i="17"/>
  <c r="E85" i="17"/>
  <c r="C59" i="9"/>
  <c r="D58" i="9" s="1"/>
  <c r="C89" i="9"/>
  <c r="C90" i="9" s="1"/>
  <c r="E102" i="9" s="1"/>
  <c r="C86" i="16"/>
  <c r="D150" i="17"/>
  <c r="C86" i="17"/>
  <c r="C101" i="17" s="1"/>
  <c r="D53" i="17"/>
  <c r="E84" i="16"/>
  <c r="C87" i="9"/>
  <c r="E87" i="9"/>
  <c r="C69" i="16"/>
  <c r="C109" i="16" s="1"/>
  <c r="A113" i="16" s="1"/>
  <c r="D152" i="9"/>
  <c r="J44" i="20"/>
  <c r="J86" i="20" s="1"/>
  <c r="F10" i="21" s="1"/>
  <c r="F15" i="21" s="1"/>
  <c r="C56" i="16"/>
  <c r="D55" i="16" s="1"/>
  <c r="K44" i="20"/>
  <c r="E33" i="15"/>
  <c r="E35" i="15" s="1"/>
  <c r="Z18" i="6" s="1"/>
  <c r="D33" i="15"/>
  <c r="D35" i="15" s="1"/>
  <c r="C85" i="16"/>
  <c r="E85" i="16"/>
  <c r="L75" i="20"/>
  <c r="K75" i="20"/>
  <c r="A113" i="17"/>
  <c r="K20" i="20"/>
  <c r="AA25" i="6"/>
  <c r="L44" i="20"/>
  <c r="L20" i="20"/>
  <c r="F4" i="21"/>
  <c r="AA26" i="6"/>
  <c r="Q25" i="6"/>
  <c r="V26" i="6"/>
  <c r="C159" i="9"/>
  <c r="C66" i="9"/>
  <c r="C65" i="16"/>
  <c r="C67" i="9"/>
  <c r="D56" i="9"/>
  <c r="D59" i="9"/>
  <c r="C64" i="17"/>
  <c r="C160" i="17"/>
  <c r="D55" i="17"/>
  <c r="D56" i="17"/>
  <c r="C163" i="9"/>
  <c r="C104" i="9" l="1"/>
  <c r="C102" i="9"/>
  <c r="C87" i="16"/>
  <c r="E99" i="16" s="1"/>
  <c r="D57" i="9"/>
  <c r="C103" i="9"/>
  <c r="C105" i="9" s="1"/>
  <c r="C99" i="17"/>
  <c r="C116" i="17" s="1"/>
  <c r="C87" i="17"/>
  <c r="E101" i="17" s="1"/>
  <c r="C100" i="17"/>
  <c r="D117" i="17" s="1"/>
  <c r="D53" i="16"/>
  <c r="C99" i="16"/>
  <c r="D116" i="16" s="1"/>
  <c r="D56" i="16"/>
  <c r="C64" i="16"/>
  <c r="E66" i="16" s="1"/>
  <c r="C160" i="16"/>
  <c r="C100" i="16"/>
  <c r="D117" i="16" s="1"/>
  <c r="C101" i="16"/>
  <c r="D118" i="16" s="1"/>
  <c r="Z17" i="6"/>
  <c r="D54" i="16"/>
  <c r="E101" i="16"/>
  <c r="E100" i="16"/>
  <c r="L86" i="20"/>
  <c r="L87" i="20" s="1"/>
  <c r="K86" i="20"/>
  <c r="G10" i="21" s="1"/>
  <c r="U18" i="6"/>
  <c r="U17" i="6"/>
  <c r="J87" i="20"/>
  <c r="E104" i="9"/>
  <c r="C72" i="9"/>
  <c r="C112" i="9" s="1"/>
  <c r="E72" i="9"/>
  <c r="C71" i="9"/>
  <c r="C111" i="9" s="1"/>
  <c r="D118" i="17"/>
  <c r="C118" i="17"/>
  <c r="F20" i="21"/>
  <c r="F22" i="21" s="1"/>
  <c r="F17" i="21"/>
  <c r="F16" i="21"/>
  <c r="E103" i="9"/>
  <c r="C66" i="17"/>
  <c r="E66" i="17"/>
  <c r="C69" i="9"/>
  <c r="E71" i="9" s="1"/>
  <c r="E69" i="9"/>
  <c r="E100" i="17" l="1"/>
  <c r="C102" i="17"/>
  <c r="D116" i="17"/>
  <c r="C117" i="17"/>
  <c r="E99" i="17"/>
  <c r="C66" i="16"/>
  <c r="C68" i="16" s="1"/>
  <c r="C108" i="16" s="1"/>
  <c r="C102" i="16"/>
  <c r="H10" i="21"/>
  <c r="H20" i="21" s="1"/>
  <c r="H22" i="21" s="1"/>
  <c r="K87" i="20"/>
  <c r="G15" i="21"/>
  <c r="G20" i="21"/>
  <c r="G22" i="21" s="1"/>
  <c r="C68" i="17"/>
  <c r="C108" i="17" s="1"/>
  <c r="E68" i="17"/>
  <c r="A125" i="9"/>
  <c r="D129" i="9"/>
  <c r="D130" i="9"/>
  <c r="D128" i="9"/>
  <c r="C119" i="9"/>
  <c r="D120" i="9"/>
  <c r="D119" i="9"/>
  <c r="D121" i="9"/>
  <c r="A116" i="9"/>
  <c r="C120" i="9"/>
  <c r="C129" i="9"/>
  <c r="C128" i="9"/>
  <c r="C130" i="9"/>
  <c r="C121" i="9"/>
  <c r="C73" i="9"/>
  <c r="E68" i="16" l="1"/>
  <c r="H15" i="21"/>
  <c r="H17" i="21" s="1"/>
  <c r="C70" i="17"/>
  <c r="C107" i="17" s="1"/>
  <c r="C70" i="16"/>
  <c r="C107" i="16" s="1"/>
  <c r="D126" i="16"/>
  <c r="A122" i="16"/>
  <c r="D127" i="16"/>
  <c r="D125" i="16"/>
  <c r="D127" i="17"/>
  <c r="A122" i="17"/>
  <c r="D125" i="17"/>
  <c r="D126" i="17"/>
  <c r="C127" i="17"/>
  <c r="C126" i="17"/>
  <c r="C125" i="17"/>
  <c r="G17" i="21"/>
  <c r="G16" i="21"/>
  <c r="C110" i="9"/>
  <c r="C160" i="9"/>
  <c r="C157" i="17" l="1"/>
  <c r="E158" i="17" s="1"/>
  <c r="H16" i="21"/>
  <c r="C157" i="16"/>
  <c r="E158" i="16" s="1"/>
  <c r="E161" i="9"/>
  <c r="C161" i="9"/>
  <c r="C158" i="17" l="1"/>
  <c r="C162" i="17" s="1"/>
  <c r="Y24" i="6" s="1"/>
  <c r="AA24" i="6" s="1"/>
  <c r="C158" i="16"/>
  <c r="C162" i="16" s="1"/>
  <c r="T24" i="6" s="1"/>
  <c r="V24" i="6" s="1"/>
  <c r="C126" i="16"/>
  <c r="C125" i="16"/>
  <c r="C127" i="16"/>
  <c r="C165" i="9"/>
  <c r="P24" i="6" s="1"/>
  <c r="Q24" i="6" s="1"/>
  <c r="E165" i="9"/>
  <c r="C117" i="16"/>
  <c r="C116" i="16"/>
  <c r="C118" i="16"/>
  <c r="E162" i="17" l="1"/>
  <c r="E162" i="16"/>
  <c r="D136" i="9"/>
  <c r="C136" i="9"/>
  <c r="C151" i="9" s="1"/>
  <c r="D138" i="9"/>
  <c r="C138" i="9"/>
  <c r="C153" i="9" s="1"/>
  <c r="T18" i="6"/>
  <c r="V18" i="6" s="1"/>
  <c r="T23" i="6"/>
  <c r="V23" i="6" s="1"/>
  <c r="T22" i="6"/>
  <c r="V22" i="6" s="1"/>
  <c r="T21" i="6"/>
  <c r="V21" i="6" s="1"/>
  <c r="T20" i="6"/>
  <c r="V20" i="6" s="1"/>
  <c r="T17" i="6"/>
  <c r="V17" i="6" s="1"/>
  <c r="T19" i="6"/>
  <c r="V19" i="6" s="1"/>
  <c r="D137" i="9"/>
  <c r="C137" i="9"/>
  <c r="C152" i="9" s="1"/>
  <c r="D134" i="16"/>
  <c r="C134" i="16"/>
  <c r="C149" i="16" s="1"/>
  <c r="D135" i="16"/>
  <c r="C135" i="16"/>
  <c r="C150" i="16" s="1"/>
  <c r="P20" i="6"/>
  <c r="Q20" i="6" s="1"/>
  <c r="P18" i="6"/>
  <c r="Q18" i="6" s="1"/>
  <c r="P23" i="6"/>
  <c r="Q23" i="6" s="1"/>
  <c r="P22" i="6"/>
  <c r="Q22" i="6" s="1"/>
  <c r="P17" i="6"/>
  <c r="Q17" i="6" s="1"/>
  <c r="P19" i="6"/>
  <c r="Q19" i="6" s="1"/>
  <c r="P21" i="6"/>
  <c r="Q21" i="6" s="1"/>
  <c r="D135" i="17"/>
  <c r="C135" i="17"/>
  <c r="C150" i="17" s="1"/>
  <c r="D133" i="16"/>
  <c r="C133" i="16"/>
  <c r="C148" i="16" s="1"/>
  <c r="C134" i="17"/>
  <c r="C149" i="17" s="1"/>
  <c r="D134" i="17"/>
  <c r="C133" i="17"/>
  <c r="C148" i="17" s="1"/>
  <c r="D133" i="17"/>
  <c r="Y22" i="6"/>
  <c r="AA22" i="6" s="1"/>
  <c r="Y23" i="6"/>
  <c r="AA23" i="6" s="1"/>
  <c r="Y17" i="6"/>
  <c r="AA17" i="6" s="1"/>
  <c r="Y19" i="6"/>
  <c r="AA19" i="6" s="1"/>
  <c r="Y20" i="6"/>
  <c r="AA20" i="6" s="1"/>
  <c r="Y18" i="6"/>
  <c r="AA18" i="6" s="1"/>
  <c r="Y21" i="6"/>
  <c r="AA21" i="6" s="1"/>
  <c r="E148" i="16" l="1"/>
  <c r="F148" i="16"/>
  <c r="F153" i="9"/>
  <c r="E153" i="9"/>
  <c r="F148" i="17"/>
  <c r="E148" i="17"/>
  <c r="F149" i="16"/>
  <c r="E149" i="16"/>
  <c r="F150" i="17"/>
  <c r="E150" i="17"/>
  <c r="F151" i="9"/>
  <c r="E151" i="9"/>
  <c r="E149" i="17"/>
  <c r="F149" i="17"/>
  <c r="E150" i="16"/>
  <c r="F150" i="16"/>
  <c r="F152" i="9"/>
  <c r="E152" i="9"/>
  <c r="Y30" i="6" l="1"/>
  <c r="AA30" i="6" s="1"/>
  <c r="Y27" i="6"/>
  <c r="AA27" i="6" s="1"/>
  <c r="Y28" i="6"/>
  <c r="AA28" i="6" s="1"/>
  <c r="Y31" i="6"/>
  <c r="AA31" i="6" s="1"/>
  <c r="P27" i="6"/>
  <c r="Q27" i="6" s="1"/>
  <c r="P30" i="6"/>
  <c r="Q30" i="6" s="1"/>
  <c r="T28" i="6"/>
  <c r="V28" i="6" s="1"/>
  <c r="T31" i="6"/>
  <c r="V31" i="6" s="1"/>
  <c r="P32" i="6"/>
  <c r="Q32" i="6" s="1"/>
  <c r="P29" i="6"/>
  <c r="Q29" i="6" s="1"/>
  <c r="T29" i="6"/>
  <c r="V29" i="6" s="1"/>
  <c r="T32" i="6"/>
  <c r="V32" i="6" s="1"/>
  <c r="P28" i="6"/>
  <c r="Q28" i="6" s="1"/>
  <c r="P31" i="6"/>
  <c r="Q31" i="6" s="1"/>
  <c r="Y32" i="6"/>
  <c r="AA32" i="6" s="1"/>
  <c r="Y29" i="6"/>
  <c r="AA29" i="6" s="1"/>
  <c r="T30" i="6"/>
  <c r="V30" i="6" s="1"/>
  <c r="T27" i="6"/>
  <c r="V2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Anthony Aufdenkampe</author>
  </authors>
  <commentList>
    <comment ref="P27" authorId="0" shapeId="0" xr:uid="{822C2153-C2EC-E947-BB42-CF1797B96A7B}">
      <text>
        <r>
          <rPr>
            <b/>
            <sz val="10"/>
            <color rgb="FF000000"/>
            <rFont val="Tahoma"/>
            <family val="2"/>
          </rPr>
          <t xml:space="preserve">Anthony:
</t>
        </r>
        <r>
          <rPr>
            <sz val="10"/>
            <color rgb="FF000000"/>
            <rFont val="Tahoma"/>
            <family val="2"/>
          </rPr>
          <t xml:space="preserve">
</t>
        </r>
        <r>
          <rPr>
            <sz val="10"/>
            <color rgb="FF000000"/>
            <rFont val="Tahoma"/>
            <family val="2"/>
          </rPr>
          <t>Urbban lands point to different values.</t>
        </r>
      </text>
    </comment>
  </commentList>
</comments>
</file>

<file path=xl/sharedStrings.xml><?xml version="1.0" encoding="utf-8"?>
<sst xmlns="http://schemas.openxmlformats.org/spreadsheetml/2006/main" count="1355" uniqueCount="475">
  <si>
    <t>Source</t>
  </si>
  <si>
    <t>Area</t>
  </si>
  <si>
    <t>Runoff</t>
  </si>
  <si>
    <t>Erosion</t>
  </si>
  <si>
    <t>Sediment</t>
  </si>
  <si>
    <t>Dis N</t>
  </si>
  <si>
    <t>Tot N</t>
  </si>
  <si>
    <t>Dis P</t>
  </si>
  <si>
    <t>Tot P</t>
  </si>
  <si>
    <t>Hay/Past</t>
  </si>
  <si>
    <t>Cropland</t>
  </si>
  <si>
    <t>Forest</t>
  </si>
  <si>
    <t>Wetland</t>
  </si>
  <si>
    <t>Disturbed</t>
  </si>
  <si>
    <t>Turfgrass</t>
  </si>
  <si>
    <t>Open_Land</t>
  </si>
  <si>
    <t>Bare_Rock</t>
  </si>
  <si>
    <t>Sandy_Areas</t>
  </si>
  <si>
    <t>Unpaved_Road</t>
  </si>
  <si>
    <t>Ld_Mixed</t>
  </si>
  <si>
    <t>Md_Mixed</t>
  </si>
  <si>
    <t>Hd_Mixed</t>
  </si>
  <si>
    <t>Ld_Residential</t>
  </si>
  <si>
    <t>Md_Residential</t>
  </si>
  <si>
    <t>Hd_Residential</t>
  </si>
  <si>
    <t>Farm Animals</t>
  </si>
  <si>
    <t xml:space="preserve"> </t>
  </si>
  <si>
    <t>Tile Drainage</t>
  </si>
  <si>
    <t>Stream Bank</t>
  </si>
  <si>
    <t>Groundwater</t>
  </si>
  <si>
    <t>Point Source</t>
  </si>
  <si>
    <t>Septic Systems</t>
  </si>
  <si>
    <t>acres</t>
  </si>
  <si>
    <t>inches</t>
  </si>
  <si>
    <t>Tons</t>
  </si>
  <si>
    <t>Pounds</t>
  </si>
  <si>
    <t>Units</t>
  </si>
  <si>
    <t>Total Nitrogen</t>
  </si>
  <si>
    <t>Total Phosphorus</t>
  </si>
  <si>
    <t>Land Use Categories from MapShed</t>
  </si>
  <si>
    <t>lbs/acre</t>
  </si>
  <si>
    <t>TOTAL SEDIMENT LOADING RATE</t>
  </si>
  <si>
    <t>Tons * 2000 lbs/ton
acres of a land use</t>
  </si>
  <si>
    <t xml:space="preserve">SEDIMENT  </t>
  </si>
  <si>
    <t>NITROGEN</t>
  </si>
  <si>
    <t>PHOSPHORUS</t>
  </si>
  <si>
    <t>TOTAL NITROGEN LOADING RATE</t>
  </si>
  <si>
    <t>TOTAL PHOSPHORUS LOADING RATE</t>
  </si>
  <si>
    <r>
      <t xml:space="preserve">From    </t>
    </r>
    <r>
      <rPr>
        <b/>
        <sz val="10"/>
        <color theme="1"/>
        <rFont val="Arial"/>
        <family val="2"/>
      </rPr>
      <t>Land Use</t>
    </r>
  </si>
  <si>
    <t>tons</t>
  </si>
  <si>
    <t>pounds</t>
  </si>
  <si>
    <t xml:space="preserve">Area (acres) </t>
  </si>
  <si>
    <t>Low Density Developed</t>
  </si>
  <si>
    <t>Medium Density Developed</t>
  </si>
  <si>
    <t>High Density Developed</t>
  </si>
  <si>
    <t>Total</t>
  </si>
  <si>
    <t>Estimated Impervious Surfaces for Developed Lands</t>
  </si>
  <si>
    <t>Percent of Total Impervious Surfaces</t>
  </si>
  <si>
    <t>Stream Bank Sediment Load</t>
  </si>
  <si>
    <t>Total Developed Acres</t>
  </si>
  <si>
    <t>Total Stream Bank Load</t>
  </si>
  <si>
    <t>Remaining Load assigned to Undeveloped Lands</t>
  </si>
  <si>
    <t>Acres of Undeveloped Lands</t>
  </si>
  <si>
    <t>pounds per acre</t>
  </si>
  <si>
    <t>Sediment Load, pounds</t>
  </si>
  <si>
    <t>from Step 4</t>
  </si>
  <si>
    <t>from Step 2</t>
  </si>
  <si>
    <t>from Step 3</t>
  </si>
  <si>
    <t>Area of Developed Lands</t>
  </si>
  <si>
    <t>percent</t>
  </si>
  <si>
    <t>Land Use area, acres</t>
  </si>
  <si>
    <t>Hay/Pasture</t>
  </si>
  <si>
    <t>Nutrient Load from Farm Animals</t>
  </si>
  <si>
    <t>Area of Hay/Pasture &amp; Cropland, acres</t>
  </si>
  <si>
    <t>Loading Rate for Hay/Pasture &amp; Cropland</t>
  </si>
  <si>
    <t>pounds, from Step 1</t>
  </si>
  <si>
    <t>acres, from Step 2</t>
  </si>
  <si>
    <t>tons/year</t>
  </si>
  <si>
    <t>lbs/year</t>
  </si>
  <si>
    <t xml:space="preserve">Data Entered By: </t>
  </si>
  <si>
    <t>Source File Name:</t>
  </si>
  <si>
    <t xml:space="preserve">Date Data Entered: </t>
  </si>
  <si>
    <t>Year:</t>
  </si>
  <si>
    <t>Acres</t>
  </si>
  <si>
    <t xml:space="preserve"> [ Ld_Mixed + Ld_Residential ]</t>
  </si>
  <si>
    <t xml:space="preserve"> [ Md_Mixed + Md_Residential ]</t>
  </si>
  <si>
    <t xml:space="preserve"> [ Hd_Mixed + Hd_Residential ]</t>
  </si>
  <si>
    <t xml:space="preserve"> [ All "Developed" land use categories ]</t>
  </si>
  <si>
    <t xml:space="preserve"> [ result of Step 5 ]</t>
  </si>
  <si>
    <t xml:space="preserve"> [ from Step 3 ]</t>
  </si>
  <si>
    <t xml:space="preserve"> [ from Step 5 ]</t>
  </si>
  <si>
    <t xml:space="preserve"> [ sum of "Undeveloped Land" from Step 1 ]</t>
  </si>
  <si>
    <t>n/a</t>
  </si>
  <si>
    <r>
      <rPr>
        <u/>
        <sz val="10"/>
        <color theme="1"/>
        <rFont val="Arial"/>
        <family val="2"/>
      </rPr>
      <t>Year</t>
    </r>
    <r>
      <rPr>
        <sz val="10"/>
        <color theme="1"/>
        <rFont val="Arial"/>
        <family val="2"/>
      </rPr>
      <t xml:space="preserve">: </t>
    </r>
  </si>
  <si>
    <t>Step 2. Convert the Stream Bank Sediment Load to pounds by multiplying tons by 2,000 pounds per ton.</t>
  </si>
  <si>
    <t>Stream Bank Sediment Loading rate for Undeveloped Lands</t>
  </si>
  <si>
    <t>Load assigned to Developed Lands</t>
  </si>
  <si>
    <t>Load Assigned to Developed Lands</t>
  </si>
  <si>
    <t>OVERVIEW:</t>
  </si>
  <si>
    <t>THIS WORKBOOK CONTAINS:</t>
  </si>
  <si>
    <t>Watershed:</t>
  </si>
  <si>
    <t>Percent of Developed lands in watershed</t>
  </si>
  <si>
    <t>MapShed Land Use Categories</t>
  </si>
  <si>
    <t>Addt'l Sources</t>
  </si>
  <si>
    <r>
      <t xml:space="preserve">From      </t>
    </r>
    <r>
      <rPr>
        <b/>
        <sz val="10"/>
        <color theme="1"/>
        <rFont val="Arial"/>
        <family val="2"/>
      </rPr>
      <t>Farm Animals ②</t>
    </r>
  </si>
  <si>
    <r>
      <t xml:space="preserve">From </t>
    </r>
    <r>
      <rPr>
        <b/>
        <sz val="10"/>
        <color theme="1"/>
        <rFont val="Arial"/>
        <family val="2"/>
      </rPr>
      <t>Stream Banks ①</t>
    </r>
  </si>
  <si>
    <r>
      <t xml:space="preserve">From
</t>
    </r>
    <r>
      <rPr>
        <b/>
        <sz val="10"/>
        <color theme="1"/>
        <rFont val="Arial"/>
        <family val="2"/>
      </rPr>
      <t>Farm Animals ②</t>
    </r>
  </si>
  <si>
    <t>Sum of previous
two sources</t>
  </si>
  <si>
    <t>Sum of previous
three sources</t>
  </si>
  <si>
    <t>Notes:</t>
  </si>
  <si>
    <t>ANNUAL LAND USE LOADING RATES (lbs/acre)
based on land use, stream bank and farm animal sources</t>
  </si>
  <si>
    <t>Step 2. Total Acres in "Hay/Pasture" and "Cropland" land uses are summed.</t>
  </si>
  <si>
    <t>acres      =</t>
  </si>
  <si>
    <r>
      <t xml:space="preserve">Stream Bank </t>
    </r>
    <r>
      <rPr>
        <b/>
        <sz val="10"/>
        <rFont val="Arial"/>
        <family val="2"/>
      </rPr>
      <t>①</t>
    </r>
  </si>
  <si>
    <r>
      <t>From
L</t>
    </r>
    <r>
      <rPr>
        <b/>
        <sz val="10"/>
        <color theme="1"/>
        <rFont val="Arial"/>
        <family val="2"/>
      </rPr>
      <t>and Use</t>
    </r>
  </si>
  <si>
    <t>Area of Hay/Pasture &amp; Cropland</t>
  </si>
  <si>
    <t>① - Since only the 'Hay/Pasture' and 'Cropland' land uses are apportioned Farm Loading Rates, the remaining land use categories are not applicable to this worksheet.</t>
  </si>
  <si>
    <t>Step 1. The Stream Bank Sediment Load, in tons, and land areas for each land use category, in acres, are presented below.</t>
  </si>
  <si>
    <t>Total Acres in watershed</t>
  </si>
  <si>
    <r>
      <t xml:space="preserve">Page 2 of </t>
    </r>
    <r>
      <rPr>
        <i/>
        <sz val="10"/>
        <color theme="1"/>
        <rFont val="Arial"/>
        <family val="2"/>
      </rPr>
      <t xml:space="preserve">Stream Bank </t>
    </r>
    <r>
      <rPr>
        <b/>
        <i/>
        <sz val="10"/>
        <color theme="1"/>
        <rFont val="Arial"/>
        <family val="2"/>
      </rPr>
      <t>Sediment Loading Rates</t>
    </r>
    <r>
      <rPr>
        <i/>
        <sz val="10"/>
        <color theme="1"/>
        <rFont val="Arial"/>
        <family val="2"/>
      </rPr>
      <t xml:space="preserve"> worksheet</t>
    </r>
  </si>
  <si>
    <t>Step 5. Calculate the portion of the Stream Bank Sediment Load resulting from "Developed" Lands</t>
  </si>
  <si>
    <t xml:space="preserve">             =</t>
  </si>
  <si>
    <t>pounds   =</t>
  </si>
  <si>
    <t>Estimated Percent of Impervious Area for corresponding land use categories (MapShed Values)</t>
  </si>
  <si>
    <t>Step 6. Calculate the portion of the Stream Bank Sediment Load from "Developed" Lands that is assigned to each of the land use categories by calculating relative components from "Impervious" surfaces and from the land use as a whole:</t>
  </si>
  <si>
    <t>acres    =</t>
  </si>
  <si>
    <t>Total Developed Impervious Surface Area</t>
  </si>
  <si>
    <t>Step 7. Calculate how many acres within the watershed are "Impervious" by multiplying the acres in Step 4 by the percent in Step 6:</t>
  </si>
  <si>
    <t>Step 8. Calculate the percent of total developed Impervious Surface for each land use:</t>
  </si>
  <si>
    <t xml:space="preserve">         =</t>
  </si>
  <si>
    <t>pounds  =</t>
  </si>
  <si>
    <t>Stream Bank Sediment Load Assigned to Impervious Surface, pounds</t>
  </si>
  <si>
    <t>Stream Bank Sediment Load Assigned to Total Developed Land Area, pounds</t>
  </si>
  <si>
    <t>Step 11. Apportion Load Assigned to Total Land Area to each "Developed" land use category by multiplying</t>
  </si>
  <si>
    <t>Step 12. Combine the loads apportioned to "Impervious" surfaces, from Step 10, and the loads apportioned to Total Developed Land Area, from Step 11:</t>
  </si>
  <si>
    <t>Total Stream Bank Sediment Load per Land Use, pounds</t>
  </si>
  <si>
    <t>Stream Bank
Sediment 
Loading Rate, 
pounds/acre</t>
  </si>
  <si>
    <t>acres  =</t>
  </si>
  <si>
    <r>
      <t>Watershed</t>
    </r>
    <r>
      <rPr>
        <sz val="10"/>
        <color theme="1"/>
        <rFont val="Arial"/>
        <family val="2"/>
      </rPr>
      <t>:</t>
    </r>
  </si>
  <si>
    <t>Step 13. Calculate the Stream Bank Loading Rate for each "Developed" Land Use, in pounds per acre, by dividing the load from Step 12 by the acres in Step 4:</t>
  </si>
  <si>
    <t>Step 14. Calculate the Stream Bank Loading Rate for "Undeveloped Land" (all other land use categories):</t>
  </si>
  <si>
    <r>
      <t xml:space="preserve">From
</t>
    </r>
    <r>
      <rPr>
        <b/>
        <sz val="10"/>
        <color theme="1"/>
        <rFont val="Arial"/>
        <family val="2"/>
      </rPr>
      <t xml:space="preserve">Stream
Banks </t>
    </r>
    <r>
      <rPr>
        <b/>
        <sz val="10"/>
        <color theme="1"/>
        <rFont val="Calibri"/>
        <family val="2"/>
      </rPr>
      <t>①</t>
    </r>
  </si>
  <si>
    <t>Step 3. Calculate the unit area Farm Animals loading rate (lbs/ac) to Total Nitrogen and Total Phosphorus for each land use by dividing the Farm Animal Load by the land use acres.</t>
  </si>
  <si>
    <t>Step 4. Add these Farm Animals loading rates to the Land Use (upland) and Stream Bank loading rates for Hay/Pasture and Cropland to calculate the Toal Nitrogen and Total Phosphorus loading rates as shown on the Land Use Loading Rates Look-Up Table.</t>
  </si>
  <si>
    <t>Total Acres, Watershed</t>
  </si>
  <si>
    <t xml:space="preserve">Step 10. Apportion Load Assigned to "Impervious" surfaces to each "Developed" land use category by </t>
  </si>
  <si>
    <t>Stream Bank Sediment
Land Use Loading Rate</t>
  </si>
  <si>
    <t>Section 1: Instructions &amp; Overview</t>
  </si>
  <si>
    <t>Section 3:</t>
  </si>
  <si>
    <t>Step 1. The land areas for each land use category, in acres, are presented below.</t>
  </si>
  <si>
    <t>Step 2. The Stream Bank Total Nitrogen Load, in pounds, is presented below:</t>
  </si>
  <si>
    <t>Total Nitrogen Load, pounds</t>
  </si>
  <si>
    <r>
      <t xml:space="preserve">Page 2 of </t>
    </r>
    <r>
      <rPr>
        <i/>
        <sz val="10"/>
        <color theme="1"/>
        <rFont val="Arial"/>
        <family val="2"/>
      </rPr>
      <t xml:space="preserve">Stream Bank </t>
    </r>
    <r>
      <rPr>
        <b/>
        <i/>
        <sz val="10"/>
        <color theme="1"/>
        <rFont val="Arial"/>
        <family val="2"/>
      </rPr>
      <t>Total Nitrogen Loading Rates</t>
    </r>
    <r>
      <rPr>
        <i/>
        <sz val="10"/>
        <color theme="1"/>
        <rFont val="Arial"/>
        <family val="2"/>
      </rPr>
      <t xml:space="preserve"> worksheet</t>
    </r>
  </si>
  <si>
    <t>Stream Bank TN Load</t>
  </si>
  <si>
    <t>Step 5. Calculate the portion of the Stream Bank Total Nitrogen (TN) Load resulting from "Developed" Lands</t>
  </si>
  <si>
    <t>Step 6. Calculate the portion of the Stream Bank Total Nitrogen Load from "Developed" Lands that is assigned to each of the land use categories by calculating relative components from "Impervious" surfaces and from the land use as a whole:</t>
  </si>
  <si>
    <t>Stream Bank Total Nitrogen Load Assigned to Impervious Surface, pounds</t>
  </si>
  <si>
    <t>Stream Bank Total Nitrogen Load Assigned to Total Developed Land Area, pounds</t>
  </si>
  <si>
    <t>Total Stream Bank Total Nitrogen Load per Land Use, pounds</t>
  </si>
  <si>
    <t>Load assigned to
Developed Lands</t>
  </si>
  <si>
    <t>Stream Bank Total Nitrogen Loading rate for Undeveloped Lands</t>
  </si>
  <si>
    <t>Stream Bank
Total Nitrogen
Loading Rate, 
pounds/acre</t>
  </si>
  <si>
    <t>Stream Bank Total Nitrogen
Land Use Loading Rate</t>
  </si>
  <si>
    <t>Step 2. The Stream Bank Total Phosphorus Load, in pounds, is presented below:</t>
  </si>
  <si>
    <t>Total Phosphorus Load, pounds</t>
  </si>
  <si>
    <t>Step 6. Calculate the portion of the Stream Bank Total Phosphorus Load from "Developed" Lands that is assigned to each of the land use categories by calculating relative components from "Impervious" surfaces and from the land use as a whole:</t>
  </si>
  <si>
    <t>Stream Bank Total Phosphorus Load Assigned to Impervious Surface, pounds</t>
  </si>
  <si>
    <t>Stream Bank Total Phosphorus Load Assigned to Total Developed Land Area, pounds</t>
  </si>
  <si>
    <t>Total Stream Bank Total Phosphorus Load per Land Use, pounds</t>
  </si>
  <si>
    <t>Stream Bank Total Phosphorus
Land Use Loading Rate</t>
  </si>
  <si>
    <t>Stream Bank
Total Phosphorus
Loading Rate, 
pounds/acre</t>
  </si>
  <si>
    <t>Stream Bank Total Phosphorus Loading rate for Undeveloped Lands</t>
  </si>
  <si>
    <t>Stream Bank TP Load</t>
  </si>
  <si>
    <t>Step 5. Calculate the portion of the Stream Bank Total Phosphorus (TP) Load resulting from "Developed" Lands</t>
  </si>
  <si>
    <r>
      <t xml:space="preserve">Page 2 of Stream Bank </t>
    </r>
    <r>
      <rPr>
        <b/>
        <i/>
        <sz val="10"/>
        <color theme="1"/>
        <rFont val="Arial"/>
        <family val="2"/>
      </rPr>
      <t>Total Phosphorus Loading Rates</t>
    </r>
    <r>
      <rPr>
        <sz val="10"/>
        <color theme="1"/>
        <rFont val="Arial"/>
        <family val="2"/>
      </rPr>
      <t xml:space="preserve"> worksheet</t>
    </r>
  </si>
  <si>
    <r>
      <t xml:space="preserve">Page 3 of Stream Bank </t>
    </r>
    <r>
      <rPr>
        <b/>
        <i/>
        <sz val="10"/>
        <color theme="1"/>
        <rFont val="Arial"/>
        <family val="2"/>
      </rPr>
      <t>Total Phosphorus Loading Rates</t>
    </r>
    <r>
      <rPr>
        <sz val="10"/>
        <color theme="1"/>
        <rFont val="Arial"/>
        <family val="2"/>
      </rPr>
      <t xml:space="preserve"> worksheet</t>
    </r>
  </si>
  <si>
    <r>
      <t xml:space="preserve">Page 4 of Stream Bank </t>
    </r>
    <r>
      <rPr>
        <b/>
        <i/>
        <sz val="10"/>
        <color theme="1"/>
        <rFont val="Arial"/>
        <family val="2"/>
      </rPr>
      <t>Total Phosphorus Loading Rates</t>
    </r>
    <r>
      <rPr>
        <sz val="10"/>
        <color theme="1"/>
        <rFont val="Arial"/>
        <family val="2"/>
      </rPr>
      <t xml:space="preserve"> worksheet</t>
    </r>
  </si>
  <si>
    <r>
      <t xml:space="preserve">Page 4 of </t>
    </r>
    <r>
      <rPr>
        <i/>
        <sz val="10"/>
        <color theme="1"/>
        <rFont val="Arial"/>
        <family val="2"/>
      </rPr>
      <t xml:space="preserve">Stream Bank </t>
    </r>
    <r>
      <rPr>
        <b/>
        <i/>
        <sz val="10"/>
        <color theme="1"/>
        <rFont val="Arial"/>
        <family val="2"/>
      </rPr>
      <t>Total Nitrogen Loading Rates</t>
    </r>
    <r>
      <rPr>
        <i/>
        <sz val="10"/>
        <color theme="1"/>
        <rFont val="Arial"/>
        <family val="2"/>
      </rPr>
      <t xml:space="preserve"> worksheet</t>
    </r>
  </si>
  <si>
    <r>
      <t xml:space="preserve">Page 3 of </t>
    </r>
    <r>
      <rPr>
        <i/>
        <sz val="10"/>
        <color theme="1"/>
        <rFont val="Arial"/>
        <family val="2"/>
      </rPr>
      <t xml:space="preserve">Stream Bank </t>
    </r>
    <r>
      <rPr>
        <b/>
        <i/>
        <sz val="10"/>
        <color theme="1"/>
        <rFont val="Arial"/>
        <family val="2"/>
      </rPr>
      <t>Total Nitrogen Loading Rates</t>
    </r>
    <r>
      <rPr>
        <i/>
        <sz val="10"/>
        <color theme="1"/>
        <rFont val="Arial"/>
        <family val="2"/>
      </rPr>
      <t xml:space="preserve"> worksheet</t>
    </r>
  </si>
  <si>
    <r>
      <t xml:space="preserve">Page 4 of </t>
    </r>
    <r>
      <rPr>
        <i/>
        <sz val="10"/>
        <color theme="1"/>
        <rFont val="Arial"/>
        <family val="2"/>
      </rPr>
      <t xml:space="preserve">Stream Bank </t>
    </r>
    <r>
      <rPr>
        <b/>
        <i/>
        <sz val="10"/>
        <color theme="1"/>
        <rFont val="Arial"/>
        <family val="2"/>
      </rPr>
      <t>Sediment Loading Rates</t>
    </r>
    <r>
      <rPr>
        <i/>
        <sz val="10"/>
        <color theme="1"/>
        <rFont val="Arial"/>
        <family val="2"/>
      </rPr>
      <t xml:space="preserve"> worksheet</t>
    </r>
  </si>
  <si>
    <r>
      <t xml:space="preserve">Page 3 of </t>
    </r>
    <r>
      <rPr>
        <i/>
        <sz val="10"/>
        <color theme="1"/>
        <rFont val="Arial"/>
        <family val="2"/>
      </rPr>
      <t xml:space="preserve">Stream Bank </t>
    </r>
    <r>
      <rPr>
        <b/>
        <i/>
        <sz val="10"/>
        <color theme="1"/>
        <rFont val="Arial"/>
        <family val="2"/>
      </rPr>
      <t>Sediment Loading Rates</t>
    </r>
    <r>
      <rPr>
        <i/>
        <sz val="10"/>
        <color theme="1"/>
        <rFont val="Arial"/>
        <family val="2"/>
      </rPr>
      <t xml:space="preserve"> worksheet</t>
    </r>
  </si>
  <si>
    <t>________________________</t>
  </si>
  <si>
    <t>Section 2: Land Use Loading Rates Look-Up Table</t>
  </si>
  <si>
    <t>Step 4. Calculate the total acres in the watershed that are considered "Developed," which includes Low Density Mixed (Ld_Mixed),  Medium Density Mixed (Md_Mixed), High Density Mixed (Hd_Mixed); and Low Density Residential (Ld_Residential), Medium Density Residential (Md_Residential), and High Density Residential (Hd_Residential).</t>
  </si>
  <si>
    <t>Step 15. Add these Stream Bank Sediment Land Use Loading Rates to the Land Use (upland source) Loading Rates for each of the corresponding land uses in the Land Use Loading Rates Look-Up Table to calculate the Total Sediment Loading Rate.</t>
  </si>
  <si>
    <t>Step 4. Calculate the total acres in the watershed that are considered "Developed," which includes Low Density Mixed (Ld_Mixed),  Medium Density Mixed (Md_Mixed), High Density Mixed (Hd_Mixed); and Low Density Residential (Ld_Residential), Medium Density Residential (Md_Residential), and High Density Residential (Hd_Residential):</t>
  </si>
  <si>
    <t>Step 15. Add these Stream Bank Total Nitrogen Land Use Loading Rates to the Land Use (upland source) and Farm Animals Loading Rates for each of the corresponding land uses in the Land Use Loading Rates Look-Up Table to calculate the final Total Nitrogen Loading Rate.</t>
  </si>
  <si>
    <t>Step 15. Add these Stream Bank Total Phosphorus Land Use Loading Rates to the Land Use (upland source) and Farm Animals Loading Rates for each of the corresponding land uses in the Land Use Loading Rates Look-Up Table to calculate the final Total Phosphorus Loading Rate.</t>
  </si>
  <si>
    <t>This worksheet calculates and apportions the loading rates from the Stream Bank source load for Total Nitrogen from the Christina MapShed Output file into each land use category, using methodology provided from Dr. Barry Evans (Pennsylvania State University), the author of MapShed, and with concurrence from Mr. Bill Brown (PADEP).
The MapShed output file provides the nitrogen load in pounds.</t>
  </si>
  <si>
    <t>Load Reductions from BMP Implementation in Urban and Rural Areas</t>
  </si>
  <si>
    <t>Cover Crops</t>
  </si>
  <si>
    <t>Sediment (tons)</t>
  </si>
  <si>
    <t>Tot N (pounds)</t>
  </si>
  <si>
    <t>Tot P (pounds)</t>
  </si>
  <si>
    <t>Sediment (pounds)</t>
  </si>
  <si>
    <t>Available Acres</t>
  </si>
  <si>
    <t>Note: Do not double-count w/conservation till</t>
  </si>
  <si>
    <t>Acres Treated</t>
  </si>
  <si>
    <t>Conservation Till</t>
  </si>
  <si>
    <t>Note: Do not double-count w/cover crops</t>
  </si>
  <si>
    <t>Forested Buffers Crops</t>
  </si>
  <si>
    <t>Note: 1 acre of buffer treats 2 acres of cropland</t>
  </si>
  <si>
    <t>This also ccounts for 1:1 change from cropland to forest</t>
  </si>
  <si>
    <t>Stream miles buffered</t>
  </si>
  <si>
    <t>Note: Assumes buffer is done on one side</t>
  </si>
  <si>
    <t>Buffer acres created</t>
  </si>
  <si>
    <t xml:space="preserve">Stream Bank </t>
  </si>
  <si>
    <t>TOTAL</t>
  </si>
  <si>
    <t>Floodplain Restoration</t>
  </si>
  <si>
    <t>Tons of Sediment x 2,000 = conversion to pounds</t>
  </si>
  <si>
    <t>LAND USES</t>
  </si>
  <si>
    <t>ACRES</t>
  </si>
  <si>
    <t>Total Undeveloped Land</t>
  </si>
  <si>
    <t>Upland Sed Loading Rate</t>
  </si>
  <si>
    <t>Stream Feet Stabilized</t>
  </si>
  <si>
    <t>Sed Reduction per foot</t>
  </si>
  <si>
    <t>Stream ft ag</t>
  </si>
  <si>
    <t>Grazing Land Management</t>
  </si>
  <si>
    <t>Sed Reduction Coeff</t>
  </si>
  <si>
    <t>Cropland Retirement</t>
  </si>
  <si>
    <t>Acres Retired</t>
  </si>
  <si>
    <t>Streambank Stabilization</t>
  </si>
  <si>
    <t>Available Stream Feet</t>
  </si>
  <si>
    <t>Sediment Reduction (lb/ft)</t>
  </si>
  <si>
    <t>Ag E&amp;S</t>
  </si>
  <si>
    <t>Streambank Fencing</t>
  </si>
  <si>
    <t>Stream Feet Fenced</t>
  </si>
  <si>
    <t>Nutrient Management</t>
  </si>
  <si>
    <t>AWMS</t>
  </si>
  <si>
    <t>Model My Watershed OUTPUT DATA</t>
  </si>
  <si>
    <t>TOTAL WATERSHED ANNUAL LOADS
from Model My Watershed</t>
  </si>
  <si>
    <t>Look-Up Table for MMW Loading Rates</t>
  </si>
  <si>
    <t>User Specified</t>
  </si>
  <si>
    <t>Look-Up Table for Model My WatershedLoading Rates</t>
  </si>
  <si>
    <t xml:space="preserve">Model My Watershed Output File Results Converted to Land Use Loading Rates    </t>
  </si>
  <si>
    <t>The tool is based on the concept of "composite" loading rates whereby both "upland" and "streambank-eroded" loads are combined to facilitate the estimation of load reductions based on the use of various BMPs as applied to different developed land and agricultural land categories.</t>
  </si>
  <si>
    <t>This tool provides the ability to use output results from a Model My Watershed "multi-year" model run for the purpose of estimating loading rates for different "source areas", and then subsequently calculating potential load reductions that might result from the implementation of both urban and agricultural BMPs in a given watershed.</t>
  </si>
  <si>
    <r>
      <t xml:space="preserve">Section 2 (Land Use Loading Rates Look-Up Table) </t>
    </r>
    <r>
      <rPr>
        <sz val="11"/>
        <color theme="1"/>
        <rFont val="Calibri"/>
        <family val="2"/>
        <scheme val="minor"/>
      </rPr>
      <t xml:space="preserve">contains the Look-Up Table with final land use loading rates that incorporate Land Use (upland source), Stream Bank (erosion) and Farm Animal Loads. </t>
    </r>
    <r>
      <rPr>
        <b/>
        <sz val="11"/>
        <color theme="1"/>
        <rFont val="Calibri"/>
        <family val="2"/>
        <scheme val="minor"/>
      </rPr>
      <t xml:space="preserve">The "Total" (pollutant) Loading Rate values in this Table are used to calculate Baseline and Existing loads as well as "future" loads from proposed urban and agricultural BMP load reductions. </t>
    </r>
  </si>
  <si>
    <r>
      <rPr>
        <b/>
        <sz val="11"/>
        <color theme="1"/>
        <rFont val="Calibri"/>
        <family val="2"/>
        <scheme val="minor"/>
      </rPr>
      <t>*</t>
    </r>
    <r>
      <rPr>
        <sz val="11"/>
        <color theme="1"/>
        <rFont val="Calibri"/>
        <family val="2"/>
        <scheme val="minor"/>
      </rPr>
      <t xml:space="preserve"> In the MMW model run, Stream Bank and Farm Animal loads are modeled as separate sources/outputs, and therefore must be apportioned into the land use loads. This calculation has been completed herein and the results are summarized on the Look-up Table. Stream Bank loads are mostly attributable to developed lands. Farm Animal loads are attributed to Cropland and Hay/Pasture land uses.</t>
    </r>
  </si>
  <si>
    <r>
      <rPr>
        <b/>
        <sz val="11"/>
        <color theme="1"/>
        <rFont val="Calibri"/>
        <family val="2"/>
        <scheme val="minor"/>
      </rPr>
      <t xml:space="preserve">Sections 4 through 7 </t>
    </r>
    <r>
      <rPr>
        <sz val="11"/>
        <color theme="1"/>
        <rFont val="Calibri"/>
        <family val="2"/>
        <scheme val="minor"/>
      </rPr>
      <t>Contain supporting documentation that show how the calculations were performed to arrive at the values for the watershed that were presented in the Look-up Table in Section 2.</t>
    </r>
  </si>
  <si>
    <t>Look-Up Table for MMW Land Use Loading Rates</t>
  </si>
  <si>
    <t xml:space="preserve">MMW Model Output </t>
  </si>
  <si>
    <t xml:space="preserve">This page is where the output data from a mult-year MMW model run is to be copied and pasted into this workbook and is the source data for calculations throughout the workbook. 
1. Source File Name - User-specified filename for the output file from MMW (optional).
2. Watershed Name - User-specified name of a watershed for which land use loading rates are being calculated (optional).
3. Source file - The annual pollutant data, in English Units, is copied directly from the MMW output file to the table below. 
4. Year - the year modeled (optional).
</t>
  </si>
  <si>
    <r>
      <t xml:space="preserve">① - Separate worksheets are used to calculate and apportion the loading rates from the </t>
    </r>
    <r>
      <rPr>
        <b/>
        <sz val="10"/>
        <color theme="1"/>
        <rFont val="Arial"/>
        <family val="2"/>
      </rPr>
      <t>Stream Bank</t>
    </r>
    <r>
      <rPr>
        <sz val="10"/>
        <color theme="1"/>
        <rFont val="Arial"/>
        <family val="2"/>
      </rPr>
      <t xml:space="preserve"> source loads (for sediment, total nitrogen, and total phosphorus) from the MMW Output file into each land use category, using methodology provided by Dr. Barry Evans (Pennsylvania State University), the author of MapShed, and with concurrence from Mr. Bill Brown (PADEP).</t>
    </r>
  </si>
  <si>
    <r>
      <t xml:space="preserve">② - A separate worksheet is used to calculate and apportion the "Total Nitrogen" and "Total Phosphorus" loading rates from the </t>
    </r>
    <r>
      <rPr>
        <b/>
        <sz val="10"/>
        <color theme="1"/>
        <rFont val="Arial"/>
        <family val="2"/>
      </rPr>
      <t>Farm Animals</t>
    </r>
    <r>
      <rPr>
        <sz val="10"/>
        <color theme="1"/>
        <rFont val="Arial"/>
        <family val="2"/>
      </rPr>
      <t xml:space="preserve"> source load from the MMW Output file into the two agricultural land uses, Hay/Pasture and Cropland, based on area weighting. The methodology was provided by Dr. Barry Evans (Pennsylvania State University), the author of MapShed, and with concurrence from Mr. Bill Brown (PADEP). Additionally, since the </t>
    </r>
    <r>
      <rPr>
        <b/>
        <sz val="10"/>
        <color theme="1"/>
        <rFont val="Arial"/>
        <family val="2"/>
      </rPr>
      <t>Farm Animals</t>
    </r>
    <r>
      <rPr>
        <sz val="10"/>
        <color theme="1"/>
        <rFont val="Arial"/>
        <family val="2"/>
      </rPr>
      <t xml:space="preserve"> source loads do not apply to other land use catergories, the values in those cells are "n/a".</t>
    </r>
  </si>
  <si>
    <t>Section 4: Farm Animals TN and TP Loading Rates Worksheet</t>
  </si>
  <si>
    <t>Section 5: Stream Bank Sediment Loading Rates Worksheet</t>
  </si>
  <si>
    <t>Section 6: Stream Bank Nitrogen Loading Rates Worksheet</t>
  </si>
  <si>
    <t>Section 7: Stream Bank Phosphorus Loading Rates Worksheet</t>
  </si>
  <si>
    <t>This worksheet calculates and apportions the loading rates from the Stream Bank source load for Total Phosphorus from the MMW Output file into each land use category, using methodology provided from Dr. Barry Evans (Pennsylvania State University), the author of MapShed, and with concurrence from Mr. Bill Brown (PADEP).
The MapShed output file provides the Phosphorus load in pounds.</t>
  </si>
  <si>
    <t>Please Note: The current tool only allows for the estimation of sediment (TSS) loads. Load estimates for Total Nitrogen and Total Phosphorus will be implemented in early 2018. Once these revisions have been made, an updated version of this tool will be made available for download via Model My Watershed.</t>
  </si>
  <si>
    <t>MUNICIPALITY: For the BMP of choice, consult the Expert Panel Table below  and Report cited below to determine if the BMP is an RR,  ST or Other type of practice.</t>
  </si>
  <si>
    <t>The type of practice, runoff reduction versus stormwater treatment, is calculated differently with different efficiency curves.</t>
  </si>
  <si>
    <t>Source:</t>
  </si>
  <si>
    <t>Recommendations of the Expert Panel to Define Removal Rates for New State Stormwater Performance Standards</t>
  </si>
  <si>
    <t>Stewart Comstock, Scott Crafton, Randy Greer, Peter Hill, Dave Hirschman, Shoreh Karimpour, Ken Murin, Jennifer Orr, Fred Rose, Sherry Wilkins</t>
  </si>
  <si>
    <t>Revised: January 20, 2015</t>
  </si>
  <si>
    <t>Prepared by: Tom Schueler and Cecilia Lane, Chesapeake Stormwater Network</t>
  </si>
  <si>
    <t>PERFORMANCE STANDARD APPROACH for use with urban BMPs (as referenced in PA DEP permit materials; original source citation at bottom of page.)</t>
  </si>
  <si>
    <r>
      <rPr>
        <b/>
        <sz val="11"/>
        <color theme="1"/>
        <rFont val="Calibri"/>
        <family val="2"/>
        <scheme val="minor"/>
      </rPr>
      <t xml:space="preserve">* </t>
    </r>
    <r>
      <rPr>
        <sz val="11"/>
        <color theme="1"/>
        <rFont val="Calibri"/>
        <family val="2"/>
        <scheme val="minor"/>
      </rPr>
      <t>The Look-Up Table also shows loads calculated by the MMW model from septic, groundwater and point sources. However, per PA DEP guidance, these loads are NOT included in the land use loading rates presented in the Table. These loads are not loads that enter the MS4 and therefore these loads are not a pollutant load that is required to be addressed in the MS4 program. Please note, when comparing the nitrogen and phosphorus loading rates to other literature values for a watershed, the rates in this workbook may appear lower by land use for nutrients because of these adjustments. Groundwater loading of nitrogen and phosphorus are generally attributed to long-term agricultural practices.</t>
    </r>
  </si>
  <si>
    <r>
      <rPr>
        <b/>
        <sz val="11"/>
        <color theme="1"/>
        <rFont val="Calibri"/>
        <family val="2"/>
        <scheme val="minor"/>
      </rPr>
      <t>Section 3 (MMMW Output)</t>
    </r>
    <r>
      <rPr>
        <sz val="11"/>
        <color theme="1"/>
        <rFont val="Calibri"/>
        <family val="2"/>
        <scheme val="minor"/>
      </rPr>
      <t xml:space="preserve"> contains results from the MMW output file data that are used for calculations throughout this workbook. </t>
    </r>
  </si>
  <si>
    <t xml:space="preserve">This worksheet calculates and apportions the "Total Nitrogen" and "Total Phosphorus" loading rates from the "Farm Animals" source load from a MMW Output file into the two applicable agricultural land uses, Hay/Pasture and Cropland, based on area weighting. The methodology was provided by Dr. Barry Evans (Stroud Water Research Center, Pennsylvania State University), the author of MapShed, and with concurrence from Mr. Bill Brown (PADEP).
The MapShed output file provides the Farm Animals "Total Nitrogen" and "Total Phosphorus" loads in pounds.  </t>
  </si>
  <si>
    <t>Step 1. The Farm Animal "Total Nitrogen" and "Total Phosphorus" load, in pounds, and land areas for each land use category, in acres, from a MMW Output file are presented below.</t>
  </si>
  <si>
    <t>Total Watershed Load</t>
  </si>
  <si>
    <t>Land Use Categories from MMW ①</t>
  </si>
  <si>
    <t>Note: The loads are taken from cells H38 and J38 from the MMW Output worksheet</t>
  </si>
  <si>
    <t>Part 1: Streambank Load</t>
  </si>
  <si>
    <t>Part 2: Upland Load</t>
  </si>
  <si>
    <t>Additional % Reduction</t>
  </si>
  <si>
    <t>Average Annual Loads from Watershed</t>
  </si>
  <si>
    <t>Total N</t>
  </si>
  <si>
    <t>Total P</t>
  </si>
  <si>
    <t>Reduction Coefficient</t>
  </si>
  <si>
    <t>Lbs upland load reduced</t>
  </si>
  <si>
    <t>Lbs Streambank Load Reduced</t>
  </si>
  <si>
    <t>Total Floodplain Lbs Reduced</t>
  </si>
  <si>
    <t>TOTAL LBS REDUCED</t>
  </si>
  <si>
    <t>Part 1: Surface Runoff</t>
  </si>
  <si>
    <t>Reduction (lb/ft)</t>
  </si>
  <si>
    <t>Lbs/Yr Reduced</t>
  </si>
  <si>
    <t>Part 2: Subsurface Flow</t>
  </si>
  <si>
    <t>Total Lbs/Yr Reduced</t>
  </si>
  <si>
    <t>Upland TN Loading Rate</t>
  </si>
  <si>
    <t>Upland TP Loading Rate</t>
  </si>
  <si>
    <t>Available Load</t>
  </si>
  <si>
    <t>Pct of Total Animals Covered</t>
  </si>
  <si>
    <t>Percent of Original Load</t>
  </si>
  <si>
    <t>User-supplied</t>
  </si>
  <si>
    <t>Total Stream ft</t>
  </si>
  <si>
    <t>Percent Reduction</t>
  </si>
  <si>
    <t>Sediment (lbs/yr)</t>
  </si>
  <si>
    <t>TN (lbs/yr)</t>
  </si>
  <si>
    <t>TP (lbs/yr)</t>
  </si>
  <si>
    <t>Loads Removed w/Existing Urban BMPs</t>
  </si>
  <si>
    <t>Loads Removed w/Proposed Urban BMPs</t>
  </si>
  <si>
    <t>Loads Removed w/Existing Agricultural BMPs</t>
  </si>
  <si>
    <t>Loads Removed w/Proposed Agricultural BMPs</t>
  </si>
  <si>
    <t>Total Loads Removed</t>
  </si>
  <si>
    <t>New Reduced Load</t>
  </si>
  <si>
    <t>Initial MMW Loads</t>
  </si>
  <si>
    <t xml:space="preserve">PURPOSE AND LIMITATIONS:  This Excel workbook tool was originally developed for use by municipalities that have MS4 discharges and load reduction responsibilities in Pennsylvania. This tool calculates land use pollutant loading rates for TSS, TN and TP using calculations, methodology, assumptions, and data based on, and consistent with, the MapShed model used in PA, and is also consistent with PADEP’s 2017 TMDL and PRP instructions for MS4s. Now that the modeling routines in MapShed have been incorporated into Model My Watershed, this tool can also utilize output from a MMW run for a given watershed. Similarly, it can be used in other geographic areas where similar load reduction estimates have to be made. </t>
  </si>
  <si>
    <t>This worksheet calculates and apportions the loading rates from the Stream Bank source load for sediment from the MMW Output file into each land use category, using methodology provided from Dr. Barry Evans (Pennsylvania State University), the author of MapShed, and with concurrence from Mr. Bill Brown (PADEP).
The MMW output file provides the sediment load in tons, which are converted to pounds to be consistent with the loading rates for Total Nitrogen and Total Phosphorus.</t>
  </si>
  <si>
    <t>Total Baseline Load (1)</t>
  </si>
  <si>
    <t>Percent Reduction from Baseline Load</t>
  </si>
  <si>
    <t>(1) After existing BMPs have been accounted for</t>
  </si>
  <si>
    <t>Total Loads Removed from Baseline (2)</t>
  </si>
  <si>
    <t>(2) After proposed BMPs have been accounted for</t>
  </si>
  <si>
    <t>Stream Bank (pounds rounded to 1 decimal)</t>
  </si>
  <si>
    <t>Note: The sediment load is taken from Cell F40 in the MMW Output worksheet</t>
  </si>
  <si>
    <t>Step 9. Distribute the "Total Load Assigned to Developed Lands" from Step 5  to each Developed Land type based on "Impervious" surfaces and the percent of land area in the land use category:</t>
  </si>
  <si>
    <t>Load assigned to Total Developed Land</t>
  </si>
  <si>
    <t>Load assigned for Total Impervious Land</t>
  </si>
  <si>
    <t>This is A) 70% of the Stream Bank Total Nitrogen Load times the percent of developed lands in the watershed</t>
  </si>
  <si>
    <t>plus B) 30% of the Stream Bank Total Nitrogen Load:</t>
  </si>
  <si>
    <t>Load assigned for total impervious land area</t>
  </si>
  <si>
    <t>Step 9. Distribute the "Total Load Assigned to Developed Lands" from Step 5 based on "Impervious" surfaces and assign 40% based on the percent of land area in the land use category.</t>
  </si>
  <si>
    <t>This is A) 70% of the Stream Bank Sediment Load times the percent of developed lands in the watershed</t>
  </si>
  <si>
    <t>plus B) 30% of the Stream Bank Sediment Load:</t>
  </si>
  <si>
    <t>Load assigned to Total Developed Land Area</t>
  </si>
  <si>
    <t>This is A) 70% of the Stream Bank Total Phosphorus Load times the percent of developed lands in the</t>
  </si>
  <si>
    <t>watershed plus B) 30% of the Stream Bank Total Phosphorus Load:</t>
  </si>
  <si>
    <t>Step 9. Distribute the "Total Load Assigned to Developed Lands" from Step 5 to each Developed Land type based on "Impervious" surfaces and the percent of land area in each land use category.</t>
  </si>
  <si>
    <t>Load assigned to Total Impervious Land</t>
  </si>
  <si>
    <t>A) 75% x Stream Bank Sediment Load x Percent of Developed Lands</t>
  </si>
  <si>
    <t>B) 25% x Stream Bank Sediment Load</t>
  </si>
  <si>
    <t>A) 75% x Stream Bank TN Load x Percent of Developed Lands</t>
  </si>
  <si>
    <t>B) 25% x Stream Bank TN Load</t>
  </si>
  <si>
    <t>A) 75% x Stream Bank TP Load x Percent of Developed Lands</t>
  </si>
  <si>
    <t>B) 25% x Stream Bank TP Load</t>
  </si>
  <si>
    <t>MMW NLCD Land Cover C ategories (from "Analyze" results)</t>
  </si>
  <si>
    <t>TYPE</t>
  </si>
  <si>
    <t>AREA (km^2)</t>
  </si>
  <si>
    <t>Open Water</t>
  </si>
  <si>
    <t>Perennial Ice/Snow</t>
  </si>
  <si>
    <t>Developed, Open Space</t>
  </si>
  <si>
    <t>Developed, Low Intensity</t>
  </si>
  <si>
    <t>Developed, Medium Intensity</t>
  </si>
  <si>
    <t>Developed, High Intensity</t>
  </si>
  <si>
    <t>Barren Land (Rock/Sand/Clay)</t>
  </si>
  <si>
    <t>Deciduous Forest</t>
  </si>
  <si>
    <t>Evergreen Forest</t>
  </si>
  <si>
    <t>Mixed Forest</t>
  </si>
  <si>
    <t>Shrub/Scrub</t>
  </si>
  <si>
    <t>Grassland/Herbaceous</t>
  </si>
  <si>
    <t>Pasture/Hay</t>
  </si>
  <si>
    <t>Cultivated Crops</t>
  </si>
  <si>
    <t>Woody Wetlands</t>
  </si>
  <si>
    <t>Emergent Herbaceous Wetlands</t>
  </si>
  <si>
    <t>AREA (acres)</t>
  </si>
  <si>
    <t>Pollutant Load Conversion from Metric to Standard Units</t>
  </si>
  <si>
    <t>SOURCE</t>
  </si>
  <si>
    <t>Wooded Areas</t>
  </si>
  <si>
    <t>Wetlands</t>
  </si>
  <si>
    <t>Open Land</t>
  </si>
  <si>
    <t>Barren Areas</t>
  </si>
  <si>
    <t>Low-Density Mixed</t>
  </si>
  <si>
    <t>Medium-Density Mixed</t>
  </si>
  <si>
    <t>High-Density Mixed</t>
  </si>
  <si>
    <t>Other Upland Areas</t>
  </si>
  <si>
    <t>Stream Bank Erosion</t>
  </si>
  <si>
    <t>Subsurface Flow</t>
  </si>
  <si>
    <t>Point Sources</t>
  </si>
  <si>
    <t>SEDIMENT (kg)</t>
  </si>
  <si>
    <t>TOTAL N (kg)</t>
  </si>
  <si>
    <t>TOTAL P (kg)</t>
  </si>
  <si>
    <t>SEDIMENT (tons)</t>
  </si>
  <si>
    <t>Pollutant Load Conversion from Metric to Standard Units (from "Model" csv file)</t>
  </si>
  <si>
    <t>TOTAL N (lbs)</t>
  </si>
  <si>
    <t>TOTAL P (lbs)</t>
  </si>
  <si>
    <t>Totals</t>
  </si>
  <si>
    <t>MMW NLCD Land Cover Categories for Watershed (from "Analyze" csv file)</t>
  </si>
  <si>
    <t>Note: The information below is only used for allocation of "urban" loads within a larger watershed boundary</t>
  </si>
  <si>
    <t>MMW NLCD Land Cover Categories for Urban Area (from second, smaller "Analyze" csv file)</t>
  </si>
  <si>
    <t>Entire Watershed</t>
  </si>
  <si>
    <t>Urban Area</t>
  </si>
  <si>
    <t>(This section will be populated using loading rates from the "Land Use Loading Rate" tab and area information from the "MMW Output" tab)</t>
  </si>
  <si>
    <t>Developed by:</t>
  </si>
  <si>
    <t>Anthony Aufdenkampe, LImnoTech</t>
  </si>
  <si>
    <t>Barry Evans, Drexel University &amp; Penn State University</t>
  </si>
  <si>
    <t>Mike Hickman, Center for Watershed Protection</t>
  </si>
  <si>
    <t>https://www.chesapeakebay.net/documents/Final-CBP-Approved-Expert-Panel-Report-on-Stormwater-Performance-Standards-LONG_012015.pdf</t>
  </si>
  <si>
    <t>https://www.chesapeakebay.net/channel_files/19172/attach_f--draft_faq_document__template.pdf</t>
  </si>
  <si>
    <t>RunoffDepth_inPerAc</t>
  </si>
  <si>
    <t>TP_RemovalEfficiencyRR_pecent</t>
  </si>
  <si>
    <t>TP_RemovalEfficiencyST_pecent</t>
  </si>
  <si>
    <t>TN_RemovalEfficiencyRR_pecent</t>
  </si>
  <si>
    <t>TN_RemovalEfficiencyST_pecent</t>
  </si>
  <si>
    <t>TSS_RemovalEfficiencyRR_pecent</t>
  </si>
  <si>
    <t>TSS_RemovalEfficiencyST_pecent</t>
  </si>
  <si>
    <t xml:space="preserve">The BMP Removal Rate Curves shown below have been incorporated into this spreadsheet tool. </t>
  </si>
  <si>
    <t>With this approach, pollutant removal efficiencies are calculated based on the amount of runoff (runoff depth) captured per acre of impervious surface.</t>
  </si>
  <si>
    <t>Existing BMP Load Reduction Calculation Table</t>
  </si>
  <si>
    <t>INSTRUCTIONS TO MUNICIPALITY: Each row in the table below should represent a different BMP drainage area. Choose the dominant land use draining to the BMP.</t>
  </si>
  <si>
    <t xml:space="preserve">If a BMP has multiple land uses in the drainage area, these drainage areas should be represented on a subsequent row with the same BMP name. The treatment depth should be the same for a given BMP (even if it has multiple drainage areas). </t>
  </si>
  <si>
    <t xml:space="preserve">If one of the drainage areas to the same BMP has NO impervious cover, use the Manual Override column to type in the treatment depth (in/imp. ac) of the primary drainage area containing impervious cover. </t>
  </si>
  <si>
    <t>The examples below show the various options and should be deleted before tallying reductions. Notice one example demonstrates when a drainage area covers two land uses (see row 15 and 16).</t>
  </si>
  <si>
    <t>BMP_name</t>
  </si>
  <si>
    <t>BMP_type</t>
  </si>
  <si>
    <t>yearInstalled</t>
  </si>
  <si>
    <t>drainageLandCoverClass</t>
  </si>
  <si>
    <t>drainageArea_ac</t>
  </si>
  <si>
    <t>treatmentDepth_in</t>
  </si>
  <si>
    <t>lengthTreatedStream_ft</t>
  </si>
  <si>
    <t>lengthTreatedRoad_ft2</t>
  </si>
  <si>
    <t>impervArea_ac</t>
  </si>
  <si>
    <t>treatmentDepthNormalized_inPerImpervAc</t>
  </si>
  <si>
    <t>treatmentDepthNormalizedManual_inPerImpervAc</t>
  </si>
  <si>
    <t>treatmentDepthNormalizedEffective_inPerImpervAc</t>
  </si>
  <si>
    <t>impervFraction_percent</t>
  </si>
  <si>
    <t>TSS_Load_lbPerY</t>
  </si>
  <si>
    <t>TP_Load_lbPerY</t>
  </si>
  <si>
    <t>TN_Load_lbPerY</t>
  </si>
  <si>
    <t>TSS_ReductionEfficiency_percent</t>
  </si>
  <si>
    <t>TP_ReductionEfficiency_percent</t>
  </si>
  <si>
    <t>TN_ReductionEfficiency_percent</t>
  </si>
  <si>
    <t>TSS_Reduction_lbPerY</t>
  </si>
  <si>
    <t>TSS_Reduction_tonPerY</t>
  </si>
  <si>
    <t>TP_Reduction_lbPerY</t>
  </si>
  <si>
    <t>TN_Reduction_lbPerY</t>
  </si>
  <si>
    <t>BMP 1</t>
  </si>
  <si>
    <t>RR</t>
  </si>
  <si>
    <t>Filter BMP - Sunnybrook</t>
  </si>
  <si>
    <t>ST</t>
  </si>
  <si>
    <t>SUNNY FARM HOA BASIN RETROFIT</t>
  </si>
  <si>
    <t>BMP - Multiple DA (part 1)</t>
  </si>
  <si>
    <t>BMP - Multiple DA (part 2)</t>
  </si>
  <si>
    <t>Apple Stream Project</t>
  </si>
  <si>
    <t>Stream Restoration</t>
  </si>
  <si>
    <t>AppleValley Street Sweeping</t>
  </si>
  <si>
    <t>Street Sweeping</t>
  </si>
  <si>
    <t>Ld_Mixed - Upland</t>
  </si>
  <si>
    <t>Extended Sweeping</t>
  </si>
  <si>
    <t>Hd_Mixed - Upland</t>
  </si>
  <si>
    <t>BMP_class</t>
  </si>
  <si>
    <t>Project_name</t>
  </si>
  <si>
    <t>Existing?</t>
  </si>
  <si>
    <t>Existing</t>
  </si>
  <si>
    <t>Sector</t>
  </si>
  <si>
    <t>Urban</t>
  </si>
  <si>
    <t>lengthTreatedRoad_ft</t>
  </si>
  <si>
    <t>Name</t>
  </si>
  <si>
    <t>BMP Type</t>
  </si>
  <si>
    <t>Year Installed</t>
  </si>
  <si>
    <t>MapShed Land Cover of Drainage Area</t>
  </si>
  <si>
    <t>Drainage Area (ac)</t>
  </si>
  <si>
    <t>Treatment Depth (in)</t>
  </si>
  <si>
    <t>Stream Restoration* Length (ft) - Qualified projects only</t>
  </si>
  <si>
    <t>Street Sweeping* Road Length Swept (ft) - Qualified projects only</t>
  </si>
  <si>
    <t>Impervious Area (ac)</t>
  </si>
  <si>
    <t>Treatment Depth (in/imp. ac)</t>
  </si>
  <si>
    <t>Treatment Depth (in/imp. ac) Manual Override - use if no impervious area</t>
  </si>
  <si>
    <t>Effective Treatment Depth (in/imp. ac)</t>
  </si>
  <si>
    <t>Impervious (%)</t>
  </si>
  <si>
    <t>TSS Load (lbs/yr)</t>
  </si>
  <si>
    <t>TP Load (lbs/yr)</t>
  </si>
  <si>
    <t>TN Load (lbs/yr)</t>
  </si>
  <si>
    <t>TSS Reduction (%)</t>
  </si>
  <si>
    <t>TP Reduction (%)</t>
  </si>
  <si>
    <t>TN Reduction (%)</t>
  </si>
  <si>
    <t>TSS Reduction (lbs/yr)</t>
  </si>
  <si>
    <t>TSS Reduction (tons/yr)</t>
  </si>
  <si>
    <t>TP Reduction (lbs/yr)</t>
  </si>
  <si>
    <t>TN Reduction (lbs/yr)</t>
  </si>
  <si>
    <t>MUNICIPALITY: TO ENTER BMP DATA IN THE ORANGE HIGHLIGHTED CELLS</t>
  </si>
  <si>
    <t>Watershed: XXXXXXXXXX</t>
  </si>
  <si>
    <t>Municipality: XXXXXX</t>
  </si>
  <si>
    <t>* See Instructions tab for what qualifies for stream restoration and street sweeping.</t>
  </si>
  <si>
    <t>Project Area 1</t>
  </si>
  <si>
    <t>Project Area 1 w/ Anthony's formulas</t>
  </si>
  <si>
    <t>Project Area 2</t>
  </si>
  <si>
    <t>Area of Interest 3</t>
  </si>
  <si>
    <t>Md_Mixed - Upland</t>
  </si>
  <si>
    <t>Ld_Residential - Upland</t>
  </si>
  <si>
    <t>Md_Residential - Upland</t>
  </si>
  <si>
    <t>Hd_Residential - Upland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</si>
</sst>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_(* #,##0_);_(* \(#,##0\);_(* &quot;-&quot;??_);_(@_)"/>
    <numFmt numFmtId="166" formatCode="#,##0.00000"/>
    <numFmt numFmtId="167" formatCode="_(* #,##0.0_);_(* \(#,##0.0\);_(* &quot;-&quot;??_);_(@_)"/>
    <numFmt numFmtId="168" formatCode="0.0000"/>
    <numFmt numFmtId="169" formatCode="0.000"/>
    <numFmt numFmtId="170" formatCode="0.0%"/>
    <numFmt numFmtId="171" formatCode="0.0"/>
  </numFmts>
  <fonts count="7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i/>
      <sz val="10"/>
      <color theme="1"/>
      <name val="Arial"/>
      <family val="2"/>
    </font>
    <font>
      <sz val="10"/>
      <name val="Arial"/>
      <family val="2"/>
    </font>
    <font>
      <sz val="6"/>
      <color theme="1"/>
      <name val="Arial"/>
      <family val="2"/>
    </font>
    <font>
      <b/>
      <sz val="10"/>
      <name val="Arial"/>
      <family val="2"/>
    </font>
    <font>
      <b/>
      <sz val="12"/>
      <color theme="1"/>
      <name val="Arial"/>
      <family val="2"/>
    </font>
    <font>
      <b/>
      <sz val="14"/>
      <color theme="1"/>
      <name val="Arial"/>
      <family val="2"/>
    </font>
    <font>
      <u/>
      <sz val="10"/>
      <color theme="1"/>
      <name val="Arial"/>
      <family val="2"/>
    </font>
    <font>
      <sz val="10"/>
      <color rgb="FFC00000"/>
      <name val="Arial"/>
      <family val="2"/>
    </font>
    <font>
      <b/>
      <sz val="11"/>
      <color theme="1"/>
      <name val="Arial"/>
      <family val="2"/>
    </font>
    <font>
      <sz val="14"/>
      <color theme="1"/>
      <name val="Arial"/>
      <family val="2"/>
    </font>
    <font>
      <sz val="9"/>
      <color theme="1"/>
      <name val="Arial"/>
      <family val="2"/>
    </font>
    <font>
      <sz val="12"/>
      <color theme="1"/>
      <name val="Arial"/>
      <family val="2"/>
    </font>
    <font>
      <b/>
      <i/>
      <sz val="10"/>
      <color theme="1"/>
      <name val="Arial"/>
      <family val="2"/>
    </font>
    <font>
      <b/>
      <u/>
      <sz val="12"/>
      <color theme="1"/>
      <name val="Arial"/>
      <family val="2"/>
    </font>
    <font>
      <b/>
      <i/>
      <sz val="12"/>
      <color theme="1"/>
      <name val="Arial"/>
      <family val="2"/>
    </font>
    <font>
      <b/>
      <sz val="9"/>
      <color theme="1"/>
      <name val="Arial"/>
      <family val="2"/>
    </font>
    <font>
      <b/>
      <sz val="14"/>
      <color theme="1"/>
      <name val="Calibri"/>
      <family val="2"/>
      <scheme val="minor"/>
    </font>
    <font>
      <sz val="8.5"/>
      <color theme="1"/>
      <name val="Arial"/>
      <family val="2"/>
    </font>
    <font>
      <b/>
      <sz val="10"/>
      <color theme="1"/>
      <name val="Calibri"/>
      <family val="2"/>
    </font>
    <font>
      <sz val="9"/>
      <name val="Arial"/>
      <family val="2"/>
    </font>
    <font>
      <b/>
      <sz val="9.5"/>
      <name val="Arial"/>
      <family val="2"/>
    </font>
    <font>
      <sz val="9.5"/>
      <color theme="1"/>
      <name val="Arial"/>
      <family val="2"/>
    </font>
    <font>
      <sz val="8"/>
      <color theme="1"/>
      <name val="Arial"/>
      <family val="2"/>
    </font>
    <font>
      <sz val="7.5"/>
      <color theme="1"/>
      <name val="Arial"/>
      <family val="2"/>
    </font>
    <font>
      <i/>
      <sz val="11"/>
      <color theme="1"/>
      <name val="Calibri"/>
      <family val="2"/>
      <scheme val="minor"/>
    </font>
    <font>
      <b/>
      <i/>
      <sz val="12"/>
      <color theme="1"/>
      <name val="Calibri"/>
      <family val="2"/>
      <scheme val="minor"/>
    </font>
    <font>
      <b/>
      <i/>
      <sz val="11"/>
      <color theme="1"/>
      <name val="Calibri"/>
      <family val="2"/>
      <scheme val="minor"/>
    </font>
    <font>
      <sz val="8"/>
      <name val="Calibri"/>
      <family val="2"/>
      <scheme val="minor"/>
    </font>
    <font>
      <sz val="11"/>
      <color theme="1"/>
      <name val="Calibri"/>
      <family val="2"/>
    </font>
    <font>
      <b/>
      <sz val="11"/>
      <color rgb="FF000000"/>
      <name val="Calibri"/>
      <family val="2"/>
    </font>
    <font>
      <sz val="11"/>
      <color rgb="FFFF0000"/>
      <name val="Calibri"/>
      <family val="2"/>
    </font>
    <font>
      <i/>
      <sz val="11"/>
      <color rgb="FF000000"/>
      <name val="Calibri"/>
      <family val="2"/>
    </font>
    <font>
      <b/>
      <sz val="11"/>
      <name val="Calibri"/>
      <family val="2"/>
    </font>
    <font>
      <sz val="11"/>
      <name val="Calibri"/>
      <family val="2"/>
    </font>
    <font>
      <b/>
      <sz val="11"/>
      <color rgb="FFFF0000"/>
      <name val="Calibri"/>
      <family val="2"/>
    </font>
    <font>
      <b/>
      <sz val="11"/>
      <color rgb="FF008A3E"/>
      <name val="Calibri"/>
      <family val="2"/>
    </font>
    <font>
      <sz val="10"/>
      <color rgb="FFFF0000"/>
      <name val="Arial"/>
      <family val="2"/>
    </font>
    <font>
      <i/>
      <sz val="11"/>
      <color rgb="FFFF0000"/>
      <name val="Calibri"/>
      <family val="2"/>
      <scheme val="minor"/>
    </font>
    <font>
      <sz val="14"/>
      <color rgb="FF000000"/>
      <name val="Calibri"/>
      <family val="2"/>
    </font>
    <font>
      <sz val="12"/>
      <color rgb="FF000000"/>
      <name val="Calibri"/>
      <family val="2"/>
    </font>
    <font>
      <sz val="11"/>
      <color rgb="FF000000"/>
      <name val="Calibri"/>
      <family val="2"/>
    </font>
    <font>
      <i/>
      <sz val="11"/>
      <color theme="1"/>
      <name val="Calibri"/>
      <family val="2"/>
    </font>
    <font>
      <b/>
      <i/>
      <sz val="11"/>
      <color theme="1"/>
      <name val="Calibri"/>
      <family val="2"/>
    </font>
    <font>
      <i/>
      <sz val="11"/>
      <color theme="3" tint="0.39997558519241921"/>
      <name val="Calibri"/>
      <family val="2"/>
    </font>
    <font>
      <b/>
      <sz val="10"/>
      <color rgb="FFFF0000"/>
      <name val="Arial"/>
      <family val="2"/>
    </font>
    <font>
      <sz val="18"/>
      <color rgb="FFFF0000"/>
      <name val="Calibri"/>
      <family val="2"/>
      <scheme val="minor"/>
    </font>
    <font>
      <b/>
      <sz val="11"/>
      <color rgb="FFFF0000"/>
      <name val="Calibri"/>
      <family val="2"/>
      <scheme val="minor"/>
    </font>
    <font>
      <u/>
      <sz val="11"/>
      <color theme="10"/>
      <name val="Calibri"/>
      <family val="2"/>
      <scheme val="minor"/>
    </font>
    <font>
      <sz val="11"/>
      <color rgb="FF0070C0"/>
      <name val="Calibri"/>
      <family val="2"/>
      <scheme val="minor"/>
    </font>
    <font>
      <b/>
      <sz val="11"/>
      <color theme="1"/>
      <name val="Calibri"/>
      <family val="2"/>
    </font>
    <font>
      <b/>
      <sz val="16"/>
      <color theme="1"/>
      <name val="Calibri"/>
      <family val="2"/>
      <scheme val="minor"/>
    </font>
    <font>
      <b/>
      <sz val="11"/>
      <color theme="4" tint="-0.249977111117893"/>
      <name val="Calibri"/>
      <family val="2"/>
      <scheme val="minor"/>
    </font>
    <font>
      <sz val="16"/>
      <color theme="1"/>
      <name val="Calibri"/>
      <family val="2"/>
      <scheme val="minor"/>
    </font>
    <font>
      <sz val="10"/>
      <color rgb="FF000000"/>
      <name val="Tahoma"/>
      <family val="2"/>
    </font>
    <font>
      <b/>
      <sz val="10"/>
      <color rgb="FF000000"/>
      <name val="Tahoma"/>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rgb="FF000000"/>
        <bgColor rgb="FF000000"/>
      </patternFill>
    </fill>
    <fill>
      <patternFill patternType="solid">
        <fgColor rgb="FF92D050"/>
        <bgColor rgb="FF000000"/>
      </patternFill>
    </fill>
    <fill>
      <patternFill patternType="solid">
        <fgColor rgb="FFDCE6F1"/>
        <bgColor rgb="FF000000"/>
      </patternFill>
    </fill>
    <fill>
      <patternFill patternType="solid">
        <fgColor rgb="FF92D050"/>
        <bgColor indexed="64"/>
      </patternFill>
    </fill>
    <fill>
      <patternFill patternType="solid">
        <fgColor theme="4" tint="0.79998168889431442"/>
        <bgColor indexed="64"/>
      </patternFill>
    </fill>
    <fill>
      <patternFill patternType="solid">
        <fgColor theme="7"/>
        <bgColor indexed="64"/>
      </patternFill>
    </fill>
    <fill>
      <patternFill patternType="solid">
        <fgColor rgb="FFFFC00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bgColor theme="4"/>
      </patternFill>
    </fill>
    <fill>
      <patternFill patternType="solid">
        <fgColor rgb="FFFFFF00"/>
        <bgColor indexed="64"/>
      </patternFill>
    </fill>
  </fills>
  <borders count="8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style="thin">
        <color theme="1" tint="0.24994659260841701"/>
      </right>
      <top/>
      <bottom/>
      <diagonal/>
    </border>
    <border>
      <left/>
      <right/>
      <top/>
      <bottom style="thin">
        <color theme="1" tint="0.24994659260841701"/>
      </bottom>
      <diagonal/>
    </border>
    <border>
      <left/>
      <right style="thin">
        <color theme="1" tint="0.24994659260841701"/>
      </right>
      <top/>
      <bottom style="thin">
        <color theme="1" tint="0.24994659260841701"/>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
      <left style="thin">
        <color theme="1" tint="0.24994659260841701"/>
      </left>
      <right/>
      <top style="thin">
        <color theme="1" tint="0.24994659260841701"/>
      </top>
      <bottom/>
      <diagonal/>
    </border>
    <border>
      <left style="thin">
        <color theme="1" tint="0.24994659260841701"/>
      </left>
      <right/>
      <top/>
      <bottom/>
      <diagonal/>
    </border>
    <border>
      <left style="thin">
        <color theme="1" tint="0.24994659260841701"/>
      </left>
      <right/>
      <top/>
      <bottom style="thin">
        <color theme="1" tint="0.24994659260841701"/>
      </bottom>
      <diagonal/>
    </border>
    <border>
      <left/>
      <right/>
      <top style="thin">
        <color theme="1" tint="0.24994659260841701"/>
      </top>
      <bottom/>
      <diagonal/>
    </border>
    <border>
      <left/>
      <right style="thin">
        <color theme="1" tint="0.24994659260841701"/>
      </right>
      <top style="thin">
        <color theme="1" tint="0.24994659260841701"/>
      </top>
      <bottom/>
      <diagonal/>
    </border>
    <border>
      <left style="thin">
        <color theme="1" tint="0.24994659260841701"/>
      </left>
      <right style="thin">
        <color theme="1" tint="0.24994659260841701"/>
      </right>
      <top style="thin">
        <color theme="1" tint="0.24994659260841701"/>
      </top>
      <bottom/>
      <diagonal/>
    </border>
    <border>
      <left style="thin">
        <color theme="1" tint="0.24994659260841701"/>
      </left>
      <right style="thin">
        <color theme="1" tint="0.24994659260841701"/>
      </right>
      <top/>
      <bottom/>
      <diagonal/>
    </border>
    <border>
      <left/>
      <right/>
      <top/>
      <bottom style="thin">
        <color auto="1"/>
      </bottom>
      <diagonal/>
    </border>
    <border>
      <left/>
      <right/>
      <top style="thin">
        <color auto="1"/>
      </top>
      <bottom style="medium">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medium">
        <color auto="1"/>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theme="1" tint="0.24994659260841701"/>
      </left>
      <right/>
      <top/>
      <bottom style="thin">
        <color auto="1"/>
      </bottom>
      <diagonal/>
    </border>
    <border>
      <left/>
      <right style="thin">
        <color theme="1" tint="0.24994659260841701"/>
      </right>
      <top/>
      <bottom style="medium">
        <color auto="1"/>
      </bottom>
      <diagonal/>
    </border>
    <border>
      <left style="thin">
        <color theme="1" tint="0.24994659260841701"/>
      </left>
      <right/>
      <top/>
      <bottom style="medium">
        <color auto="1"/>
      </bottom>
      <diagonal/>
    </border>
    <border>
      <left style="thin">
        <color theme="1" tint="0.24994659260841701"/>
      </left>
      <right style="thin">
        <color theme="1" tint="0.24994659260841701"/>
      </right>
      <top/>
      <bottom style="medium">
        <color auto="1"/>
      </bottom>
      <diagonal/>
    </border>
    <border>
      <left style="medium">
        <color auto="1"/>
      </left>
      <right/>
      <top style="thin">
        <color auto="1"/>
      </top>
      <bottom style="medium">
        <color auto="1"/>
      </bottom>
      <diagonal/>
    </border>
    <border>
      <left style="medium">
        <color auto="1"/>
      </left>
      <right style="medium">
        <color auto="1"/>
      </right>
      <top style="medium">
        <color auto="1"/>
      </top>
      <bottom style="thin">
        <color theme="1" tint="0.24994659260841701"/>
      </bottom>
      <diagonal/>
    </border>
    <border>
      <left style="medium">
        <color auto="1"/>
      </left>
      <right style="medium">
        <color auto="1"/>
      </right>
      <top style="thin">
        <color theme="1" tint="0.24994659260841701"/>
      </top>
      <bottom style="thin">
        <color theme="1" tint="0.24994659260841701"/>
      </bottom>
      <diagonal/>
    </border>
    <border>
      <left style="medium">
        <color auto="1"/>
      </left>
      <right style="medium">
        <color auto="1"/>
      </right>
      <top style="thin">
        <color theme="1" tint="0.24994659260841701"/>
      </top>
      <bottom/>
      <diagonal/>
    </border>
    <border>
      <left/>
      <right style="thin">
        <color auto="1"/>
      </right>
      <top style="medium">
        <color auto="1"/>
      </top>
      <bottom style="thin">
        <color auto="1"/>
      </bottom>
      <diagonal/>
    </border>
    <border>
      <left/>
      <right style="medium">
        <color auto="1"/>
      </right>
      <top style="thin">
        <color auto="1"/>
      </top>
      <bottom style="medium">
        <color auto="1"/>
      </bottom>
      <diagonal/>
    </border>
    <border>
      <left/>
      <right style="thin">
        <color auto="1"/>
      </right>
      <top/>
      <bottom style="medium">
        <color auto="1"/>
      </bottom>
      <diagonal/>
    </border>
    <border>
      <left style="dashDot">
        <color theme="1" tint="0.24994659260841701"/>
      </left>
      <right style="dashDot">
        <color theme="1" tint="0.24994659260841701"/>
      </right>
      <top style="dashDot">
        <color theme="1" tint="0.24994659260841701"/>
      </top>
      <bottom style="thin">
        <color theme="1" tint="0.24994659260841701"/>
      </bottom>
      <diagonal/>
    </border>
    <border>
      <left style="dashDot">
        <color theme="1" tint="0.24994659260841701"/>
      </left>
      <right style="dashDot">
        <color theme="1" tint="0.24994659260841701"/>
      </right>
      <top style="thin">
        <color theme="1" tint="0.24994659260841701"/>
      </top>
      <bottom style="thin">
        <color theme="1" tint="0.24994659260841701"/>
      </bottom>
      <diagonal/>
    </border>
    <border>
      <left style="dashDot">
        <color theme="1" tint="0.24994659260841701"/>
      </left>
      <right style="dashDot">
        <color theme="1" tint="0.24994659260841701"/>
      </right>
      <top/>
      <bottom/>
      <diagonal/>
    </border>
    <border>
      <left style="dashDot">
        <color theme="1" tint="0.24994659260841701"/>
      </left>
      <right style="dashDot">
        <color theme="1" tint="0.24994659260841701"/>
      </right>
      <top/>
      <bottom style="dashDot">
        <color theme="1" tint="0.24994659260841701"/>
      </bottom>
      <diagonal/>
    </border>
    <border>
      <left style="dashDot">
        <color theme="1" tint="0.24994659260841701"/>
      </left>
      <right style="dashDot">
        <color theme="1" tint="0.24994659260841701"/>
      </right>
      <top style="thin">
        <color theme="1" tint="0.24994659260841701"/>
      </top>
      <bottom/>
      <diagonal/>
    </border>
    <border>
      <left style="dashDot">
        <color theme="1" tint="0.24994659260841701"/>
      </left>
      <right style="dashDot">
        <color theme="1" tint="0.24994659260841701"/>
      </right>
      <top style="thin">
        <color auto="1"/>
      </top>
      <bottom/>
      <diagonal/>
    </border>
    <border>
      <left style="thin">
        <color theme="1" tint="0.24994659260841701"/>
      </left>
      <right style="thin">
        <color auto="1"/>
      </right>
      <top style="thin">
        <color auto="1"/>
      </top>
      <bottom/>
      <diagonal/>
    </border>
    <border>
      <left style="thin">
        <color theme="1" tint="0.24994659260841701"/>
      </left>
      <right style="thin">
        <color auto="1"/>
      </right>
      <top/>
      <bottom/>
      <diagonal/>
    </border>
    <border>
      <left style="thin">
        <color theme="1" tint="0.24994659260841701"/>
      </left>
      <right style="thin">
        <color auto="1"/>
      </right>
      <top/>
      <bottom style="thin">
        <color auto="1"/>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auto="1"/>
      </top>
      <bottom style="medium">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ck">
        <color auto="1"/>
      </left>
      <right/>
      <top style="thick">
        <color auto="1"/>
      </top>
      <bottom style="thin">
        <color theme="4" tint="0.39997558519241921"/>
      </bottom>
      <diagonal/>
    </border>
    <border>
      <left style="thick">
        <color auto="1"/>
      </left>
      <right/>
      <top style="thin">
        <color theme="4" tint="0.39997558519241921"/>
      </top>
      <bottom style="thin">
        <color theme="4" tint="0.39997558519241921"/>
      </bottom>
      <diagonal/>
    </border>
    <border>
      <left style="thick">
        <color auto="1"/>
      </left>
      <right/>
      <top style="thin">
        <color theme="4" tint="0.39997558519241921"/>
      </top>
      <bottom style="thick">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21" fillId="0" borderId="0"/>
    <xf numFmtId="9" fontId="21" fillId="0" borderId="0" applyFont="0" applyFill="0" applyBorder="0" applyAlignment="0" applyProtection="0"/>
    <xf numFmtId="0" fontId="67" fillId="0" borderId="0" applyNumberFormat="0" applyFill="0" applyBorder="0" applyAlignment="0" applyProtection="0"/>
  </cellStyleXfs>
  <cellXfs count="501">
    <xf numFmtId="0" fontId="0" fillId="0" borderId="0" xfId="0"/>
    <xf numFmtId="0" fontId="18" fillId="0" borderId="0" xfId="0" applyFont="1"/>
    <xf numFmtId="4" fontId="18" fillId="0" borderId="13" xfId="0" applyNumberFormat="1" applyFont="1" applyFill="1" applyBorder="1"/>
    <xf numFmtId="4" fontId="18" fillId="0" borderId="14" xfId="0" applyNumberFormat="1" applyFont="1" applyFill="1" applyBorder="1"/>
    <xf numFmtId="0" fontId="18" fillId="0" borderId="0" xfId="0" applyFont="1" applyFill="1"/>
    <xf numFmtId="0" fontId="19" fillId="0" borderId="0" xfId="0" applyFont="1" applyAlignment="1">
      <alignment horizontal="right"/>
    </xf>
    <xf numFmtId="0" fontId="19" fillId="0" borderId="0" xfId="0" applyFont="1" applyFill="1" applyAlignment="1">
      <alignment horizontal="right"/>
    </xf>
    <xf numFmtId="164" fontId="18" fillId="0" borderId="0" xfId="0" applyNumberFormat="1" applyFont="1" applyFill="1" applyBorder="1"/>
    <xf numFmtId="0" fontId="19" fillId="0" borderId="0" xfId="0" applyFont="1" applyBorder="1" applyAlignment="1">
      <alignment horizontal="center"/>
    </xf>
    <xf numFmtId="0" fontId="18" fillId="0" borderId="0" xfId="0" applyFont="1" applyAlignment="1">
      <alignment wrapText="1"/>
    </xf>
    <xf numFmtId="164" fontId="21" fillId="0" borderId="0" xfId="0" applyNumberFormat="1" applyFont="1" applyFill="1" applyBorder="1"/>
    <xf numFmtId="4" fontId="21" fillId="0" borderId="0" xfId="0" applyNumberFormat="1" applyFont="1" applyFill="1" applyBorder="1"/>
    <xf numFmtId="0" fontId="18" fillId="0" borderId="0" xfId="0" applyFont="1" applyBorder="1" applyAlignment="1">
      <alignment wrapText="1"/>
    </xf>
    <xf numFmtId="0" fontId="18" fillId="0" borderId="0" xfId="0" applyFont="1" applyBorder="1"/>
    <xf numFmtId="0" fontId="19" fillId="0" borderId="20" xfId="0" applyFont="1" applyFill="1" applyBorder="1" applyAlignment="1">
      <alignment horizontal="center" wrapText="1"/>
    </xf>
    <xf numFmtId="0" fontId="19" fillId="0" borderId="21" xfId="0" applyFont="1" applyFill="1" applyBorder="1" applyAlignment="1">
      <alignment horizontal="center" wrapText="1"/>
    </xf>
    <xf numFmtId="0" fontId="20" fillId="0" borderId="19" xfId="0" applyFont="1" applyFill="1" applyBorder="1" applyAlignment="1">
      <alignment horizontal="center" vertical="center" wrapText="1"/>
    </xf>
    <xf numFmtId="0" fontId="20" fillId="0" borderId="20" xfId="0" applyFont="1" applyFill="1" applyBorder="1" applyAlignment="1">
      <alignment horizontal="center" vertical="center" wrapText="1"/>
    </xf>
    <xf numFmtId="0" fontId="20" fillId="0" borderId="21" xfId="0" applyFont="1" applyFill="1" applyBorder="1" applyAlignment="1">
      <alignment horizontal="center" vertical="center" wrapText="1"/>
    </xf>
    <xf numFmtId="0" fontId="20" fillId="0" borderId="15" xfId="0" applyFont="1" applyFill="1" applyBorder="1" applyAlignment="1">
      <alignment vertical="center" wrapText="1"/>
    </xf>
    <xf numFmtId="0" fontId="20" fillId="0" borderId="23" xfId="0" applyFont="1" applyFill="1" applyBorder="1" applyAlignment="1">
      <alignment vertical="center" wrapText="1"/>
    </xf>
    <xf numFmtId="0" fontId="20" fillId="0" borderId="22" xfId="0" applyFont="1" applyFill="1" applyBorder="1" applyAlignment="1">
      <alignment horizontal="center" vertical="center" wrapText="1"/>
    </xf>
    <xf numFmtId="0" fontId="20" fillId="0" borderId="25" xfId="0" applyFont="1" applyFill="1" applyBorder="1" applyAlignment="1">
      <alignment horizontal="center" vertical="center" wrapText="1"/>
    </xf>
    <xf numFmtId="0" fontId="20" fillId="0" borderId="26" xfId="0" applyFont="1" applyFill="1" applyBorder="1" applyAlignment="1">
      <alignment horizontal="center" vertical="center" wrapText="1"/>
    </xf>
    <xf numFmtId="0" fontId="18" fillId="0" borderId="20" xfId="0" applyFont="1" applyBorder="1"/>
    <xf numFmtId="0" fontId="18" fillId="0" borderId="25" xfId="0" applyFont="1" applyBorder="1"/>
    <xf numFmtId="0" fontId="18" fillId="0" borderId="28" xfId="0" applyFont="1" applyFill="1" applyBorder="1"/>
    <xf numFmtId="0" fontId="19" fillId="0" borderId="15" xfId="0" applyFont="1" applyFill="1" applyBorder="1" applyAlignment="1">
      <alignment wrapText="1"/>
    </xf>
    <xf numFmtId="164" fontId="18" fillId="0" borderId="19" xfId="0" applyNumberFormat="1" applyFont="1" applyFill="1" applyBorder="1"/>
    <xf numFmtId="164" fontId="18" fillId="0" borderId="20" xfId="0" applyNumberFormat="1" applyFont="1" applyFill="1" applyBorder="1"/>
    <xf numFmtId="0" fontId="18" fillId="0" borderId="26" xfId="0" applyFont="1" applyBorder="1"/>
    <xf numFmtId="0" fontId="18" fillId="0" borderId="17" xfId="0" applyFont="1" applyBorder="1" applyAlignment="1">
      <alignment horizontal="center" wrapText="1"/>
    </xf>
    <xf numFmtId="4" fontId="21" fillId="34" borderId="25" xfId="0" applyNumberFormat="1" applyFont="1" applyFill="1" applyBorder="1" applyAlignment="1">
      <alignment horizontal="right" indent="1"/>
    </xf>
    <xf numFmtId="4" fontId="21" fillId="0" borderId="0" xfId="0" applyNumberFormat="1" applyFont="1" applyBorder="1" applyAlignment="1">
      <alignment horizontal="right" indent="1"/>
    </xf>
    <xf numFmtId="0" fontId="22" fillId="0" borderId="20" xfId="0" quotePrefix="1" applyFont="1" applyBorder="1" applyAlignment="1">
      <alignment vertical="center" wrapText="1"/>
    </xf>
    <xf numFmtId="0" fontId="20" fillId="0" borderId="19" xfId="0" applyFont="1" applyFill="1" applyBorder="1" applyAlignment="1">
      <alignment vertical="center" wrapText="1"/>
    </xf>
    <xf numFmtId="164" fontId="21" fillId="0" borderId="23" xfId="0" applyNumberFormat="1" applyFont="1" applyBorder="1"/>
    <xf numFmtId="164" fontId="21" fillId="34" borderId="23" xfId="0" applyNumberFormat="1" applyFont="1" applyFill="1" applyBorder="1"/>
    <xf numFmtId="0" fontId="19" fillId="0" borderId="0" xfId="0" applyFont="1"/>
    <xf numFmtId="0" fontId="24" fillId="0" borderId="0" xfId="0" applyFont="1"/>
    <xf numFmtId="0" fontId="27" fillId="0" borderId="0" xfId="0" applyFont="1"/>
    <xf numFmtId="3" fontId="18" fillId="0" borderId="0" xfId="0" applyNumberFormat="1" applyFont="1"/>
    <xf numFmtId="4" fontId="27" fillId="0" borderId="0" xfId="0" applyNumberFormat="1" applyFont="1" applyFill="1" applyBorder="1" applyAlignment="1">
      <alignment wrapText="1"/>
    </xf>
    <xf numFmtId="3" fontId="27" fillId="0" borderId="0" xfId="0" applyNumberFormat="1" applyFont="1"/>
    <xf numFmtId="4" fontId="19" fillId="0" borderId="0" xfId="0" applyNumberFormat="1" applyFont="1" applyFill="1" applyBorder="1" applyAlignment="1">
      <alignment wrapText="1"/>
    </xf>
    <xf numFmtId="0" fontId="18" fillId="0" borderId="29" xfId="0" applyFont="1" applyBorder="1"/>
    <xf numFmtId="9" fontId="18" fillId="0" borderId="0" xfId="0" applyNumberFormat="1" applyFont="1"/>
    <xf numFmtId="9" fontId="18" fillId="0" borderId="0" xfId="43" applyFont="1"/>
    <xf numFmtId="0" fontId="18" fillId="0" borderId="0" xfId="0" quotePrefix="1" applyFont="1"/>
    <xf numFmtId="165" fontId="18" fillId="0" borderId="0" xfId="42" applyNumberFormat="1" applyFont="1"/>
    <xf numFmtId="165" fontId="18" fillId="0" borderId="0" xfId="0" applyNumberFormat="1" applyFont="1"/>
    <xf numFmtId="165" fontId="27" fillId="0" borderId="0" xfId="0" applyNumberFormat="1" applyFont="1"/>
    <xf numFmtId="0" fontId="24" fillId="0" borderId="0" xfId="0" applyFont="1" applyAlignment="1">
      <alignment horizontal="left"/>
    </xf>
    <xf numFmtId="0" fontId="19" fillId="0" borderId="29" xfId="0" applyFont="1" applyBorder="1"/>
    <xf numFmtId="4" fontId="21" fillId="0" borderId="23" xfId="0" applyNumberFormat="1" applyFont="1" applyBorder="1"/>
    <xf numFmtId="4" fontId="21" fillId="34" borderId="23" xfId="0" applyNumberFormat="1" applyFont="1" applyFill="1" applyBorder="1"/>
    <xf numFmtId="0" fontId="21" fillId="0" borderId="0" xfId="0" applyFont="1"/>
    <xf numFmtId="4" fontId="19" fillId="0" borderId="29" xfId="0" applyNumberFormat="1" applyFont="1" applyBorder="1" applyAlignment="1">
      <alignment wrapText="1"/>
    </xf>
    <xf numFmtId="4" fontId="19" fillId="0" borderId="29" xfId="0" applyNumberFormat="1" applyFont="1" applyBorder="1" applyAlignment="1">
      <alignment horizontal="right" wrapText="1"/>
    </xf>
    <xf numFmtId="4" fontId="21" fillId="0" borderId="0" xfId="0" applyNumberFormat="1" applyFont="1" applyFill="1" applyBorder="1" applyAlignment="1">
      <alignment wrapText="1"/>
    </xf>
    <xf numFmtId="0" fontId="18" fillId="0" borderId="0" xfId="0" applyFont="1" applyAlignment="1">
      <alignment horizontal="left" wrapText="1"/>
    </xf>
    <xf numFmtId="0" fontId="18" fillId="0" borderId="0" xfId="0" applyFont="1" applyAlignment="1">
      <alignment horizontal="left" indent="1"/>
    </xf>
    <xf numFmtId="0" fontId="21" fillId="0" borderId="0" xfId="0" applyFont="1" applyFill="1" applyBorder="1"/>
    <xf numFmtId="9" fontId="18" fillId="0" borderId="0" xfId="43" applyFont="1" applyAlignment="1">
      <alignment horizontal="right" indent="1"/>
    </xf>
    <xf numFmtId="3" fontId="21" fillId="0" borderId="0" xfId="0" applyNumberFormat="1" applyFont="1" applyAlignment="1">
      <alignment horizontal="right" indent="2"/>
    </xf>
    <xf numFmtId="0" fontId="27" fillId="0" borderId="0" xfId="0" applyFont="1" applyBorder="1" applyAlignment="1">
      <alignment wrapText="1"/>
    </xf>
    <xf numFmtId="0" fontId="20" fillId="0" borderId="29" xfId="0" applyFont="1" applyBorder="1" applyAlignment="1">
      <alignment horizontal="center"/>
    </xf>
    <xf numFmtId="0" fontId="21" fillId="0" borderId="29" xfId="0" applyFont="1" applyBorder="1"/>
    <xf numFmtId="0" fontId="19" fillId="0" borderId="0" xfId="0" applyFont="1" applyAlignment="1">
      <alignment wrapText="1"/>
    </xf>
    <xf numFmtId="0" fontId="18" fillId="0" borderId="0" xfId="0" applyFont="1" applyAlignment="1">
      <alignment vertical="top" wrapText="1"/>
    </xf>
    <xf numFmtId="0" fontId="19" fillId="0" borderId="29" xfId="0" applyFont="1" applyBorder="1" applyAlignment="1">
      <alignment horizontal="center" wrapText="1"/>
    </xf>
    <xf numFmtId="164" fontId="21" fillId="34" borderId="23" xfId="0" quotePrefix="1" applyNumberFormat="1" applyFont="1" applyFill="1" applyBorder="1"/>
    <xf numFmtId="4" fontId="21" fillId="0" borderId="0" xfId="0" quotePrefix="1" applyNumberFormat="1" applyFont="1" applyFill="1" applyBorder="1" applyAlignment="1">
      <alignment wrapText="1"/>
    </xf>
    <xf numFmtId="164" fontId="21" fillId="0" borderId="23" xfId="0" quotePrefix="1" applyNumberFormat="1" applyFont="1" applyBorder="1"/>
    <xf numFmtId="4" fontId="21" fillId="0" borderId="0" xfId="0" applyNumberFormat="1" applyFont="1" applyBorder="1"/>
    <xf numFmtId="166" fontId="18" fillId="0" borderId="0" xfId="0" applyNumberFormat="1" applyFont="1"/>
    <xf numFmtId="4" fontId="21" fillId="34" borderId="0" xfId="0" applyNumberFormat="1" applyFont="1" applyFill="1" applyBorder="1" applyAlignment="1">
      <alignment horizontal="right" indent="2"/>
    </xf>
    <xf numFmtId="4" fontId="21" fillId="0" borderId="0" xfId="0" applyNumberFormat="1" applyFont="1" applyBorder="1" applyAlignment="1">
      <alignment horizontal="right" indent="2"/>
    </xf>
    <xf numFmtId="4" fontId="21" fillId="0" borderId="29" xfId="0" applyNumberFormat="1" applyFont="1" applyBorder="1" applyAlignment="1">
      <alignment horizontal="right" indent="2"/>
    </xf>
    <xf numFmtId="4" fontId="21" fillId="34" borderId="0" xfId="0" applyNumberFormat="1" applyFont="1" applyFill="1" applyBorder="1" applyAlignment="1">
      <alignment horizontal="right" indent="1"/>
    </xf>
    <xf numFmtId="4" fontId="21" fillId="0" borderId="17" xfId="0" applyNumberFormat="1" applyFont="1" applyBorder="1" applyAlignment="1">
      <alignment horizontal="right" indent="1"/>
    </xf>
    <xf numFmtId="0" fontId="26" fillId="0" borderId="0" xfId="0" applyFont="1"/>
    <xf numFmtId="0" fontId="28" fillId="0" borderId="0" xfId="0" quotePrefix="1" applyFont="1"/>
    <xf numFmtId="4" fontId="21" fillId="34" borderId="23" xfId="0" applyNumberFormat="1" applyFont="1" applyFill="1" applyBorder="1" applyAlignment="1">
      <alignment horizontal="right" indent="1"/>
    </xf>
    <xf numFmtId="4" fontId="21" fillId="0" borderId="23" xfId="0" applyNumberFormat="1" applyFont="1" applyBorder="1" applyAlignment="1">
      <alignment horizontal="right" indent="1"/>
    </xf>
    <xf numFmtId="0" fontId="18" fillId="0" borderId="0" xfId="0" applyFont="1" applyAlignment="1">
      <alignment vertical="center"/>
    </xf>
    <xf numFmtId="164" fontId="18" fillId="0" borderId="25" xfId="0" applyNumberFormat="1" applyFont="1" applyFill="1" applyBorder="1" applyAlignment="1">
      <alignment vertical="center"/>
    </xf>
    <xf numFmtId="0" fontId="29" fillId="0" borderId="0" xfId="0" applyFont="1"/>
    <xf numFmtId="2" fontId="18" fillId="0" borderId="0" xfId="0" applyNumberFormat="1" applyFont="1"/>
    <xf numFmtId="2" fontId="19" fillId="0" borderId="0" xfId="0" applyNumberFormat="1" applyFont="1"/>
    <xf numFmtId="4" fontId="21" fillId="0" borderId="23" xfId="0" applyNumberFormat="1" applyFont="1" applyFill="1" applyBorder="1"/>
    <xf numFmtId="0" fontId="31" fillId="0" borderId="0" xfId="0" applyFont="1"/>
    <xf numFmtId="0" fontId="30" fillId="0" borderId="0" xfId="0" applyFont="1"/>
    <xf numFmtId="0" fontId="25" fillId="0" borderId="0" xfId="0" applyFont="1"/>
    <xf numFmtId="0" fontId="25" fillId="0" borderId="0" xfId="0" applyFont="1" applyFill="1"/>
    <xf numFmtId="0" fontId="32" fillId="0" borderId="0" xfId="0" applyFont="1"/>
    <xf numFmtId="4" fontId="21" fillId="34" borderId="0" xfId="0" applyNumberFormat="1" applyFont="1" applyFill="1" applyBorder="1"/>
    <xf numFmtId="4" fontId="21" fillId="0" borderId="0" xfId="0" applyNumberFormat="1" applyFont="1"/>
    <xf numFmtId="167" fontId="18" fillId="0" borderId="0" xfId="0" applyNumberFormat="1" applyFont="1"/>
    <xf numFmtId="43" fontId="18" fillId="0" borderId="0" xfId="42" applyNumberFormat="1" applyFont="1" applyAlignment="1">
      <alignment horizontal="right"/>
    </xf>
    <xf numFmtId="43" fontId="18" fillId="0" borderId="0" xfId="0" applyNumberFormat="1" applyFont="1"/>
    <xf numFmtId="43" fontId="18" fillId="0" borderId="0" xfId="42" applyNumberFormat="1" applyFont="1"/>
    <xf numFmtId="43" fontId="21" fillId="0" borderId="0" xfId="42" applyNumberFormat="1" applyFont="1"/>
    <xf numFmtId="4" fontId="18" fillId="0" borderId="0" xfId="0" applyNumberFormat="1" applyFont="1"/>
    <xf numFmtId="43" fontId="18" fillId="0" borderId="29" xfId="0" applyNumberFormat="1" applyFont="1" applyBorder="1"/>
    <xf numFmtId="0" fontId="18" fillId="0" borderId="0" xfId="0" applyFont="1" applyAlignment="1">
      <alignment horizontal="right"/>
    </xf>
    <xf numFmtId="0" fontId="18" fillId="0" borderId="20" xfId="0" applyFont="1" applyBorder="1" applyAlignment="1">
      <alignment horizontal="right"/>
    </xf>
    <xf numFmtId="0" fontId="18" fillId="0" borderId="20" xfId="0" applyFont="1" applyBorder="1" applyAlignment="1">
      <alignment horizontal="center"/>
    </xf>
    <xf numFmtId="0" fontId="16" fillId="0" borderId="0" xfId="0" applyFont="1"/>
    <xf numFmtId="0" fontId="16" fillId="0" borderId="0" xfId="0" applyFont="1" applyAlignment="1"/>
    <xf numFmtId="0" fontId="0" fillId="0" borderId="0" xfId="0" applyAlignment="1">
      <alignment wrapText="1"/>
    </xf>
    <xf numFmtId="0" fontId="0" fillId="0" borderId="0" xfId="0" applyAlignment="1"/>
    <xf numFmtId="0" fontId="16" fillId="0" borderId="0" xfId="0" applyFont="1" applyAlignment="1">
      <alignment wrapText="1"/>
    </xf>
    <xf numFmtId="0" fontId="36" fillId="0" borderId="0" xfId="0" applyFont="1" applyAlignment="1">
      <alignment horizontal="left" wrapText="1"/>
    </xf>
    <xf numFmtId="0" fontId="19" fillId="0" borderId="23" xfId="0" applyFont="1" applyFill="1" applyBorder="1" applyAlignment="1">
      <alignment wrapText="1"/>
    </xf>
    <xf numFmtId="0" fontId="19" fillId="0" borderId="24" xfId="0" applyFont="1" applyFill="1" applyBorder="1" applyAlignment="1">
      <alignment horizontal="center" wrapText="1"/>
    </xf>
    <xf numFmtId="0" fontId="19" fillId="0" borderId="17" xfId="0" applyFont="1" applyFill="1" applyBorder="1" applyAlignment="1">
      <alignment horizontal="center" wrapText="1"/>
    </xf>
    <xf numFmtId="0" fontId="19" fillId="0" borderId="18" xfId="0" applyFont="1" applyFill="1" applyBorder="1" applyAlignment="1">
      <alignment horizontal="center" wrapText="1"/>
    </xf>
    <xf numFmtId="0" fontId="24" fillId="0" borderId="0" xfId="0" applyFont="1" applyAlignment="1">
      <alignment wrapText="1"/>
    </xf>
    <xf numFmtId="0" fontId="21" fillId="0" borderId="0" xfId="0" quotePrefix="1" applyFont="1"/>
    <xf numFmtId="4" fontId="21" fillId="34" borderId="16" xfId="0" applyNumberFormat="1" applyFont="1" applyFill="1" applyBorder="1"/>
    <xf numFmtId="4" fontId="21" fillId="34" borderId="27" xfId="0" applyNumberFormat="1" applyFont="1" applyFill="1" applyBorder="1" applyAlignment="1">
      <alignment vertical="center"/>
    </xf>
    <xf numFmtId="164" fontId="21" fillId="34" borderId="25" xfId="0" applyNumberFormat="1" applyFont="1" applyFill="1" applyBorder="1" applyAlignment="1">
      <alignment horizontal="right" vertical="center"/>
    </xf>
    <xf numFmtId="4" fontId="21" fillId="34" borderId="25" xfId="0" applyNumberFormat="1" applyFont="1" applyFill="1" applyBorder="1" applyAlignment="1">
      <alignment horizontal="right" vertical="center"/>
    </xf>
    <xf numFmtId="4" fontId="21" fillId="34" borderId="26" xfId="0" applyNumberFormat="1" applyFont="1" applyFill="1" applyBorder="1" applyAlignment="1">
      <alignment horizontal="right" vertical="center"/>
    </xf>
    <xf numFmtId="4" fontId="21" fillId="0" borderId="28" xfId="0" applyNumberFormat="1" applyFont="1" applyBorder="1" applyAlignment="1">
      <alignment vertical="center"/>
    </xf>
    <xf numFmtId="164" fontId="21" fillId="0" borderId="0" xfId="0" applyNumberFormat="1" applyFont="1" applyBorder="1" applyAlignment="1">
      <alignment horizontal="right" vertical="center"/>
    </xf>
    <xf numFmtId="4" fontId="21" fillId="0" borderId="0" xfId="0" applyNumberFormat="1" applyFont="1" applyBorder="1" applyAlignment="1">
      <alignment horizontal="right" vertical="center"/>
    </xf>
    <xf numFmtId="4" fontId="21" fillId="0" borderId="16" xfId="0" applyNumberFormat="1" applyFont="1" applyBorder="1" applyAlignment="1">
      <alignment horizontal="right" vertical="center"/>
    </xf>
    <xf numFmtId="4" fontId="21" fillId="0" borderId="29" xfId="0" applyNumberFormat="1" applyFont="1" applyBorder="1" applyAlignment="1">
      <alignment horizontal="right" indent="1"/>
    </xf>
    <xf numFmtId="4" fontId="21" fillId="0" borderId="0" xfId="0" applyNumberFormat="1" applyFont="1" applyBorder="1" applyAlignment="1">
      <alignment horizontal="center"/>
    </xf>
    <xf numFmtId="0" fontId="19" fillId="0" borderId="16" xfId="0" applyFont="1" applyBorder="1" applyAlignment="1">
      <alignment vertical="center" textRotation="90"/>
    </xf>
    <xf numFmtId="4" fontId="21" fillId="34" borderId="23" xfId="0" applyNumberFormat="1" applyFont="1" applyFill="1" applyBorder="1" applyAlignment="1">
      <alignment vertical="center"/>
    </xf>
    <xf numFmtId="0" fontId="18" fillId="0" borderId="0" xfId="0" applyFont="1" applyAlignment="1">
      <alignment vertical="center" wrapText="1"/>
    </xf>
    <xf numFmtId="0" fontId="30" fillId="0" borderId="31" xfId="0" applyFont="1" applyBorder="1" applyAlignment="1">
      <alignment vertical="top" wrapText="1"/>
    </xf>
    <xf numFmtId="0" fontId="30" fillId="0" borderId="0" xfId="0" applyFont="1" applyBorder="1" applyAlignment="1">
      <alignment vertical="top" wrapText="1"/>
    </xf>
    <xf numFmtId="4" fontId="21" fillId="34" borderId="23" xfId="0" applyNumberFormat="1" applyFont="1" applyFill="1" applyBorder="1" applyAlignment="1">
      <alignment horizontal="center"/>
    </xf>
    <xf numFmtId="4" fontId="21" fillId="0" borderId="23" xfId="0" applyNumberFormat="1" applyFont="1" applyBorder="1" applyAlignment="1">
      <alignment horizontal="center"/>
    </xf>
    <xf numFmtId="4" fontId="21" fillId="0" borderId="44" xfId="0" applyNumberFormat="1" applyFont="1" applyBorder="1" applyAlignment="1">
      <alignment vertical="center"/>
    </xf>
    <xf numFmtId="4" fontId="21" fillId="34" borderId="16" xfId="0" applyNumberFormat="1" applyFont="1" applyFill="1" applyBorder="1" applyAlignment="1">
      <alignment horizontal="left" vertical="center"/>
    </xf>
    <xf numFmtId="164" fontId="21" fillId="34" borderId="23" xfId="0" quotePrefix="1" applyNumberFormat="1" applyFont="1" applyFill="1" applyBorder="1" applyAlignment="1">
      <alignment horizontal="left" vertical="center"/>
    </xf>
    <xf numFmtId="4" fontId="21" fillId="0" borderId="0" xfId="0" quotePrefix="1" applyNumberFormat="1" applyFont="1" applyFill="1" applyBorder="1" applyAlignment="1">
      <alignment horizontal="left" vertical="center" wrapText="1"/>
    </xf>
    <xf numFmtId="164" fontId="21" fillId="0" borderId="23" xfId="0" quotePrefix="1" applyNumberFormat="1" applyFont="1" applyBorder="1" applyAlignment="1">
      <alignment horizontal="left" vertical="center"/>
    </xf>
    <xf numFmtId="164" fontId="21" fillId="0" borderId="23" xfId="0" applyNumberFormat="1" applyFont="1" applyBorder="1" applyAlignment="1">
      <alignment horizontal="left" vertical="center"/>
    </xf>
    <xf numFmtId="4" fontId="21" fillId="34" borderId="23" xfId="0" applyNumberFormat="1" applyFont="1" applyFill="1" applyBorder="1" applyAlignment="1">
      <alignment horizontal="right" vertical="center" indent="1"/>
    </xf>
    <xf numFmtId="4" fontId="21" fillId="0" borderId="23" xfId="0" applyNumberFormat="1" applyFont="1" applyBorder="1" applyAlignment="1">
      <alignment horizontal="right" vertical="center" indent="1"/>
    </xf>
    <xf numFmtId="164" fontId="21" fillId="0" borderId="23" xfId="0" applyNumberFormat="1" applyFont="1" applyBorder="1" applyAlignment="1">
      <alignment horizontal="right" vertical="center" indent="1"/>
    </xf>
    <xf numFmtId="3" fontId="18" fillId="0" borderId="0" xfId="0" applyNumberFormat="1" applyFont="1" applyAlignment="1">
      <alignment horizontal="right" indent="1"/>
    </xf>
    <xf numFmtId="4" fontId="19" fillId="0" borderId="0" xfId="0" applyNumberFormat="1" applyFont="1" applyAlignment="1">
      <alignment horizontal="right" indent="1"/>
    </xf>
    <xf numFmtId="4" fontId="21" fillId="0" borderId="16" xfId="0" applyNumberFormat="1" applyFont="1" applyBorder="1"/>
    <xf numFmtId="4" fontId="21" fillId="34" borderId="45" xfId="0" applyNumberFormat="1" applyFont="1" applyFill="1" applyBorder="1"/>
    <xf numFmtId="0" fontId="18" fillId="0" borderId="0" xfId="0" quotePrefix="1" applyFont="1" applyAlignment="1">
      <alignment wrapText="1"/>
    </xf>
    <xf numFmtId="0" fontId="18" fillId="0" borderId="10" xfId="0" applyFont="1" applyBorder="1" applyAlignment="1">
      <alignment wrapText="1"/>
    </xf>
    <xf numFmtId="43" fontId="18" fillId="0" borderId="10" xfId="42" applyNumberFormat="1" applyFont="1" applyBorder="1"/>
    <xf numFmtId="0" fontId="18" fillId="0" borderId="10" xfId="0" applyFont="1" applyBorder="1"/>
    <xf numFmtId="0" fontId="21" fillId="0" borderId="0" xfId="0" applyFont="1" applyAlignment="1">
      <alignment wrapText="1"/>
    </xf>
    <xf numFmtId="9" fontId="21" fillId="34" borderId="23" xfId="43" applyFont="1" applyFill="1" applyBorder="1" applyAlignment="1">
      <alignment horizontal="right" indent="2"/>
    </xf>
    <xf numFmtId="9" fontId="21" fillId="0" borderId="23" xfId="43" applyFont="1" applyBorder="1" applyAlignment="1">
      <alignment horizontal="right" indent="2"/>
    </xf>
    <xf numFmtId="9" fontId="21" fillId="34" borderId="23" xfId="43" applyFont="1" applyFill="1" applyBorder="1" applyAlignment="1">
      <alignment horizontal="right" indent="4"/>
    </xf>
    <xf numFmtId="9" fontId="21" fillId="0" borderId="23" xfId="43" applyFont="1" applyBorder="1" applyAlignment="1">
      <alignment horizontal="right" indent="4"/>
    </xf>
    <xf numFmtId="4" fontId="21" fillId="34" borderId="23" xfId="0" applyNumberFormat="1" applyFont="1" applyFill="1" applyBorder="1" applyAlignment="1">
      <alignment horizontal="right" indent="2"/>
    </xf>
    <xf numFmtId="4" fontId="21" fillId="0" borderId="23" xfId="0" applyNumberFormat="1" applyFont="1" applyBorder="1" applyAlignment="1">
      <alignment horizontal="right" indent="2"/>
    </xf>
    <xf numFmtId="4" fontId="18" fillId="0" borderId="0" xfId="0" applyNumberFormat="1" applyFont="1" applyAlignment="1">
      <alignment horizontal="right" indent="2"/>
    </xf>
    <xf numFmtId="4" fontId="21" fillId="34" borderId="10" xfId="0" applyNumberFormat="1" applyFont="1" applyFill="1" applyBorder="1"/>
    <xf numFmtId="4" fontId="21" fillId="34" borderId="46" xfId="0" applyNumberFormat="1" applyFont="1" applyFill="1" applyBorder="1" applyAlignment="1">
      <alignment horizontal="right" indent="2"/>
    </xf>
    <xf numFmtId="4" fontId="21" fillId="34" borderId="23" xfId="0" quotePrefix="1" applyNumberFormat="1" applyFont="1" applyFill="1" applyBorder="1"/>
    <xf numFmtId="4" fontId="21" fillId="0" borderId="23" xfId="0" quotePrefix="1" applyNumberFormat="1" applyFont="1" applyBorder="1"/>
    <xf numFmtId="0" fontId="21" fillId="0" borderId="0" xfId="0" applyFont="1" applyBorder="1" applyAlignment="1">
      <alignment wrapText="1"/>
    </xf>
    <xf numFmtId="0" fontId="18" fillId="0" borderId="29" xfId="0" applyFont="1" applyBorder="1" applyAlignment="1">
      <alignment horizontal="center" wrapText="1"/>
    </xf>
    <xf numFmtId="4" fontId="40" fillId="34" borderId="16" xfId="0" applyNumberFormat="1" applyFont="1" applyFill="1" applyBorder="1"/>
    <xf numFmtId="4" fontId="40" fillId="0" borderId="16" xfId="0" applyNumberFormat="1" applyFont="1" applyBorder="1"/>
    <xf numFmtId="0" fontId="41" fillId="0" borderId="0" xfId="0" applyFont="1"/>
    <xf numFmtId="4" fontId="21" fillId="0" borderId="44" xfId="0" applyNumberFormat="1" applyFont="1" applyBorder="1" applyAlignment="1">
      <alignment horizontal="right" vertical="center" indent="1"/>
    </xf>
    <xf numFmtId="0" fontId="19" fillId="0" borderId="0" xfId="0" applyFont="1" applyAlignment="1">
      <alignment vertical="top"/>
    </xf>
    <xf numFmtId="4" fontId="23" fillId="34" borderId="23" xfId="0" applyNumberFormat="1" applyFont="1" applyFill="1" applyBorder="1" applyAlignment="1">
      <alignment horizontal="right" vertical="center" indent="1"/>
    </xf>
    <xf numFmtId="164" fontId="23" fillId="34" borderId="23" xfId="0" applyNumberFormat="1" applyFont="1" applyFill="1" applyBorder="1" applyAlignment="1">
      <alignment horizontal="left" vertical="center"/>
    </xf>
    <xf numFmtId="4" fontId="21" fillId="0" borderId="0" xfId="0" applyNumberFormat="1" applyFont="1" applyAlignment="1">
      <alignment horizontal="right" indent="2"/>
    </xf>
    <xf numFmtId="9" fontId="21" fillId="34" borderId="47" xfId="43" applyFont="1" applyFill="1" applyBorder="1" applyAlignment="1">
      <alignment horizontal="right" indent="2"/>
    </xf>
    <xf numFmtId="9" fontId="18" fillId="0" borderId="0" xfId="43" applyFont="1" applyAlignment="1">
      <alignment horizontal="right" indent="2"/>
    </xf>
    <xf numFmtId="164" fontId="21" fillId="34" borderId="0" xfId="0" applyNumberFormat="1" applyFont="1" applyFill="1" applyBorder="1"/>
    <xf numFmtId="164" fontId="21" fillId="0" borderId="0" xfId="0" applyNumberFormat="1" applyFont="1" applyBorder="1"/>
    <xf numFmtId="4" fontId="21" fillId="34" borderId="46" xfId="0" applyNumberFormat="1" applyFont="1" applyFill="1" applyBorder="1"/>
    <xf numFmtId="9" fontId="21" fillId="34" borderId="47" xfId="43" applyFont="1" applyFill="1" applyBorder="1" applyAlignment="1">
      <alignment horizontal="right" indent="4"/>
    </xf>
    <xf numFmtId="9" fontId="18" fillId="0" borderId="0" xfId="0" applyNumberFormat="1" applyFont="1" applyAlignment="1">
      <alignment horizontal="right" indent="4"/>
    </xf>
    <xf numFmtId="0" fontId="34" fillId="0" borderId="0" xfId="0" applyFont="1"/>
    <xf numFmtId="0" fontId="18" fillId="0" borderId="0" xfId="0" applyFont="1" applyAlignment="1"/>
    <xf numFmtId="0" fontId="18" fillId="0" borderId="27" xfId="0" applyFont="1" applyBorder="1"/>
    <xf numFmtId="0" fontId="19" fillId="0" borderId="49" xfId="0" applyFont="1" applyBorder="1" applyAlignment="1">
      <alignment horizontal="center" wrapText="1"/>
    </xf>
    <xf numFmtId="4" fontId="23" fillId="0" borderId="13" xfId="0" applyNumberFormat="1" applyFont="1" applyBorder="1" applyAlignment="1">
      <alignment horizontal="right" indent="2"/>
    </xf>
    <xf numFmtId="4" fontId="23" fillId="34" borderId="13" xfId="0" applyNumberFormat="1" applyFont="1" applyFill="1" applyBorder="1" applyAlignment="1">
      <alignment horizontal="right" indent="2"/>
    </xf>
    <xf numFmtId="4" fontId="23" fillId="0" borderId="14" xfId="0" applyNumberFormat="1" applyFont="1" applyBorder="1" applyAlignment="1">
      <alignment horizontal="right" indent="1"/>
    </xf>
    <xf numFmtId="4" fontId="23" fillId="0" borderId="13" xfId="0" applyNumberFormat="1" applyFont="1" applyBorder="1" applyAlignment="1">
      <alignment horizontal="right" indent="1"/>
    </xf>
    <xf numFmtId="4" fontId="23" fillId="0" borderId="14" xfId="0" applyNumberFormat="1" applyFont="1" applyBorder="1" applyAlignment="1">
      <alignment horizontal="right" indent="2"/>
    </xf>
    <xf numFmtId="4" fontId="23" fillId="34" borderId="13" xfId="0" applyNumberFormat="1" applyFont="1" applyFill="1" applyBorder="1" applyAlignment="1">
      <alignment horizontal="right" indent="3"/>
    </xf>
    <xf numFmtId="0" fontId="18" fillId="0" borderId="50" xfId="0" applyFont="1" applyBorder="1" applyAlignment="1">
      <alignment horizontal="center"/>
    </xf>
    <xf numFmtId="4" fontId="23" fillId="34" borderId="13" xfId="0" applyNumberFormat="1" applyFont="1" applyFill="1" applyBorder="1" applyAlignment="1">
      <alignment horizontal="right" indent="1"/>
    </xf>
    <xf numFmtId="4" fontId="23" fillId="0" borderId="13" xfId="0" applyNumberFormat="1" applyFont="1" applyBorder="1" applyAlignment="1">
      <alignment horizontal="right" indent="3"/>
    </xf>
    <xf numFmtId="0" fontId="22" fillId="0" borderId="50" xfId="0" quotePrefix="1" applyFont="1" applyBorder="1" applyAlignment="1">
      <alignment vertical="center" wrapText="1"/>
    </xf>
    <xf numFmtId="4" fontId="23" fillId="34" borderId="51" xfId="0" applyNumberFormat="1" applyFont="1" applyFill="1" applyBorder="1" applyAlignment="1">
      <alignment horizontal="right" indent="3"/>
    </xf>
    <xf numFmtId="4" fontId="21" fillId="34" borderId="26" xfId="0" applyNumberFormat="1" applyFont="1" applyFill="1" applyBorder="1"/>
    <xf numFmtId="0" fontId="20" fillId="0" borderId="48" xfId="0" applyFont="1" applyFill="1" applyBorder="1" applyAlignment="1">
      <alignment horizontal="left" vertical="center" wrapText="1" indent="1"/>
    </xf>
    <xf numFmtId="43" fontId="37" fillId="33" borderId="10" xfId="42" applyFont="1" applyFill="1" applyBorder="1"/>
    <xf numFmtId="0" fontId="19" fillId="0" borderId="40" xfId="0" applyFont="1" applyFill="1" applyBorder="1" applyAlignment="1">
      <alignment horizontal="center" vertical="center" wrapText="1"/>
    </xf>
    <xf numFmtId="4" fontId="18" fillId="0" borderId="54" xfId="0" applyNumberFormat="1" applyFont="1" applyFill="1" applyBorder="1"/>
    <xf numFmtId="0" fontId="19" fillId="0" borderId="39" xfId="0" applyFont="1" applyFill="1" applyBorder="1" applyAlignment="1">
      <alignment horizontal="center" vertical="center" wrapText="1"/>
    </xf>
    <xf numFmtId="4" fontId="18" fillId="0" borderId="43" xfId="0" applyNumberFormat="1" applyFont="1" applyFill="1" applyBorder="1" applyAlignment="1">
      <alignment horizontal="left" indent="1"/>
    </xf>
    <xf numFmtId="0" fontId="19" fillId="0" borderId="52" xfId="0" applyFont="1" applyFill="1" applyBorder="1" applyAlignment="1">
      <alignment vertical="center" wrapText="1"/>
    </xf>
    <xf numFmtId="43" fontId="37" fillId="33" borderId="11" xfId="42" applyFont="1" applyFill="1" applyBorder="1"/>
    <xf numFmtId="0" fontId="19" fillId="0" borderId="41" xfId="0" applyFont="1" applyFill="1" applyBorder="1" applyAlignment="1">
      <alignment horizontal="left" vertical="center" wrapText="1" indent="1"/>
    </xf>
    <xf numFmtId="4" fontId="18" fillId="0" borderId="42" xfId="0" applyNumberFormat="1" applyFont="1" applyFill="1" applyBorder="1" applyAlignment="1">
      <alignment horizontal="left" indent="1"/>
    </xf>
    <xf numFmtId="4" fontId="23" fillId="0" borderId="14" xfId="0" applyNumberFormat="1" applyFont="1" applyBorder="1" applyAlignment="1">
      <alignment horizontal="right" indent="3"/>
    </xf>
    <xf numFmtId="43" fontId="37" fillId="33" borderId="12" xfId="42" applyFont="1" applyFill="1" applyBorder="1"/>
    <xf numFmtId="0" fontId="20" fillId="0" borderId="53" xfId="0" applyFont="1" applyFill="1" applyBorder="1" applyAlignment="1">
      <alignment horizontal="center" vertical="center" wrapText="1"/>
    </xf>
    <xf numFmtId="4" fontId="21" fillId="0" borderId="18" xfId="0" applyNumberFormat="1" applyFont="1" applyBorder="1"/>
    <xf numFmtId="0" fontId="0" fillId="0" borderId="0" xfId="0"/>
    <xf numFmtId="0" fontId="24" fillId="0" borderId="0" xfId="0" applyFont="1"/>
    <xf numFmtId="0" fontId="18" fillId="0" borderId="29" xfId="0" applyFont="1" applyBorder="1" applyAlignment="1">
      <alignment wrapText="1"/>
    </xf>
    <xf numFmtId="0" fontId="18" fillId="0" borderId="0" xfId="0" applyFont="1" applyAlignment="1">
      <alignment horizontal="left" wrapText="1"/>
    </xf>
    <xf numFmtId="4" fontId="23" fillId="34" borderId="23" xfId="0" applyNumberFormat="1" applyFont="1" applyFill="1" applyBorder="1"/>
    <xf numFmtId="4" fontId="23" fillId="0" borderId="23" xfId="0" applyNumberFormat="1" applyFont="1" applyBorder="1"/>
    <xf numFmtId="0" fontId="20" fillId="0" borderId="30" xfId="0" applyFont="1" applyFill="1" applyBorder="1" applyAlignment="1">
      <alignment horizontal="center" vertical="center" wrapText="1"/>
    </xf>
    <xf numFmtId="0" fontId="19" fillId="0" borderId="33" xfId="0" applyFont="1" applyFill="1" applyBorder="1" applyAlignment="1">
      <alignment vertical="center" wrapText="1"/>
    </xf>
    <xf numFmtId="4" fontId="18" fillId="0" borderId="34" xfId="0" applyNumberFormat="1" applyFont="1" applyFill="1" applyBorder="1"/>
    <xf numFmtId="0" fontId="32" fillId="0" borderId="0" xfId="0" applyFont="1"/>
    <xf numFmtId="0" fontId="16" fillId="0" borderId="0" xfId="0" applyFont="1"/>
    <xf numFmtId="0" fontId="0" fillId="0" borderId="0" xfId="0" applyAlignment="1">
      <alignment wrapText="1"/>
    </xf>
    <xf numFmtId="0" fontId="0" fillId="0" borderId="0" xfId="0" applyAlignment="1"/>
    <xf numFmtId="0" fontId="36" fillId="0" borderId="0" xfId="0" applyFont="1" applyAlignment="1">
      <alignment horizontal="left" wrapText="1"/>
    </xf>
    <xf numFmtId="43" fontId="37" fillId="33" borderId="0" xfId="42" applyFont="1" applyFill="1" applyBorder="1"/>
    <xf numFmtId="0" fontId="0" fillId="0" borderId="0" xfId="0" applyAlignment="1">
      <alignment vertical="top" wrapText="1"/>
    </xf>
    <xf numFmtId="0" fontId="21" fillId="0" borderId="0" xfId="0" applyFont="1" applyAlignment="1">
      <alignment horizontal="left" wrapText="1"/>
    </xf>
    <xf numFmtId="0" fontId="18" fillId="0" borderId="29" xfId="0" applyFont="1" applyBorder="1" applyAlignment="1">
      <alignment horizontal="center"/>
    </xf>
    <xf numFmtId="4" fontId="39" fillId="34" borderId="0" xfId="0" applyNumberFormat="1" applyFont="1" applyFill="1" applyBorder="1"/>
    <xf numFmtId="4" fontId="39" fillId="0" borderId="0" xfId="0" applyNumberFormat="1" applyFont="1" applyBorder="1"/>
    <xf numFmtId="0" fontId="33" fillId="0" borderId="0" xfId="0" applyFont="1" applyAlignment="1">
      <alignment vertical="center"/>
    </xf>
    <xf numFmtId="0" fontId="34" fillId="0" borderId="0" xfId="0" applyFont="1" applyAlignment="1">
      <alignment vertical="center"/>
    </xf>
    <xf numFmtId="0" fontId="18" fillId="0" borderId="0" xfId="0" applyFont="1" applyAlignment="1">
      <alignment horizontal="left" wrapText="1"/>
    </xf>
    <xf numFmtId="0" fontId="42" fillId="0" borderId="0" xfId="0" applyFont="1" applyBorder="1" applyAlignment="1">
      <alignment vertical="top" wrapText="1"/>
    </xf>
    <xf numFmtId="0" fontId="21" fillId="0" borderId="29" xfId="0" applyFont="1" applyBorder="1" applyAlignment="1">
      <alignment wrapText="1"/>
    </xf>
    <xf numFmtId="0" fontId="0" fillId="0" borderId="0" xfId="0" applyAlignment="1">
      <alignment horizontal="center" vertical="center"/>
    </xf>
    <xf numFmtId="0" fontId="36" fillId="0" borderId="0" xfId="0" applyFont="1" applyAlignment="1">
      <alignment horizontal="center" vertical="center"/>
    </xf>
    <xf numFmtId="0" fontId="16" fillId="0" borderId="0" xfId="0" applyFont="1" applyAlignment="1">
      <alignment horizontal="justify" vertical="center"/>
    </xf>
    <xf numFmtId="0" fontId="0" fillId="0" borderId="0" xfId="0" applyAlignment="1">
      <alignment horizontal="justify" vertical="center"/>
    </xf>
    <xf numFmtId="4" fontId="21" fillId="0" borderId="0" xfId="0" applyNumberFormat="1" applyFont="1" applyFill="1" applyBorder="1" applyAlignment="1">
      <alignment horizontal="right" indent="2"/>
    </xf>
    <xf numFmtId="0" fontId="18" fillId="0" borderId="55" xfId="0" applyFont="1" applyBorder="1" applyAlignment="1">
      <alignment horizontal="center" wrapText="1"/>
    </xf>
    <xf numFmtId="0" fontId="18" fillId="0" borderId="56" xfId="0" applyFont="1" applyBorder="1" applyAlignment="1">
      <alignment horizontal="center"/>
    </xf>
    <xf numFmtId="0" fontId="22" fillId="0" borderId="56" xfId="0" quotePrefix="1" applyFont="1" applyBorder="1" applyAlignment="1">
      <alignment vertical="center" wrapText="1"/>
    </xf>
    <xf numFmtId="4" fontId="21" fillId="34" borderId="57" xfId="0" applyNumberFormat="1" applyFont="1" applyFill="1" applyBorder="1" applyAlignment="1">
      <alignment horizontal="right" indent="1"/>
    </xf>
    <xf numFmtId="4" fontId="21" fillId="0" borderId="57" xfId="0" applyNumberFormat="1" applyFont="1" applyBorder="1" applyAlignment="1">
      <alignment horizontal="right" indent="1"/>
    </xf>
    <xf numFmtId="4" fontId="21" fillId="0" borderId="58" xfId="0" applyNumberFormat="1" applyFont="1" applyBorder="1" applyAlignment="1">
      <alignment horizontal="right" indent="1"/>
    </xf>
    <xf numFmtId="0" fontId="18" fillId="0" borderId="0" xfId="0" applyFont="1" applyFill="1" applyBorder="1" applyAlignment="1">
      <alignment horizontal="center" wrapText="1"/>
    </xf>
    <xf numFmtId="0" fontId="18" fillId="0" borderId="0" xfId="0" applyFont="1" applyFill="1" applyBorder="1" applyAlignment="1">
      <alignment horizontal="center"/>
    </xf>
    <xf numFmtId="0" fontId="18" fillId="0" borderId="0" xfId="0" applyFont="1" applyFill="1" applyBorder="1"/>
    <xf numFmtId="4" fontId="21" fillId="0" borderId="57" xfId="0" applyNumberFormat="1" applyFont="1" applyFill="1" applyBorder="1" applyAlignment="1">
      <alignment horizontal="right" indent="1"/>
    </xf>
    <xf numFmtId="0" fontId="22" fillId="0" borderId="59" xfId="0" quotePrefix="1" applyFont="1" applyBorder="1" applyAlignment="1">
      <alignment vertical="center" wrapText="1"/>
    </xf>
    <xf numFmtId="4" fontId="21" fillId="34" borderId="60" xfId="0" applyNumberFormat="1" applyFont="1" applyFill="1" applyBorder="1" applyAlignment="1">
      <alignment horizontal="right" indent="1"/>
    </xf>
    <xf numFmtId="4" fontId="21" fillId="34" borderId="37" xfId="0" applyNumberFormat="1" applyFont="1" applyFill="1" applyBorder="1"/>
    <xf numFmtId="4" fontId="21" fillId="34" borderId="61" xfId="0" applyNumberFormat="1" applyFont="1" applyFill="1" applyBorder="1" applyAlignment="1">
      <alignment horizontal="right" indent="1"/>
    </xf>
    <xf numFmtId="4" fontId="21" fillId="0" borderId="36" xfId="0" applyNumberFormat="1" applyFont="1" applyBorder="1"/>
    <xf numFmtId="4" fontId="21" fillId="0" borderId="62" xfId="0" applyNumberFormat="1" applyFont="1" applyBorder="1" applyAlignment="1">
      <alignment horizontal="right" indent="1"/>
    </xf>
    <xf numFmtId="4" fontId="21" fillId="34" borderId="36" xfId="0" applyNumberFormat="1" applyFont="1" applyFill="1" applyBorder="1"/>
    <xf numFmtId="4" fontId="21" fillId="34" borderId="62" xfId="0" applyNumberFormat="1" applyFont="1" applyFill="1" applyBorder="1" applyAlignment="1">
      <alignment horizontal="right" indent="1"/>
    </xf>
    <xf numFmtId="4" fontId="21" fillId="0" borderId="38" xfId="0" applyNumberFormat="1" applyFont="1" applyBorder="1"/>
    <xf numFmtId="4" fontId="21" fillId="0" borderId="63" xfId="0" applyNumberFormat="1" applyFont="1" applyBorder="1" applyAlignment="1">
      <alignment horizontal="right" indent="1"/>
    </xf>
    <xf numFmtId="0" fontId="0" fillId="0" borderId="0" xfId="0"/>
    <xf numFmtId="0" fontId="16" fillId="0" borderId="0" xfId="0" applyFont="1" applyAlignment="1">
      <alignment horizontal="justify" vertical="center"/>
    </xf>
    <xf numFmtId="0" fontId="45" fillId="0" borderId="0" xfId="0" applyFont="1" applyAlignment="1">
      <alignment horizontal="center" vertical="center"/>
    </xf>
    <xf numFmtId="0" fontId="0" fillId="0" borderId="0" xfId="0"/>
    <xf numFmtId="0" fontId="44" fillId="0" borderId="0" xfId="0" applyFont="1" applyAlignment="1">
      <alignment horizontal="center" vertical="center"/>
    </xf>
    <xf numFmtId="0" fontId="45" fillId="0" borderId="0" xfId="0" applyFont="1" applyAlignment="1">
      <alignment horizontal="center" vertical="center"/>
    </xf>
    <xf numFmtId="0" fontId="44" fillId="0" borderId="0" xfId="0" applyFont="1" applyAlignment="1">
      <alignment horizontal="center"/>
    </xf>
    <xf numFmtId="0" fontId="45" fillId="0" borderId="0" xfId="0" applyFont="1"/>
    <xf numFmtId="0" fontId="46" fillId="0" borderId="0" xfId="0" applyFont="1" applyAlignment="1">
      <alignment horizontal="center" vertical="center"/>
    </xf>
    <xf numFmtId="4" fontId="48" fillId="0" borderId="0" xfId="0" applyNumberFormat="1" applyFont="1" applyFill="1" applyBorder="1" applyAlignment="1">
      <alignment wrapText="1"/>
    </xf>
    <xf numFmtId="4" fontId="48" fillId="0" borderId="0" xfId="0" applyNumberFormat="1" applyFont="1" applyFill="1" applyBorder="1" applyAlignment="1">
      <alignment horizontal="right" wrapText="1"/>
    </xf>
    <xf numFmtId="4" fontId="48" fillId="35" borderId="0" xfId="0" applyNumberFormat="1" applyFont="1" applyFill="1" applyBorder="1" applyAlignment="1">
      <alignment wrapText="1"/>
    </xf>
    <xf numFmtId="4" fontId="49" fillId="36" borderId="0" xfId="0" applyNumberFormat="1" applyFont="1" applyFill="1" applyBorder="1" applyAlignment="1">
      <alignment wrapText="1"/>
    </xf>
    <xf numFmtId="4" fontId="49" fillId="0" borderId="42" xfId="0" applyNumberFormat="1" applyFont="1" applyFill="1" applyBorder="1" applyAlignment="1">
      <alignment wrapText="1"/>
    </xf>
    <xf numFmtId="4" fontId="49" fillId="0" borderId="0" xfId="0" applyNumberFormat="1" applyFont="1" applyFill="1" applyBorder="1" applyAlignment="1">
      <alignment horizontal="right" wrapText="1"/>
    </xf>
    <xf numFmtId="4" fontId="49" fillId="0" borderId="64" xfId="0" applyNumberFormat="1" applyFont="1" applyFill="1" applyBorder="1" applyAlignment="1">
      <alignment horizontal="center" wrapText="1"/>
    </xf>
    <xf numFmtId="4" fontId="50" fillId="0" borderId="0" xfId="0" applyNumberFormat="1" applyFont="1" applyFill="1" applyBorder="1" applyAlignment="1">
      <alignment wrapText="1"/>
    </xf>
    <xf numFmtId="4" fontId="48" fillId="0" borderId="65" xfId="0" applyNumberFormat="1" applyFont="1" applyFill="1" applyBorder="1" applyAlignment="1">
      <alignment wrapText="1"/>
    </xf>
    <xf numFmtId="4" fontId="48" fillId="0" borderId="31" xfId="0" applyNumberFormat="1" applyFont="1" applyFill="1" applyBorder="1" applyAlignment="1">
      <alignment wrapText="1"/>
    </xf>
    <xf numFmtId="4" fontId="48" fillId="0" borderId="42" xfId="0" applyNumberFormat="1" applyFont="1" applyFill="1" applyBorder="1" applyAlignment="1">
      <alignment wrapText="1"/>
    </xf>
    <xf numFmtId="4" fontId="48" fillId="0" borderId="67" xfId="0" applyNumberFormat="1" applyFont="1" applyFill="1" applyBorder="1" applyAlignment="1">
      <alignment wrapText="1"/>
    </xf>
    <xf numFmtId="4" fontId="48" fillId="0" borderId="29" xfId="0" applyNumberFormat="1" applyFont="1" applyFill="1" applyBorder="1" applyAlignment="1">
      <alignment wrapText="1"/>
    </xf>
    <xf numFmtId="4" fontId="48" fillId="35" borderId="0" xfId="0" applyNumberFormat="1" applyFont="1" applyFill="1" applyBorder="1" applyAlignment="1">
      <alignment vertical="center" wrapText="1"/>
    </xf>
    <xf numFmtId="4" fontId="48" fillId="0" borderId="0" xfId="0" applyNumberFormat="1" applyFont="1" applyFill="1" applyBorder="1" applyAlignment="1">
      <alignment vertical="center" wrapText="1"/>
    </xf>
    <xf numFmtId="4" fontId="49" fillId="0" borderId="70" xfId="0" applyNumberFormat="1" applyFont="1" applyFill="1" applyBorder="1" applyAlignment="1">
      <alignment vertical="center" wrapText="1"/>
    </xf>
    <xf numFmtId="4" fontId="49" fillId="36" borderId="0" xfId="0" applyNumberFormat="1" applyFont="1" applyFill="1" applyBorder="1" applyAlignment="1">
      <alignment vertical="center" wrapText="1"/>
    </xf>
    <xf numFmtId="4" fontId="48" fillId="0" borderId="0" xfId="0" applyNumberFormat="1" applyFont="1" applyFill="1" applyBorder="1" applyAlignment="1">
      <alignment horizontal="right" vertical="center" wrapText="1"/>
    </xf>
    <xf numFmtId="4" fontId="48" fillId="0" borderId="0" xfId="0" applyNumberFormat="1" applyFont="1" applyFill="1" applyBorder="1" applyAlignment="1">
      <alignment horizontal="center" vertical="center" wrapText="1"/>
    </xf>
    <xf numFmtId="4" fontId="48" fillId="37" borderId="73" xfId="0" applyNumberFormat="1" applyFont="1" applyFill="1" applyBorder="1" applyAlignment="1">
      <alignment vertical="center" wrapText="1"/>
    </xf>
    <xf numFmtId="4" fontId="48" fillId="37" borderId="72" xfId="0" applyNumberFormat="1" applyFont="1" applyFill="1" applyBorder="1" applyAlignment="1">
      <alignment vertical="center" wrapText="1"/>
    </xf>
    <xf numFmtId="4" fontId="50" fillId="0" borderId="0" xfId="0" applyNumberFormat="1" applyFont="1" applyFill="1" applyBorder="1" applyAlignment="1">
      <alignment horizontal="right" vertical="center" wrapText="1"/>
    </xf>
    <xf numFmtId="4" fontId="50" fillId="0" borderId="0" xfId="0" applyNumberFormat="1" applyFont="1" applyFill="1" applyBorder="1" applyAlignment="1">
      <alignment vertical="center" wrapText="1"/>
    </xf>
    <xf numFmtId="4" fontId="48" fillId="37" borderId="13" xfId="0" applyNumberFormat="1" applyFont="1" applyFill="1" applyBorder="1" applyAlignment="1">
      <alignment wrapText="1"/>
    </xf>
    <xf numFmtId="4" fontId="48" fillId="37" borderId="11" xfId="0" applyNumberFormat="1" applyFont="1" applyFill="1" applyBorder="1" applyAlignment="1">
      <alignment wrapText="1"/>
    </xf>
    <xf numFmtId="2" fontId="48" fillId="0" borderId="0" xfId="0" applyNumberFormat="1" applyFont="1" applyFill="1" applyBorder="1" applyAlignment="1">
      <alignment wrapText="1"/>
    </xf>
    <xf numFmtId="4" fontId="51" fillId="0" borderId="0" xfId="0" applyNumberFormat="1" applyFont="1" applyFill="1" applyBorder="1" applyAlignment="1">
      <alignment wrapText="1"/>
    </xf>
    <xf numFmtId="2" fontId="50" fillId="0" borderId="0" xfId="0" applyNumberFormat="1" applyFont="1" applyFill="1" applyBorder="1" applyAlignment="1">
      <alignment wrapText="1"/>
    </xf>
    <xf numFmtId="4" fontId="52" fillId="36" borderId="0" xfId="0" applyNumberFormat="1" applyFont="1" applyFill="1" applyBorder="1" applyAlignment="1">
      <alignment wrapText="1"/>
    </xf>
    <xf numFmtId="4" fontId="53" fillId="0" borderId="0" xfId="0" applyNumberFormat="1" applyFont="1" applyFill="1" applyBorder="1" applyAlignment="1">
      <alignment wrapText="1"/>
    </xf>
    <xf numFmtId="2" fontId="53" fillId="0" borderId="0" xfId="0" applyNumberFormat="1" applyFont="1" applyFill="1" applyBorder="1" applyAlignment="1">
      <alignment wrapText="1"/>
    </xf>
    <xf numFmtId="4" fontId="54" fillId="0" borderId="0" xfId="0" applyNumberFormat="1" applyFont="1" applyFill="1" applyBorder="1" applyAlignment="1">
      <alignment wrapText="1"/>
    </xf>
    <xf numFmtId="2" fontId="54" fillId="0" borderId="0" xfId="0" applyNumberFormat="1" applyFont="1" applyFill="1" applyBorder="1" applyAlignment="1">
      <alignment wrapText="1"/>
    </xf>
    <xf numFmtId="4" fontId="55" fillId="0" borderId="0" xfId="0" applyNumberFormat="1" applyFont="1" applyFill="1" applyBorder="1" applyAlignment="1">
      <alignment wrapText="1"/>
    </xf>
    <xf numFmtId="0" fontId="58" fillId="0" borderId="0" xfId="0" applyFont="1" applyFill="1" applyBorder="1"/>
    <xf numFmtId="0" fontId="48" fillId="0" borderId="0" xfId="0" applyFont="1" applyFill="1" applyBorder="1"/>
    <xf numFmtId="0" fontId="49" fillId="0" borderId="0" xfId="0" applyFont="1" applyFill="1" applyBorder="1"/>
    <xf numFmtId="0" fontId="59" fillId="0" borderId="0" xfId="0" applyFont="1" applyFill="1" applyBorder="1"/>
    <xf numFmtId="0" fontId="51" fillId="0" borderId="0" xfId="0" applyFont="1" applyFill="1" applyBorder="1"/>
    <xf numFmtId="4" fontId="48" fillId="0" borderId="0" xfId="0" applyNumberFormat="1" applyFont="1" applyFill="1" applyBorder="1" applyAlignment="1">
      <alignment wrapText="1"/>
    </xf>
    <xf numFmtId="4" fontId="48" fillId="0" borderId="0" xfId="0" applyNumberFormat="1" applyFont="1" applyFill="1" applyBorder="1" applyAlignment="1">
      <alignment vertical="center" wrapText="1"/>
    </xf>
    <xf numFmtId="0" fontId="19" fillId="0" borderId="0" xfId="0" applyFont="1" applyBorder="1" applyAlignment="1">
      <alignment horizontal="center" vertical="center" textRotation="90"/>
    </xf>
    <xf numFmtId="4" fontId="21" fillId="34" borderId="0" xfId="0" applyNumberFormat="1" applyFont="1" applyFill="1" applyBorder="1" applyAlignment="1">
      <alignment vertical="center"/>
    </xf>
    <xf numFmtId="164" fontId="21" fillId="34" borderId="0" xfId="0" applyNumberFormat="1" applyFont="1" applyFill="1" applyBorder="1" applyAlignment="1">
      <alignment horizontal="right" vertical="center"/>
    </xf>
    <xf numFmtId="4" fontId="21" fillId="34" borderId="0" xfId="0" applyNumberFormat="1" applyFont="1" applyFill="1" applyBorder="1" applyAlignment="1">
      <alignment horizontal="right" vertical="center"/>
    </xf>
    <xf numFmtId="0" fontId="19" fillId="0" borderId="0" xfId="0" applyFont="1" applyFill="1" applyBorder="1" applyAlignment="1">
      <alignment horizontal="center" vertical="center" textRotation="90"/>
    </xf>
    <xf numFmtId="4" fontId="21" fillId="0" borderId="0" xfId="0" applyNumberFormat="1" applyFont="1" applyFill="1" applyBorder="1" applyAlignment="1">
      <alignment vertical="center"/>
    </xf>
    <xf numFmtId="164" fontId="21" fillId="0" borderId="0" xfId="0" applyNumberFormat="1" applyFont="1" applyFill="1" applyBorder="1" applyAlignment="1">
      <alignment horizontal="right" vertical="center"/>
    </xf>
    <xf numFmtId="4" fontId="21" fillId="0" borderId="0" xfId="0" applyNumberFormat="1" applyFont="1" applyFill="1" applyBorder="1" applyAlignment="1">
      <alignment horizontal="right" vertical="center"/>
    </xf>
    <xf numFmtId="4" fontId="21" fillId="0" borderId="36" xfId="0" applyNumberFormat="1" applyFont="1" applyFill="1" applyBorder="1" applyAlignment="1">
      <alignment vertical="center"/>
    </xf>
    <xf numFmtId="164" fontId="21" fillId="34" borderId="36" xfId="0" applyNumberFormat="1" applyFont="1" applyFill="1" applyBorder="1" applyAlignment="1">
      <alignment horizontal="right" vertical="center"/>
    </xf>
    <xf numFmtId="164" fontId="21" fillId="0" borderId="36" xfId="0" applyNumberFormat="1" applyFont="1" applyFill="1" applyBorder="1" applyAlignment="1">
      <alignment horizontal="right" vertical="center"/>
    </xf>
    <xf numFmtId="4" fontId="21" fillId="34" borderId="34" xfId="0" applyNumberFormat="1" applyFont="1" applyFill="1" applyBorder="1" applyAlignment="1">
      <alignment horizontal="right" vertical="center"/>
    </xf>
    <xf numFmtId="4" fontId="21" fillId="0" borderId="34" xfId="0" applyNumberFormat="1" applyFont="1" applyFill="1" applyBorder="1" applyAlignment="1">
      <alignment horizontal="right" vertical="center"/>
    </xf>
    <xf numFmtId="4" fontId="21" fillId="0" borderId="38" xfId="0" applyNumberFormat="1" applyFont="1" applyFill="1" applyBorder="1" applyAlignment="1">
      <alignment vertical="center"/>
    </xf>
    <xf numFmtId="164" fontId="21" fillId="0" borderId="38" xfId="0" applyNumberFormat="1" applyFont="1" applyFill="1" applyBorder="1" applyAlignment="1">
      <alignment horizontal="right" vertical="center"/>
    </xf>
    <xf numFmtId="164" fontId="21" fillId="0" borderId="29" xfId="0" applyNumberFormat="1" applyFont="1" applyFill="1" applyBorder="1" applyAlignment="1">
      <alignment horizontal="right" vertical="center"/>
    </xf>
    <xf numFmtId="4" fontId="21" fillId="0" borderId="29" xfId="0" applyNumberFormat="1" applyFont="1" applyFill="1" applyBorder="1" applyAlignment="1">
      <alignment horizontal="right" vertical="center"/>
    </xf>
    <xf numFmtId="4" fontId="21" fillId="0" borderId="35" xfId="0" applyNumberFormat="1" applyFont="1" applyFill="1" applyBorder="1" applyAlignment="1">
      <alignment horizontal="right" vertical="center"/>
    </xf>
    <xf numFmtId="4" fontId="21" fillId="39" borderId="36" xfId="0" applyNumberFormat="1" applyFont="1" applyFill="1" applyBorder="1" applyAlignment="1">
      <alignment vertical="center"/>
    </xf>
    <xf numFmtId="164" fontId="21" fillId="39" borderId="36" xfId="0" applyNumberFormat="1" applyFont="1" applyFill="1" applyBorder="1" applyAlignment="1">
      <alignment horizontal="right" vertical="center"/>
    </xf>
    <xf numFmtId="164" fontId="21" fillId="39" borderId="0" xfId="0" applyNumberFormat="1" applyFont="1" applyFill="1" applyBorder="1" applyAlignment="1">
      <alignment horizontal="right" vertical="center"/>
    </xf>
    <xf numFmtId="4" fontId="21" fillId="39" borderId="0" xfId="0" applyNumberFormat="1" applyFont="1" applyFill="1" applyBorder="1" applyAlignment="1">
      <alignment horizontal="right" vertical="center"/>
    </xf>
    <xf numFmtId="4" fontId="60" fillId="0" borderId="42" xfId="0" applyNumberFormat="1" applyFont="1" applyFill="1" applyBorder="1" applyAlignment="1">
      <alignment vertical="center" wrapText="1"/>
    </xf>
    <xf numFmtId="4" fontId="49" fillId="0" borderId="29" xfId="0" applyNumberFormat="1" applyFont="1" applyFill="1" applyBorder="1" applyAlignment="1">
      <alignment horizontal="right" wrapText="1"/>
    </xf>
    <xf numFmtId="164" fontId="48" fillId="0" borderId="31" xfId="0" applyNumberFormat="1" applyFont="1" applyFill="1" applyBorder="1" applyAlignment="1">
      <alignment wrapText="1"/>
    </xf>
    <xf numFmtId="164" fontId="48" fillId="0" borderId="0" xfId="0" applyNumberFormat="1" applyFont="1" applyFill="1" applyBorder="1" applyAlignment="1">
      <alignment wrapText="1"/>
    </xf>
    <xf numFmtId="164" fontId="48" fillId="0" borderId="31" xfId="0" applyNumberFormat="1" applyFont="1" applyFill="1" applyBorder="1" applyAlignment="1">
      <alignment horizontal="right" wrapText="1"/>
    </xf>
    <xf numFmtId="164" fontId="48" fillId="0" borderId="0" xfId="0" applyNumberFormat="1" applyFont="1" applyFill="1" applyBorder="1" applyAlignment="1">
      <alignment horizontal="right" wrapText="1"/>
    </xf>
    <xf numFmtId="164" fontId="48" fillId="0" borderId="0" xfId="0" applyNumberFormat="1" applyFont="1" applyFill="1" applyBorder="1" applyAlignment="1">
      <alignment horizontal="right" vertical="center" wrapText="1"/>
    </xf>
    <xf numFmtId="164" fontId="49" fillId="0" borderId="71" xfId="0" applyNumberFormat="1" applyFont="1" applyFill="1" applyBorder="1" applyAlignment="1">
      <alignment horizontal="right" vertical="center" wrapText="1"/>
    </xf>
    <xf numFmtId="164" fontId="48" fillId="0" borderId="32" xfId="0" applyNumberFormat="1" applyFont="1" applyFill="1" applyBorder="1" applyAlignment="1">
      <alignment wrapText="1"/>
    </xf>
    <xf numFmtId="164" fontId="48" fillId="0" borderId="34" xfId="0" applyNumberFormat="1" applyFont="1" applyFill="1" applyBorder="1" applyAlignment="1">
      <alignment wrapText="1"/>
    </xf>
    <xf numFmtId="164" fontId="49" fillId="0" borderId="73" xfId="0" applyNumberFormat="1" applyFont="1" applyFill="1" applyBorder="1" applyAlignment="1">
      <alignment horizontal="right" vertical="center" wrapText="1"/>
    </xf>
    <xf numFmtId="4" fontId="49" fillId="0" borderId="74" xfId="0" applyNumberFormat="1" applyFont="1" applyFill="1" applyBorder="1" applyAlignment="1">
      <alignment vertical="center" wrapText="1"/>
    </xf>
    <xf numFmtId="4" fontId="49" fillId="0" borderId="68" xfId="0" applyNumberFormat="1" applyFont="1" applyFill="1" applyBorder="1" applyAlignment="1">
      <alignment horizontal="right" wrapText="1"/>
    </xf>
    <xf numFmtId="164" fontId="48" fillId="0" borderId="35" xfId="0" applyNumberFormat="1" applyFont="1" applyFill="1" applyBorder="1" applyAlignment="1">
      <alignment wrapText="1"/>
    </xf>
    <xf numFmtId="164" fontId="49" fillId="0" borderId="75" xfId="0" applyNumberFormat="1" applyFont="1" applyFill="1" applyBorder="1" applyAlignment="1">
      <alignment horizontal="right" vertical="center" wrapText="1"/>
    </xf>
    <xf numFmtId="4" fontId="61" fillId="0" borderId="0" xfId="0" applyNumberFormat="1" applyFont="1" applyFill="1" applyBorder="1" applyAlignment="1">
      <alignment vertical="center" wrapText="1"/>
    </xf>
    <xf numFmtId="4" fontId="48" fillId="38" borderId="0" xfId="0" applyNumberFormat="1" applyFont="1" applyFill="1" applyBorder="1" applyAlignment="1">
      <alignment wrapText="1"/>
    </xf>
    <xf numFmtId="4" fontId="49" fillId="0" borderId="0" xfId="0" applyNumberFormat="1" applyFont="1" applyFill="1" applyBorder="1" applyAlignment="1">
      <alignment wrapText="1"/>
    </xf>
    <xf numFmtId="164" fontId="48" fillId="0" borderId="66" xfId="0" applyNumberFormat="1" applyFont="1" applyFill="1" applyBorder="1" applyAlignment="1">
      <alignment horizontal="right" wrapText="1"/>
    </xf>
    <xf numFmtId="164" fontId="48" fillId="0" borderId="13" xfId="0" applyNumberFormat="1" applyFont="1" applyFill="1" applyBorder="1" applyAlignment="1">
      <alignment horizontal="right" wrapText="1"/>
    </xf>
    <xf numFmtId="164" fontId="48" fillId="0" borderId="69" xfId="0" applyNumberFormat="1" applyFont="1" applyFill="1" applyBorder="1" applyAlignment="1">
      <alignment horizontal="right" wrapText="1"/>
    </xf>
    <xf numFmtId="164" fontId="48" fillId="0" borderId="13" xfId="0" applyNumberFormat="1" applyFont="1" applyFill="1" applyBorder="1" applyAlignment="1">
      <alignment horizontal="right" vertical="center" wrapText="1"/>
    </xf>
    <xf numFmtId="4" fontId="60" fillId="0" borderId="0" xfId="0" applyNumberFormat="1" applyFont="1" applyFill="1" applyBorder="1" applyAlignment="1">
      <alignment wrapText="1"/>
    </xf>
    <xf numFmtId="4" fontId="48" fillId="0" borderId="41" xfId="0" applyNumberFormat="1" applyFont="1" applyFill="1" applyBorder="1" applyAlignment="1">
      <alignment vertical="center" wrapText="1"/>
    </xf>
    <xf numFmtId="4" fontId="48" fillId="37" borderId="69" xfId="0" applyNumberFormat="1" applyFont="1" applyFill="1" applyBorder="1" applyAlignment="1">
      <alignment wrapText="1"/>
    </xf>
    <xf numFmtId="168" fontId="53" fillId="0" borderId="0" xfId="0" applyNumberFormat="1" applyFont="1" applyFill="1" applyBorder="1" applyAlignment="1">
      <alignment wrapText="1"/>
    </xf>
    <xf numFmtId="4" fontId="61" fillId="0" borderId="0" xfId="0" applyNumberFormat="1" applyFont="1" applyFill="1" applyBorder="1" applyAlignment="1">
      <alignment wrapText="1"/>
    </xf>
    <xf numFmtId="4" fontId="63" fillId="0" borderId="0" xfId="0" applyNumberFormat="1" applyFont="1" applyFill="1" applyBorder="1" applyAlignment="1">
      <alignment horizontal="right" wrapText="1"/>
    </xf>
    <xf numFmtId="4" fontId="48" fillId="0" borderId="0" xfId="0" applyNumberFormat="1" applyFont="1" applyFill="1" applyBorder="1" applyAlignment="1">
      <alignment wrapText="1"/>
    </xf>
    <xf numFmtId="4" fontId="48" fillId="0" borderId="0" xfId="0" applyNumberFormat="1" applyFont="1" applyFill="1" applyBorder="1" applyAlignment="1">
      <alignment vertical="center" wrapText="1"/>
    </xf>
    <xf numFmtId="0" fontId="16" fillId="38" borderId="0" xfId="0" applyFont="1" applyFill="1" applyAlignment="1">
      <alignment horizontal="center"/>
    </xf>
    <xf numFmtId="0" fontId="16" fillId="0" borderId="0" xfId="0" applyFont="1" applyFill="1" applyAlignment="1">
      <alignment horizontal="center"/>
    </xf>
    <xf numFmtId="0" fontId="44" fillId="0" borderId="0" xfId="0" applyFont="1"/>
    <xf numFmtId="2" fontId="0" fillId="0" borderId="0" xfId="0" applyNumberFormat="1"/>
    <xf numFmtId="1" fontId="0" fillId="0" borderId="0" xfId="0" applyNumberFormat="1"/>
    <xf numFmtId="0" fontId="20" fillId="33" borderId="0" xfId="0" applyFont="1" applyFill="1"/>
    <xf numFmtId="0" fontId="20" fillId="33" borderId="0" xfId="0" applyFont="1" applyFill="1" applyAlignment="1">
      <alignment horizontal="left"/>
    </xf>
    <xf numFmtId="169" fontId="48" fillId="0" borderId="0" xfId="0" applyNumberFormat="1" applyFont="1" applyFill="1" applyBorder="1" applyAlignment="1">
      <alignment wrapText="1"/>
    </xf>
    <xf numFmtId="0" fontId="56" fillId="0" borderId="0" xfId="0" applyFont="1" applyFill="1"/>
    <xf numFmtId="14" fontId="20" fillId="33" borderId="0" xfId="0" applyNumberFormat="1" applyFont="1" applyFill="1" applyAlignment="1">
      <alignment horizontal="left"/>
    </xf>
    <xf numFmtId="4" fontId="48" fillId="0" borderId="0" xfId="0" applyNumberFormat="1" applyFont="1" applyFill="1" applyBorder="1" applyAlignment="1">
      <alignment wrapText="1"/>
    </xf>
    <xf numFmtId="0" fontId="20" fillId="0" borderId="0" xfId="0" applyFont="1"/>
    <xf numFmtId="43" fontId="20" fillId="0" borderId="0" xfId="0" applyNumberFormat="1" applyFont="1"/>
    <xf numFmtId="0" fontId="20" fillId="0" borderId="0" xfId="0" applyFont="1" applyFill="1"/>
    <xf numFmtId="43" fontId="20" fillId="0" borderId="0" xfId="0" applyNumberFormat="1" applyFont="1" applyFill="1"/>
    <xf numFmtId="0" fontId="18" fillId="33" borderId="0" xfId="0" applyFont="1" applyFill="1"/>
    <xf numFmtId="4" fontId="18" fillId="33" borderId="0" xfId="0" applyNumberFormat="1" applyFont="1" applyFill="1"/>
    <xf numFmtId="0" fontId="64" fillId="0" borderId="0" xfId="0" applyFont="1"/>
    <xf numFmtId="0" fontId="14" fillId="0" borderId="0" xfId="0" applyFont="1"/>
    <xf numFmtId="0" fontId="66" fillId="0" borderId="0" xfId="0" applyFont="1"/>
    <xf numFmtId="0" fontId="0" fillId="0" borderId="0" xfId="0" applyAlignment="1">
      <alignment wrapText="1"/>
    </xf>
    <xf numFmtId="0" fontId="0" fillId="0" borderId="0" xfId="0" applyAlignment="1">
      <alignment horizontal="right"/>
    </xf>
    <xf numFmtId="0" fontId="16" fillId="0" borderId="0" xfId="0" applyFont="1" applyFill="1"/>
    <xf numFmtId="0" fontId="0" fillId="0" borderId="0" xfId="0" applyFill="1"/>
    <xf numFmtId="0" fontId="0" fillId="0" borderId="0" xfId="0" applyFont="1"/>
    <xf numFmtId="0" fontId="67" fillId="0" borderId="0" xfId="46"/>
    <xf numFmtId="170" fontId="68" fillId="0" borderId="0" xfId="43" applyNumberFormat="1" applyFont="1"/>
    <xf numFmtId="171" fontId="0" fillId="0" borderId="0" xfId="0" applyNumberFormat="1"/>
    <xf numFmtId="0" fontId="69" fillId="0" borderId="0" xfId="0" applyFont="1" applyFill="1" applyBorder="1"/>
    <xf numFmtId="0" fontId="36" fillId="0" borderId="0" xfId="0" applyFont="1"/>
    <xf numFmtId="0" fontId="0" fillId="0" borderId="0" xfId="0" applyFill="1" applyAlignment="1">
      <alignment vertical="top"/>
    </xf>
    <xf numFmtId="0" fontId="0" fillId="0" borderId="0" xfId="0" applyAlignment="1">
      <alignment vertical="top"/>
    </xf>
    <xf numFmtId="0" fontId="0" fillId="0" borderId="0" xfId="0" applyAlignment="1">
      <alignment horizontal="center"/>
    </xf>
    <xf numFmtId="0" fontId="0" fillId="0" borderId="0" xfId="0" applyAlignment="1">
      <alignment horizontal="center" wrapText="1"/>
    </xf>
    <xf numFmtId="0" fontId="0" fillId="40" borderId="0" xfId="0" applyFill="1" applyAlignment="1">
      <alignment horizontal="center"/>
    </xf>
    <xf numFmtId="0" fontId="0" fillId="40" borderId="0" xfId="0" applyNumberFormat="1" applyFill="1" applyAlignment="1">
      <alignment horizontal="center"/>
    </xf>
    <xf numFmtId="0" fontId="0" fillId="41" borderId="0" xfId="0" applyFill="1" applyAlignment="1">
      <alignment horizontal="center"/>
    </xf>
    <xf numFmtId="2" fontId="0" fillId="41" borderId="0" xfId="0" applyNumberFormat="1" applyFill="1" applyAlignment="1">
      <alignment horizontal="center"/>
    </xf>
    <xf numFmtId="1" fontId="0" fillId="42" borderId="0" xfId="0" applyNumberFormat="1" applyFill="1" applyAlignment="1">
      <alignment horizontal="center"/>
    </xf>
    <xf numFmtId="2" fontId="0" fillId="0" borderId="0" xfId="0" applyNumberFormat="1" applyAlignment="1">
      <alignment horizontal="center"/>
    </xf>
    <xf numFmtId="170" fontId="0" fillId="0" borderId="0" xfId="0" applyNumberFormat="1" applyAlignment="1">
      <alignment horizontal="center"/>
    </xf>
    <xf numFmtId="4" fontId="0" fillId="0" borderId="0" xfId="0" applyNumberFormat="1" applyAlignment="1">
      <alignment horizontal="center"/>
    </xf>
    <xf numFmtId="0" fontId="70" fillId="0" borderId="0" xfId="0" applyFont="1"/>
    <xf numFmtId="0" fontId="0" fillId="40" borderId="76" xfId="0" applyFont="1" applyFill="1" applyBorder="1" applyAlignment="1">
      <alignment horizontal="center"/>
    </xf>
    <xf numFmtId="0" fontId="0" fillId="43" borderId="76" xfId="0" applyFont="1" applyFill="1" applyBorder="1" applyAlignment="1">
      <alignment horizontal="center"/>
    </xf>
    <xf numFmtId="0" fontId="13" fillId="44" borderId="77" xfId="0" applyFont="1" applyFill="1" applyBorder="1" applyAlignment="1">
      <alignment horizontal="center"/>
    </xf>
    <xf numFmtId="0" fontId="13" fillId="44" borderId="76" xfId="0" applyFont="1" applyFill="1" applyBorder="1" applyAlignment="1">
      <alignment horizontal="center" wrapText="1"/>
    </xf>
    <xf numFmtId="0" fontId="13" fillId="44" borderId="76" xfId="0" applyFont="1" applyFill="1" applyBorder="1" applyAlignment="1">
      <alignment horizontal="center"/>
    </xf>
    <xf numFmtId="0" fontId="13" fillId="44" borderId="78" xfId="0" applyFont="1" applyFill="1" applyBorder="1" applyAlignment="1">
      <alignment horizontal="center" wrapText="1"/>
    </xf>
    <xf numFmtId="0" fontId="0" fillId="40" borderId="76" xfId="0" applyNumberFormat="1" applyFont="1" applyFill="1" applyBorder="1" applyAlignment="1">
      <alignment horizontal="center"/>
    </xf>
    <xf numFmtId="0" fontId="0" fillId="41" borderId="76" xfId="0" applyFont="1" applyFill="1" applyBorder="1" applyAlignment="1">
      <alignment horizontal="center"/>
    </xf>
    <xf numFmtId="2" fontId="0" fillId="41" borderId="76" xfId="0" applyNumberFormat="1" applyFont="1" applyFill="1" applyBorder="1" applyAlignment="1">
      <alignment horizontal="center"/>
    </xf>
    <xf numFmtId="1" fontId="0" fillId="42" borderId="76" xfId="0" applyNumberFormat="1" applyFont="1" applyFill="1" applyBorder="1" applyAlignment="1">
      <alignment horizontal="center"/>
    </xf>
    <xf numFmtId="2" fontId="0" fillId="34" borderId="76" xfId="0" applyNumberFormat="1" applyFont="1" applyFill="1" applyBorder="1" applyAlignment="1">
      <alignment horizontal="center"/>
    </xf>
    <xf numFmtId="170" fontId="0" fillId="34" borderId="76" xfId="0" applyNumberFormat="1" applyFont="1" applyFill="1" applyBorder="1" applyAlignment="1">
      <alignment horizontal="center"/>
    </xf>
    <xf numFmtId="4" fontId="0" fillId="34" borderId="76" xfId="0" applyNumberFormat="1" applyFont="1" applyFill="1" applyBorder="1" applyAlignment="1">
      <alignment horizontal="center"/>
    </xf>
    <xf numFmtId="4" fontId="0" fillId="34" borderId="78" xfId="0" applyNumberFormat="1" applyFont="1" applyFill="1" applyBorder="1" applyAlignment="1">
      <alignment horizontal="center"/>
    </xf>
    <xf numFmtId="2" fontId="0" fillId="0" borderId="76" xfId="0" applyNumberFormat="1" applyFont="1" applyBorder="1" applyAlignment="1">
      <alignment horizontal="center"/>
    </xf>
    <xf numFmtId="170" fontId="0" fillId="0" borderId="76" xfId="0" applyNumberFormat="1" applyFont="1" applyBorder="1" applyAlignment="1">
      <alignment horizontal="center"/>
    </xf>
    <xf numFmtId="4" fontId="0" fillId="0" borderId="76" xfId="0" applyNumberFormat="1" applyFont="1" applyBorder="1" applyAlignment="1">
      <alignment horizontal="center"/>
    </xf>
    <xf numFmtId="4" fontId="0" fillId="0" borderId="78" xfId="0" applyNumberFormat="1" applyFont="1" applyBorder="1" applyAlignment="1">
      <alignment horizontal="center"/>
    </xf>
    <xf numFmtId="0" fontId="0" fillId="43" borderId="77" xfId="0" applyFont="1" applyFill="1" applyBorder="1" applyAlignment="1">
      <alignment horizontal="center"/>
    </xf>
    <xf numFmtId="0" fontId="13" fillId="44" borderId="77" xfId="0" applyFont="1" applyFill="1" applyBorder="1" applyAlignment="1">
      <alignment horizontal="left"/>
    </xf>
    <xf numFmtId="0" fontId="13" fillId="44" borderId="76" xfId="0" applyFont="1" applyFill="1" applyBorder="1" applyAlignment="1">
      <alignment horizontal="left"/>
    </xf>
    <xf numFmtId="0" fontId="13" fillId="44" borderId="78" xfId="0" applyFont="1" applyFill="1" applyBorder="1" applyAlignment="1">
      <alignment horizontal="left"/>
    </xf>
    <xf numFmtId="0" fontId="0" fillId="0" borderId="0" xfId="0" applyAlignment="1">
      <alignment horizontal="left"/>
    </xf>
    <xf numFmtId="0" fontId="0" fillId="41" borderId="0" xfId="0" applyFill="1"/>
    <xf numFmtId="0" fontId="71" fillId="45" borderId="0" xfId="0" applyFont="1" applyFill="1"/>
    <xf numFmtId="0" fontId="71" fillId="0" borderId="0" xfId="0" applyFont="1" applyFill="1"/>
    <xf numFmtId="4" fontId="72" fillId="45" borderId="0" xfId="0" applyNumberFormat="1" applyFont="1" applyFill="1" applyAlignment="1">
      <alignment horizontal="center"/>
    </xf>
    <xf numFmtId="0" fontId="0" fillId="34" borderId="77" xfId="0" applyFont="1" applyFill="1" applyBorder="1"/>
    <xf numFmtId="0" fontId="0" fillId="0" borderId="77" xfId="0" applyFont="1" applyBorder="1"/>
    <xf numFmtId="0" fontId="0" fillId="34" borderId="79" xfId="0" applyFont="1" applyFill="1" applyBorder="1"/>
    <xf numFmtId="0" fontId="0" fillId="0" borderId="80" xfId="0" applyFont="1" applyBorder="1"/>
    <xf numFmtId="0" fontId="0" fillId="34" borderId="80" xfId="0" applyFont="1" applyFill="1" applyBorder="1"/>
    <xf numFmtId="0" fontId="0" fillId="0" borderId="81" xfId="0" applyFont="1" applyBorder="1"/>
    <xf numFmtId="0" fontId="0" fillId="0" borderId="0" xfId="0" applyAlignment="1">
      <alignment wrapText="1"/>
    </xf>
    <xf numFmtId="0" fontId="57" fillId="0" borderId="0" xfId="0" applyFont="1" applyAlignment="1">
      <alignment horizontal="left" vertical="center" wrapText="1"/>
    </xf>
    <xf numFmtId="0" fontId="14" fillId="0" borderId="0" xfId="0" applyFont="1" applyAlignment="1">
      <alignment horizontal="left" wrapText="1"/>
    </xf>
    <xf numFmtId="0" fontId="33" fillId="0" borderId="0" xfId="0" applyFont="1" applyAlignment="1"/>
    <xf numFmtId="0" fontId="0" fillId="0" borderId="0" xfId="0" applyAlignment="1"/>
    <xf numFmtId="0" fontId="18" fillId="0" borderId="0" xfId="0" applyFont="1" applyAlignment="1">
      <alignment horizontal="left"/>
    </xf>
    <xf numFmtId="0" fontId="24" fillId="0" borderId="0" xfId="0" applyFont="1" applyAlignment="1">
      <alignment horizontal="center" wrapText="1"/>
    </xf>
    <xf numFmtId="0" fontId="24" fillId="0" borderId="0" xfId="0" applyFont="1" applyAlignment="1">
      <alignment horizontal="center"/>
    </xf>
    <xf numFmtId="0" fontId="19" fillId="0" borderId="22" xfId="0" applyFont="1" applyBorder="1" applyAlignment="1">
      <alignment horizontal="center"/>
    </xf>
    <xf numFmtId="0" fontId="19" fillId="0" borderId="25" xfId="0" applyFont="1" applyBorder="1" applyAlignment="1">
      <alignment horizontal="center"/>
    </xf>
    <xf numFmtId="0" fontId="19" fillId="0" borderId="26" xfId="0" applyFont="1" applyBorder="1" applyAlignment="1">
      <alignment horizontal="center"/>
    </xf>
    <xf numFmtId="0" fontId="24" fillId="0" borderId="0" xfId="0" applyFont="1" applyFill="1" applyBorder="1" applyAlignment="1">
      <alignment horizontal="center" wrapText="1"/>
    </xf>
    <xf numFmtId="0" fontId="19" fillId="0" borderId="22" xfId="0" applyFont="1" applyBorder="1" applyAlignment="1">
      <alignment horizontal="center" vertical="center" textRotation="90"/>
    </xf>
    <xf numFmtId="0" fontId="19" fillId="0" borderId="23" xfId="0" applyFont="1" applyBorder="1" applyAlignment="1">
      <alignment horizontal="center" vertical="center" textRotation="90"/>
    </xf>
    <xf numFmtId="0" fontId="19" fillId="0" borderId="24" xfId="0" applyFont="1" applyBorder="1" applyAlignment="1">
      <alignment horizontal="center" vertical="center" textRotation="90"/>
    </xf>
    <xf numFmtId="0" fontId="19" fillId="0" borderId="27" xfId="0" applyFont="1" applyBorder="1" applyAlignment="1">
      <alignment horizontal="center" vertical="center" textRotation="90"/>
    </xf>
    <xf numFmtId="0" fontId="19" fillId="0" borderId="28" xfId="0" applyFont="1" applyBorder="1" applyAlignment="1">
      <alignment horizontal="center" vertical="center" textRotation="90"/>
    </xf>
    <xf numFmtId="0" fontId="18" fillId="0" borderId="0" xfId="0" applyFont="1" applyAlignment="1">
      <alignment horizontal="left" wrapText="1"/>
    </xf>
    <xf numFmtId="0" fontId="19" fillId="0" borderId="10" xfId="0" applyFont="1" applyBorder="1" applyAlignment="1">
      <alignment horizontal="center"/>
    </xf>
    <xf numFmtId="0" fontId="18" fillId="0" borderId="0" xfId="0" applyFont="1" applyAlignment="1">
      <alignment horizontal="left" vertical="top" wrapText="1"/>
    </xf>
    <xf numFmtId="0" fontId="34" fillId="0" borderId="0" xfId="0" applyFont="1" applyAlignment="1">
      <alignment horizontal="left" wrapText="1"/>
    </xf>
    <xf numFmtId="0" fontId="18" fillId="0" borderId="0" xfId="0" applyFont="1" applyBorder="1" applyAlignment="1">
      <alignment horizontal="left" vertical="center" wrapText="1" indent="2"/>
    </xf>
    <xf numFmtId="0" fontId="43" fillId="0" borderId="37" xfId="0" applyFont="1" applyBorder="1" applyAlignment="1">
      <alignment horizontal="left" vertical="top" wrapText="1"/>
    </xf>
    <xf numFmtId="0" fontId="43" fillId="0" borderId="32" xfId="0" applyFont="1" applyBorder="1" applyAlignment="1">
      <alignment horizontal="left" vertical="top" wrapText="1"/>
    </xf>
    <xf numFmtId="0" fontId="43" fillId="0" borderId="36" xfId="0" applyFont="1" applyBorder="1" applyAlignment="1">
      <alignment horizontal="left" vertical="top" wrapText="1"/>
    </xf>
    <xf numFmtId="0" fontId="43" fillId="0" borderId="34" xfId="0" applyFont="1" applyBorder="1" applyAlignment="1">
      <alignment horizontal="left" vertical="top" wrapText="1"/>
    </xf>
    <xf numFmtId="0" fontId="43" fillId="0" borderId="38" xfId="0" applyFont="1" applyBorder="1" applyAlignment="1">
      <alignment horizontal="left" vertical="top" wrapText="1"/>
    </xf>
    <xf numFmtId="0" fontId="43" fillId="0" borderId="35" xfId="0" applyFont="1" applyBorder="1" applyAlignment="1">
      <alignment horizontal="left" vertical="top" wrapText="1"/>
    </xf>
    <xf numFmtId="4" fontId="21" fillId="34" borderId="23" xfId="0" applyNumberFormat="1" applyFont="1" applyFill="1" applyBorder="1" applyAlignment="1">
      <alignment horizontal="center"/>
    </xf>
    <xf numFmtId="4" fontId="21" fillId="34" borderId="0" xfId="0" applyNumberFormat="1" applyFont="1" applyFill="1" applyBorder="1" applyAlignment="1">
      <alignment horizontal="center"/>
    </xf>
    <xf numFmtId="4" fontId="21" fillId="0" borderId="23" xfId="0" applyNumberFormat="1" applyFont="1" applyBorder="1" applyAlignment="1">
      <alignment horizontal="center"/>
    </xf>
    <xf numFmtId="4" fontId="21" fillId="0" borderId="0" xfId="0" applyNumberFormat="1" applyFont="1" applyBorder="1" applyAlignment="1">
      <alignment horizontal="center"/>
    </xf>
    <xf numFmtId="0" fontId="23" fillId="0" borderId="0" xfId="0" applyFont="1" applyBorder="1" applyAlignment="1">
      <alignment horizontal="center" wrapText="1"/>
    </xf>
    <xf numFmtId="0" fontId="19" fillId="0" borderId="0" xfId="0" applyFont="1" applyAlignment="1">
      <alignment horizontal="left" wrapText="1"/>
    </xf>
    <xf numFmtId="0" fontId="42" fillId="0" borderId="37" xfId="0" applyFont="1" applyBorder="1" applyAlignment="1">
      <alignment horizontal="left" vertical="top" wrapText="1"/>
    </xf>
    <xf numFmtId="0" fontId="42" fillId="0" borderId="31" xfId="0" applyFont="1" applyBorder="1" applyAlignment="1">
      <alignment horizontal="left" vertical="top" wrapText="1"/>
    </xf>
    <xf numFmtId="0" fontId="42" fillId="0" borderId="32" xfId="0" applyFont="1" applyBorder="1" applyAlignment="1">
      <alignment horizontal="left" vertical="top" wrapText="1"/>
    </xf>
    <xf numFmtId="0" fontId="42" fillId="0" borderId="36" xfId="0" applyFont="1" applyBorder="1" applyAlignment="1">
      <alignment horizontal="left" vertical="top" wrapText="1"/>
    </xf>
    <xf numFmtId="0" fontId="42" fillId="0" borderId="0" xfId="0" applyFont="1" applyBorder="1" applyAlignment="1">
      <alignment horizontal="left" vertical="top" wrapText="1"/>
    </xf>
    <xf numFmtId="0" fontId="42" fillId="0" borderId="34" xfId="0" applyFont="1" applyBorder="1" applyAlignment="1">
      <alignment horizontal="left" vertical="top" wrapText="1"/>
    </xf>
    <xf numFmtId="0" fontId="42" fillId="0" borderId="38" xfId="0" applyFont="1" applyBorder="1" applyAlignment="1">
      <alignment horizontal="left" vertical="top" wrapText="1"/>
    </xf>
    <xf numFmtId="0" fontId="42" fillId="0" borderId="29" xfId="0" applyFont="1" applyBorder="1" applyAlignment="1">
      <alignment horizontal="left" vertical="top" wrapText="1"/>
    </xf>
    <xf numFmtId="0" fontId="42" fillId="0" borderId="35" xfId="0" applyFont="1" applyBorder="1" applyAlignment="1">
      <alignment horizontal="left" vertical="top" wrapText="1"/>
    </xf>
    <xf numFmtId="0" fontId="35" fillId="0" borderId="22" xfId="0" applyFont="1" applyBorder="1" applyAlignment="1">
      <alignment horizontal="center" vertical="center" textRotation="90"/>
    </xf>
    <xf numFmtId="0" fontId="35" fillId="0" borderId="23" xfId="0" applyFont="1" applyBorder="1" applyAlignment="1">
      <alignment horizontal="center" vertical="center" textRotation="90"/>
    </xf>
    <xf numFmtId="0" fontId="35" fillId="0" borderId="24" xfId="0" applyFont="1" applyBorder="1" applyAlignment="1">
      <alignment horizontal="center" vertical="center" textRotation="90"/>
    </xf>
    <xf numFmtId="0" fontId="59" fillId="0" borderId="0" xfId="0" applyFont="1" applyFill="1" applyBorder="1" applyAlignment="1">
      <alignment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vertical="top" wrapText="1"/>
    </xf>
    <xf numFmtId="0" fontId="0" fillId="0" borderId="0" xfId="0" applyAlignment="1">
      <alignment vertical="top" wrapText="1"/>
    </xf>
    <xf numFmtId="4" fontId="62" fillId="0" borderId="41" xfId="0" applyNumberFormat="1" applyFont="1" applyFill="1" applyBorder="1" applyAlignment="1">
      <alignment wrapText="1"/>
    </xf>
    <xf numFmtId="0" fontId="62" fillId="0" borderId="39" xfId="0" applyFont="1" applyFill="1" applyBorder="1" applyAlignment="1">
      <alignment wrapText="1"/>
    </xf>
    <xf numFmtId="0" fontId="62" fillId="0" borderId="40" xfId="0" applyFont="1" applyFill="1" applyBorder="1" applyAlignment="1">
      <alignment wrapText="1"/>
    </xf>
    <xf numFmtId="4" fontId="48" fillId="0" borderId="0" xfId="0" applyNumberFormat="1" applyFont="1" applyFill="1" applyBorder="1" applyAlignment="1">
      <alignment wrapText="1"/>
    </xf>
    <xf numFmtId="0" fontId="48" fillId="0" borderId="0" xfId="0" applyFont="1" applyFill="1" applyBorder="1" applyAlignment="1">
      <alignment wrapText="1"/>
    </xf>
    <xf numFmtId="4" fontId="48" fillId="0" borderId="0" xfId="0" applyNumberFormat="1" applyFont="1" applyFill="1" applyBorder="1" applyAlignment="1">
      <alignment vertical="center" wrapText="1"/>
    </xf>
    <xf numFmtId="0" fontId="48" fillId="0" borderId="0" xfId="0" applyFont="1" applyFill="1" applyBorder="1" applyAlignment="1">
      <alignment vertical="center" wrapText="1"/>
    </xf>
    <xf numFmtId="0" fontId="65" fillId="0" borderId="0" xfId="0" applyFont="1" applyAlignment="1">
      <alignment horizont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cellStyle name="Input" xfId="9" builtinId="20" customBuiltin="1"/>
    <cellStyle name="Linked Cell" xfId="12" builtinId="24" customBuiltin="1"/>
    <cellStyle name="Neutral" xfId="8" builtinId="28" customBuiltin="1"/>
    <cellStyle name="Normal" xfId="0" builtinId="0"/>
    <cellStyle name="Normal 2" xfId="44" xr:uid="{00000000-0005-0000-0000-000026000000}"/>
    <cellStyle name="Note" xfId="15" builtinId="10" customBuiltin="1"/>
    <cellStyle name="Output" xfId="10" builtinId="21" customBuiltin="1"/>
    <cellStyle name="Percent" xfId="43" builtinId="5"/>
    <cellStyle name="Percent 2" xfId="45" xr:uid="{00000000-0005-0000-0000-00002A000000}"/>
    <cellStyle name="Title" xfId="1" builtinId="15" customBuiltin="1"/>
    <cellStyle name="Total" xfId="17" builtinId="25" customBuiltin="1"/>
    <cellStyle name="Warning Text" xfId="14" builtinId="11" customBuiltin="1"/>
  </cellStyles>
  <dxfs count="239">
    <dxf>
      <fill>
        <patternFill patternType="lightDown"/>
      </fill>
    </dxf>
    <dxf>
      <fill>
        <patternFill patternType="lightDown"/>
      </fill>
    </dxf>
    <dxf>
      <fill>
        <patternFill patternType="lightDown"/>
      </fill>
    </dxf>
    <dxf>
      <fill>
        <patternFill patternType="lightDown"/>
      </fill>
    </dxf>
    <dxf>
      <font>
        <b val="0"/>
        <i val="0"/>
        <strike val="0"/>
        <condense val="0"/>
        <extend val="0"/>
        <outline val="0"/>
        <shadow val="0"/>
        <u val="none"/>
        <vertAlign val="baseline"/>
        <sz val="16"/>
        <color theme="1"/>
        <name val="Calibri"/>
        <family val="2"/>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font>
        <b val="0"/>
        <i val="0"/>
        <strike val="0"/>
        <condense val="0"/>
        <extend val="0"/>
        <outline val="0"/>
        <shadow val="0"/>
        <u val="none"/>
        <vertAlign val="baseline"/>
        <sz val="16"/>
        <color theme="1"/>
        <name val="Calibri"/>
        <family val="2"/>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indent="0" justifyLastLine="0" shrinkToFit="0" readingOrder="0"/>
    </dxf>
    <dxf>
      <font>
        <b val="0"/>
        <i val="0"/>
        <strike val="0"/>
        <condense val="0"/>
        <extend val="0"/>
        <outline val="0"/>
        <shadow val="0"/>
        <u val="none"/>
        <vertAlign val="baseline"/>
        <sz val="16"/>
        <color theme="1"/>
        <name val="Calibri"/>
        <family val="2"/>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2" formatCode="0.00"/>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1" formatCode="0"/>
      <fill>
        <patternFill patternType="solid">
          <fgColor indexed="64"/>
          <bgColor theme="5" tint="0.59999389629810485"/>
        </patternFill>
      </fill>
      <alignment horizontal="center" vertical="bottom" textRotation="0" indent="0" justifyLastLine="0" shrinkToFit="0" readingOrder="0"/>
    </dxf>
    <dxf>
      <alignment horizontal="center" vertical="bottom" textRotation="0" wrapText="0" indent="0" justifyLastLine="0" shrinkToFit="0" readingOrder="0"/>
    </dxf>
    <dxf>
      <numFmt numFmtId="1" formatCode="0"/>
      <fill>
        <patternFill patternType="solid">
          <fgColor indexed="64"/>
          <bgColor theme="5" tint="0.59999389629810485"/>
        </patternFill>
      </fill>
      <alignment horizontal="center" vertical="bottom" textRotation="0" indent="0" justifyLastLine="0" shrinkToFit="0" readingOrder="0"/>
    </dxf>
    <dxf>
      <alignment horizontal="center" vertical="bottom" textRotation="0" wrapText="0" indent="0" justifyLastLine="0" shrinkToFit="0" readingOrder="0"/>
    </dxf>
    <dxf>
      <numFmt numFmtId="2" formatCode="0.00"/>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fill>
        <patternFill>
          <fgColor indexed="64"/>
          <bgColor theme="7"/>
        </patternFill>
      </fill>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6"/>
        <color theme="1"/>
        <name val="Calibri"/>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font>
        <b val="0"/>
        <i val="0"/>
        <strike val="0"/>
        <condense val="0"/>
        <extend val="0"/>
        <outline val="0"/>
        <shadow val="0"/>
        <u val="none"/>
        <vertAlign val="baseline"/>
        <sz val="16"/>
        <color theme="1"/>
        <name val="Calibri"/>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indent="0" justifyLastLine="0" shrinkToFit="0" readingOrder="0"/>
    </dxf>
    <dxf>
      <font>
        <b val="0"/>
        <i val="0"/>
        <strike val="0"/>
        <condense val="0"/>
        <extend val="0"/>
        <outline val="0"/>
        <shadow val="0"/>
        <u val="none"/>
        <vertAlign val="baseline"/>
        <sz val="16"/>
        <color theme="1"/>
        <name val="Calibri"/>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2" formatCode="0.00"/>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1" formatCode="0"/>
      <fill>
        <patternFill patternType="solid">
          <fgColor indexed="64"/>
          <bgColor theme="5" tint="0.59999389629810485"/>
        </patternFill>
      </fill>
      <alignment horizontal="center" vertical="bottom" textRotation="0" indent="0" justifyLastLine="0" shrinkToFit="0" readingOrder="0"/>
    </dxf>
    <dxf>
      <alignment horizontal="center" vertical="bottom" textRotation="0" wrapText="0" indent="0" justifyLastLine="0" shrinkToFit="0" readingOrder="0"/>
    </dxf>
    <dxf>
      <numFmt numFmtId="1" formatCode="0"/>
      <fill>
        <patternFill patternType="solid">
          <fgColor indexed="64"/>
          <bgColor theme="5" tint="0.59999389629810485"/>
        </patternFill>
      </fill>
      <alignment horizontal="center" vertical="bottom" textRotation="0" indent="0" justifyLastLine="0" shrinkToFit="0" readingOrder="0"/>
    </dxf>
    <dxf>
      <alignment horizontal="center" vertical="bottom" textRotation="0" wrapText="0" indent="0" justifyLastLine="0" shrinkToFit="0" readingOrder="0"/>
    </dxf>
    <dxf>
      <numFmt numFmtId="2" formatCode="0.00"/>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fill>
        <patternFill>
          <fgColor indexed="64"/>
          <bgColor theme="7"/>
        </patternFill>
      </fill>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6"/>
        <color theme="1"/>
        <name val="Calibri"/>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font>
        <b val="0"/>
        <i val="0"/>
        <strike val="0"/>
        <condense val="0"/>
        <extend val="0"/>
        <outline val="0"/>
        <shadow val="0"/>
        <u val="none"/>
        <vertAlign val="baseline"/>
        <sz val="16"/>
        <color theme="1"/>
        <name val="Calibri"/>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indent="0" justifyLastLine="0" shrinkToFit="0" readingOrder="0"/>
    </dxf>
    <dxf>
      <font>
        <b val="0"/>
        <i val="0"/>
        <strike val="0"/>
        <condense val="0"/>
        <extend val="0"/>
        <outline val="0"/>
        <shadow val="0"/>
        <u val="none"/>
        <vertAlign val="baseline"/>
        <sz val="16"/>
        <color theme="1"/>
        <name val="Calibri"/>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2" formatCode="0.00"/>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1" formatCode="0"/>
      <fill>
        <patternFill patternType="solid">
          <fgColor indexed="64"/>
          <bgColor theme="5" tint="0.59999389629810485"/>
        </patternFill>
      </fill>
      <alignment horizontal="center" vertical="bottom" textRotation="0" indent="0" justifyLastLine="0" shrinkToFit="0" readingOrder="0"/>
    </dxf>
    <dxf>
      <alignment horizontal="center" vertical="bottom" textRotation="0" wrapText="0" indent="0" justifyLastLine="0" shrinkToFit="0" readingOrder="0"/>
    </dxf>
    <dxf>
      <numFmt numFmtId="1" formatCode="0"/>
      <fill>
        <patternFill patternType="solid">
          <fgColor indexed="64"/>
          <bgColor theme="5" tint="0.59999389629810485"/>
        </patternFill>
      </fill>
      <alignment horizontal="center" vertical="bottom" textRotation="0" indent="0" justifyLastLine="0" shrinkToFit="0" readingOrder="0"/>
    </dxf>
    <dxf>
      <alignment horizontal="center" vertical="bottom" textRotation="0" wrapText="0" indent="0" justifyLastLine="0" shrinkToFit="0" readingOrder="0"/>
    </dxf>
    <dxf>
      <numFmt numFmtId="2" formatCode="0.00"/>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fill>
        <patternFill>
          <fgColor indexed="64"/>
          <bgColor theme="7"/>
        </patternFill>
      </fill>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6"/>
        <color theme="1"/>
        <name val="Calibri"/>
        <family val="2"/>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font>
        <b val="0"/>
        <i val="0"/>
        <strike val="0"/>
        <condense val="0"/>
        <extend val="0"/>
        <outline val="0"/>
        <shadow val="0"/>
        <u val="none"/>
        <vertAlign val="baseline"/>
        <sz val="16"/>
        <color theme="1"/>
        <name val="Calibri"/>
        <family val="2"/>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indent="0" justifyLastLine="0" shrinkToFit="0" readingOrder="0"/>
    </dxf>
    <dxf>
      <font>
        <b val="0"/>
        <i val="0"/>
        <strike val="0"/>
        <condense val="0"/>
        <extend val="0"/>
        <outline val="0"/>
        <shadow val="0"/>
        <u val="none"/>
        <vertAlign val="baseline"/>
        <sz val="16"/>
        <color theme="1"/>
        <name val="Calibri"/>
        <family val="2"/>
        <scheme val="minor"/>
      </font>
      <numFmt numFmtId="4" formatCode="#,##0.00"/>
      <fill>
        <patternFill patternType="solid">
          <fgColor indexed="64"/>
          <bgColor rgb="FFFFFF00"/>
        </patternFill>
      </fill>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4" formatCode="#,##0.00"/>
      <alignment horizontal="center" vertical="bottom" textRotation="0" indent="0" justifyLastLine="0" shrinkToFit="0" readingOrder="0"/>
    </dxf>
    <dxf>
      <alignment horizontal="center" vertical="bottom" textRotation="0" wrapText="0" indent="0" justifyLastLine="0" shrinkToFit="0" readingOrder="0"/>
    </dxf>
    <dxf>
      <numFmt numFmtId="170" formatCode="0.0%"/>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2" formatCode="0.00"/>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2" formatCode="0.00"/>
      <alignment horizontal="center" vertical="bottom" textRotation="0" indent="0" justifyLastLine="0" shrinkToFit="0" readingOrder="0"/>
    </dxf>
    <dxf>
      <alignment horizontal="center" vertical="bottom" textRotation="0" wrapText="0" indent="0" justifyLastLine="0" shrinkToFit="0" readingOrder="0"/>
    </dxf>
    <dxf>
      <numFmt numFmtId="1" formatCode="0"/>
      <fill>
        <patternFill patternType="solid">
          <fgColor indexed="64"/>
          <bgColor theme="5" tint="0.59999389629810485"/>
        </patternFill>
      </fill>
      <alignment horizontal="center" vertical="bottom" textRotation="0" indent="0" justifyLastLine="0" shrinkToFit="0" readingOrder="0"/>
    </dxf>
    <dxf>
      <alignment horizontal="center" vertical="bottom" textRotation="0" wrapText="0" indent="0" justifyLastLine="0" shrinkToFit="0" readingOrder="0"/>
    </dxf>
    <dxf>
      <numFmt numFmtId="1" formatCode="0"/>
      <fill>
        <patternFill patternType="solid">
          <fgColor indexed="64"/>
          <bgColor theme="5" tint="0.59999389629810485"/>
        </patternFill>
      </fill>
      <alignment horizontal="center" vertical="bottom" textRotation="0" indent="0" justifyLastLine="0" shrinkToFit="0" readingOrder="0"/>
    </dxf>
    <dxf>
      <alignment horizontal="center" vertical="bottom" textRotation="0" wrapText="0" indent="0" justifyLastLine="0" shrinkToFit="0" readingOrder="0"/>
    </dxf>
    <dxf>
      <numFmt numFmtId="2" formatCode="0.00"/>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fill>
        <patternFill patternType="solid">
          <fgColor indexed="64"/>
          <bgColor rgb="FFFFC000"/>
        </patternFill>
      </fill>
      <alignment horizontal="center" vertical="bottom" textRotation="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fill>
        <patternFill patternType="solid">
          <fgColor indexed="64"/>
          <bgColor theme="7"/>
        </patternFill>
      </fill>
      <alignment horizontal="center" vertical="bottom" textRotation="0" indent="0" justifyLastLine="0" shrinkToFit="0" readingOrder="0"/>
    </dxf>
    <dxf>
      <alignment horizontal="center" vertical="bottom" textRotation="0" wrapText="0" indent="0" justifyLastLine="0" shrinkToFit="0" readingOrder="0"/>
    </dxf>
    <dxf>
      <fill>
        <patternFill>
          <fgColor indexed="64"/>
          <bgColor theme="7"/>
        </patternFill>
      </fill>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border diagonalUp="0" diagonalDown="0" outline="0">
        <left style="thin">
          <color theme="1" tint="0.24994659260841701"/>
        </left>
        <right/>
        <top/>
        <bottom/>
      </border>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style="medium">
          <color indexed="64"/>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border diagonalUp="0" diagonalDown="0">
        <left/>
        <right style="medium">
          <color auto="1"/>
        </right>
        <top/>
        <bottom/>
        <vertical style="medium">
          <color auto="1"/>
        </vertical>
        <horizontal/>
      </border>
    </dxf>
    <dxf>
      <font>
        <b val="0"/>
        <i val="0"/>
        <strike val="0"/>
        <condense val="0"/>
        <extend val="0"/>
        <outline val="0"/>
        <shadow val="0"/>
        <u val="none"/>
        <vertAlign val="baseline"/>
        <sz val="10"/>
        <color theme="1"/>
        <name val="Arial"/>
        <scheme val="none"/>
      </font>
      <numFmt numFmtId="4" formatCode="#,##0.00"/>
      <fill>
        <patternFill patternType="none">
          <fgColor indexed="64"/>
          <bgColor indexed="65"/>
        </patternFill>
      </fill>
      <border diagonalUp="0" diagonalDown="0" outline="0">
        <left/>
        <right style="medium">
          <color indexed="64"/>
        </right>
        <top/>
        <bottom/>
      </border>
    </dxf>
    <dxf>
      <border diagonalUp="0" diagonalDown="0">
        <left style="thin">
          <color theme="1" tint="0.24994659260841701"/>
        </left>
        <right style="thin">
          <color theme="1" tint="0.24994659260841701"/>
        </right>
        <top/>
        <bottom style="thin">
          <color theme="1" tint="0.24994659260841701"/>
        </bottom>
      </border>
    </dxf>
    <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border diagonalUp="0" diagonalDown="0">
        <left style="medium">
          <color auto="1"/>
        </left>
        <right style="medium">
          <color auto="1"/>
        </right>
        <top/>
        <bottom/>
        <vertical style="medium">
          <color auto="1"/>
        </vertical>
        <horizontal style="medium">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45720</xdr:colOff>
      <xdr:row>15</xdr:row>
      <xdr:rowOff>167640</xdr:rowOff>
    </xdr:from>
    <xdr:to>
      <xdr:col>14</xdr:col>
      <xdr:colOff>792480</xdr:colOff>
      <xdr:row>15</xdr:row>
      <xdr:rowOff>167640</xdr:rowOff>
    </xdr:to>
    <xdr:cxnSp macro="">
      <xdr:nvCxnSpPr>
        <xdr:cNvPr id="4" name="Straight Connector 3">
          <a:extLst>
            <a:ext uri="{FF2B5EF4-FFF2-40B4-BE49-F238E27FC236}">
              <a16:creationId xmlns:a16="http://schemas.microsoft.com/office/drawing/2014/main" id="{00000000-0008-0000-0200-000004000000}"/>
            </a:ext>
          </a:extLst>
        </xdr:cNvPr>
        <xdr:cNvCxnSpPr/>
      </xdr:nvCxnSpPr>
      <xdr:spPr>
        <a:xfrm>
          <a:off x="6598920" y="3147060"/>
          <a:ext cx="74676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45720</xdr:colOff>
      <xdr:row>15</xdr:row>
      <xdr:rowOff>167640</xdr:rowOff>
    </xdr:from>
    <xdr:to>
      <xdr:col>18</xdr:col>
      <xdr:colOff>792480</xdr:colOff>
      <xdr:row>15</xdr:row>
      <xdr:rowOff>167640</xdr:rowOff>
    </xdr:to>
    <xdr:cxnSp macro="">
      <xdr:nvCxnSpPr>
        <xdr:cNvPr id="5" name="Straight Connector 4">
          <a:extLst>
            <a:ext uri="{FF2B5EF4-FFF2-40B4-BE49-F238E27FC236}">
              <a16:creationId xmlns:a16="http://schemas.microsoft.com/office/drawing/2014/main" id="{00000000-0008-0000-0200-000005000000}"/>
            </a:ext>
          </a:extLst>
        </xdr:cNvPr>
        <xdr:cNvCxnSpPr/>
      </xdr:nvCxnSpPr>
      <xdr:spPr>
        <a:xfrm>
          <a:off x="5897880" y="3383280"/>
          <a:ext cx="74676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45720</xdr:colOff>
      <xdr:row>15</xdr:row>
      <xdr:rowOff>167640</xdr:rowOff>
    </xdr:from>
    <xdr:to>
      <xdr:col>23</xdr:col>
      <xdr:colOff>792480</xdr:colOff>
      <xdr:row>15</xdr:row>
      <xdr:rowOff>167640</xdr:rowOff>
    </xdr:to>
    <xdr:cxnSp macro="">
      <xdr:nvCxnSpPr>
        <xdr:cNvPr id="6" name="Straight Connector 5">
          <a:extLst>
            <a:ext uri="{FF2B5EF4-FFF2-40B4-BE49-F238E27FC236}">
              <a16:creationId xmlns:a16="http://schemas.microsoft.com/office/drawing/2014/main" id="{00000000-0008-0000-0200-000006000000}"/>
            </a:ext>
          </a:extLst>
        </xdr:cNvPr>
        <xdr:cNvCxnSpPr/>
      </xdr:nvCxnSpPr>
      <xdr:spPr>
        <a:xfrm>
          <a:off x="5897880" y="3383280"/>
          <a:ext cx="74676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45720</xdr:colOff>
      <xdr:row>15</xdr:row>
      <xdr:rowOff>167640</xdr:rowOff>
    </xdr:from>
    <xdr:to>
      <xdr:col>18</xdr:col>
      <xdr:colOff>792480</xdr:colOff>
      <xdr:row>15</xdr:row>
      <xdr:rowOff>167640</xdr:rowOff>
    </xdr:to>
    <xdr:cxnSp macro="">
      <xdr:nvCxnSpPr>
        <xdr:cNvPr id="7" name="Straight Connector 6">
          <a:extLst>
            <a:ext uri="{FF2B5EF4-FFF2-40B4-BE49-F238E27FC236}">
              <a16:creationId xmlns:a16="http://schemas.microsoft.com/office/drawing/2014/main" id="{00000000-0008-0000-0200-000007000000}"/>
            </a:ext>
          </a:extLst>
        </xdr:cNvPr>
        <xdr:cNvCxnSpPr/>
      </xdr:nvCxnSpPr>
      <xdr:spPr>
        <a:xfrm>
          <a:off x="5897880" y="3383280"/>
          <a:ext cx="70104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45720</xdr:colOff>
      <xdr:row>15</xdr:row>
      <xdr:rowOff>167640</xdr:rowOff>
    </xdr:from>
    <xdr:to>
      <xdr:col>23</xdr:col>
      <xdr:colOff>792480</xdr:colOff>
      <xdr:row>15</xdr:row>
      <xdr:rowOff>167640</xdr:rowOff>
    </xdr:to>
    <xdr:cxnSp macro="">
      <xdr:nvCxnSpPr>
        <xdr:cNvPr id="8" name="Straight Connector 7">
          <a:extLst>
            <a:ext uri="{FF2B5EF4-FFF2-40B4-BE49-F238E27FC236}">
              <a16:creationId xmlns:a16="http://schemas.microsoft.com/office/drawing/2014/main" id="{00000000-0008-0000-0200-000008000000}"/>
            </a:ext>
          </a:extLst>
        </xdr:cNvPr>
        <xdr:cNvCxnSpPr/>
      </xdr:nvCxnSpPr>
      <xdr:spPr>
        <a:xfrm>
          <a:off x="5897880" y="3383280"/>
          <a:ext cx="70104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158750</xdr:colOff>
      <xdr:row>4</xdr:row>
      <xdr:rowOff>19051</xdr:rowOff>
    </xdr:from>
    <xdr:to>
      <xdr:col>10</xdr:col>
      <xdr:colOff>22730</xdr:colOff>
      <xdr:row>36</xdr:row>
      <xdr:rowOff>516454</xdr:rowOff>
    </xdr:to>
    <xdr:pic>
      <xdr:nvPicPr>
        <xdr:cNvPr id="2" name="Picture 1" descr="Screen Clippi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750" y="1185864"/>
          <a:ext cx="6282531" cy="6998215"/>
        </a:xfrm>
        <a:prstGeom prst="rect">
          <a:avLst/>
        </a:prstGeom>
      </xdr:spPr>
    </xdr:pic>
    <xdr:clientData/>
  </xdr:twoCellAnchor>
  <xdr:twoCellAnchor editAs="oneCell">
    <xdr:from>
      <xdr:col>0</xdr:col>
      <xdr:colOff>450850</xdr:colOff>
      <xdr:row>45</xdr:row>
      <xdr:rowOff>22225</xdr:rowOff>
    </xdr:from>
    <xdr:to>
      <xdr:col>10</xdr:col>
      <xdr:colOff>513773</xdr:colOff>
      <xdr:row>65</xdr:row>
      <xdr:rowOff>54294</xdr:rowOff>
    </xdr:to>
    <xdr:pic>
      <xdr:nvPicPr>
        <xdr:cNvPr id="3" name="Picture 2" descr="Screen Clippi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0850" y="12023725"/>
          <a:ext cx="6969125" cy="3663114"/>
        </a:xfrm>
        <a:prstGeom prst="rect">
          <a:avLst/>
        </a:prstGeom>
      </xdr:spPr>
    </xdr:pic>
    <xdr:clientData/>
  </xdr:twoCellAnchor>
  <xdr:twoCellAnchor editAs="oneCell">
    <xdr:from>
      <xdr:col>0</xdr:col>
      <xdr:colOff>523875</xdr:colOff>
      <xdr:row>63</xdr:row>
      <xdr:rowOff>79375</xdr:rowOff>
    </xdr:from>
    <xdr:to>
      <xdr:col>10</xdr:col>
      <xdr:colOff>434398</xdr:colOff>
      <xdr:row>106</xdr:row>
      <xdr:rowOff>91994</xdr:rowOff>
    </xdr:to>
    <xdr:pic>
      <xdr:nvPicPr>
        <xdr:cNvPr id="4" name="Picture 3" descr="Screen Clippi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3875" y="15509875"/>
          <a:ext cx="6816725" cy="8204118"/>
        </a:xfrm>
        <a:prstGeom prst="rect">
          <a:avLst/>
        </a:prstGeom>
      </xdr:spPr>
    </xdr:pic>
    <xdr:clientData/>
  </xdr:twoCellAnchor>
  <xdr:twoCellAnchor editAs="oneCell">
    <xdr:from>
      <xdr:col>12</xdr:col>
      <xdr:colOff>692727</xdr:colOff>
      <xdr:row>35</xdr:row>
      <xdr:rowOff>433986</xdr:rowOff>
    </xdr:from>
    <xdr:to>
      <xdr:col>19</xdr:col>
      <xdr:colOff>346823</xdr:colOff>
      <xdr:row>42</xdr:row>
      <xdr:rowOff>161470</xdr:rowOff>
    </xdr:to>
    <xdr:pic>
      <xdr:nvPicPr>
        <xdr:cNvPr id="9" name="Picture 8">
          <a:extLst>
            <a:ext uri="{FF2B5EF4-FFF2-40B4-BE49-F238E27FC236}">
              <a16:creationId xmlns:a16="http://schemas.microsoft.com/office/drawing/2014/main" id="{6FD7A83C-89B7-5145-9F58-F08D112A00E4}"/>
            </a:ext>
          </a:extLst>
        </xdr:cNvPr>
        <xdr:cNvPicPr>
          <a:picLocks noChangeAspect="1"/>
        </xdr:cNvPicPr>
      </xdr:nvPicPr>
      <xdr:blipFill>
        <a:blip xmlns:r="http://schemas.openxmlformats.org/officeDocument/2006/relationships" r:embed="rId4"/>
        <a:stretch>
          <a:fillRect/>
        </a:stretch>
      </xdr:blipFill>
      <xdr:spPr>
        <a:xfrm>
          <a:off x="9144000" y="7707622"/>
          <a:ext cx="5011187" cy="217512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aufdenkampe/Google%20Drive/WikiWatershed/ModelMyWatershed2-WPF-Project/MMW-BMPs/Barry/Chiques_Creek_Urban_BMPCalculatorVer3+AK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READ ME! INSTRUCTIONS"/>
      <sheetName val="PerformStdApproach"/>
      <sheetName val="Loading"/>
      <sheetName val="ExistingBMPs"/>
      <sheetName val="ProposedBMPs"/>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oadsTable" displayName="LoadsTable" ref="B17:M32" headerRowCount="0" totalsRowShown="0" headerRowDxfId="238" dataDxfId="237" tableBorderDxfId="236">
  <tableColumns count="12">
    <tableColumn id="1" xr3:uid="{00000000-0010-0000-0000-000001000000}" name="Column1" headerRowDxfId="235" dataDxfId="234"/>
    <tableColumn id="2" xr3:uid="{00000000-0010-0000-0000-000002000000}" name="Column2" headerRowDxfId="233" dataDxfId="232">
      <calculatedColumnFormula>+'MMW Output'!C22</calculatedColumnFormula>
    </tableColumn>
    <tableColumn id="3" xr3:uid="{00000000-0010-0000-0000-000003000000}" name="Column3" headerRowDxfId="231" dataDxfId="230">
      <calculatedColumnFormula>+'MMW Output'!#REF!</calculatedColumnFormula>
    </tableColumn>
    <tableColumn id="4" xr3:uid="{00000000-0010-0000-0000-000004000000}" name="Column4" headerRowDxfId="229" dataDxfId="228">
      <calculatedColumnFormula>+'MMW Output'!#REF!</calculatedColumnFormula>
    </tableColumn>
    <tableColumn id="5" xr3:uid="{00000000-0010-0000-0000-000005000000}" name="Column5" headerRowDxfId="227" dataDxfId="226"/>
    <tableColumn id="6" xr3:uid="{00000000-0010-0000-0000-000006000000}" name="Column6" headerRowDxfId="225" dataDxfId="224">
      <calculatedColumnFormula>+'MMW Output'!D22</calculatedColumnFormula>
    </tableColumn>
    <tableColumn id="7" xr3:uid="{00000000-0010-0000-0000-000007000000}" name="Column7" headerRowDxfId="223" dataDxfId="222">
      <calculatedColumnFormula>+'MMW Output'!#REF!</calculatedColumnFormula>
    </tableColumn>
    <tableColumn id="8" xr3:uid="{00000000-0010-0000-0000-000008000000}" name="Column8" headerRowDxfId="221" dataDxfId="220"/>
    <tableColumn id="9" xr3:uid="{00000000-0010-0000-0000-000009000000}" name="Column9" headerRowDxfId="219" dataDxfId="218">
      <calculatedColumnFormula>+'MMW Output'!E22</calculatedColumnFormula>
    </tableColumn>
    <tableColumn id="10" xr3:uid="{00000000-0010-0000-0000-00000A000000}" name="Column10" headerRowDxfId="217" dataDxfId="216">
      <calculatedColumnFormula>+'MMW Output'!#REF!</calculatedColumnFormula>
    </tableColumn>
    <tableColumn id="11" xr3:uid="{00000000-0010-0000-0000-00000B000000}" name="Column11" headerRowDxfId="215" dataDxfId="214"/>
    <tableColumn id="12" xr3:uid="{00000000-0010-0000-0000-00000C000000}" name="Column12" headerRowDxfId="213" dataDxfId="212">
      <calculatedColumnFormula>+'MMW Output'!F22</calculatedColumnFormula>
    </tableColum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BD8B6B-5037-384C-82D5-596A5FCC3503}" name="ExistingBMPs" displayName="ExistingBMPs" ref="A11:W20" totalsRowCount="1" headerRowDxfId="199" dataDxfId="198" totalsRowDxfId="197">
  <autoFilter ref="A11:W19"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19D2F316-B3FE-A24A-9CC0-4EDE41B3BC0B}" name="Name" totalsRowLabel="Total" dataDxfId="196" totalsRowDxfId="195"/>
    <tableColumn id="2" xr3:uid="{3DA2D9D0-10C3-1E4B-BB8C-55DDA2F6E6EE}" name="BMP Type" dataDxfId="194" totalsRowDxfId="193"/>
    <tableColumn id="20" xr3:uid="{F4F403C4-5B0E-0047-8A91-2D6F53602F85}" name="Year Installed" dataDxfId="192" totalsRowDxfId="191"/>
    <tableColumn id="11" xr3:uid="{66AE471F-BD00-D143-9FB4-A1BD0F4160CF}" name="MapShed Land Cover of Drainage Area" dataDxfId="190" totalsRowDxfId="189"/>
    <tableColumn id="4" xr3:uid="{AF0B1A04-373A-3E4A-9E18-9F0802F19447}" name="Drainage Area (ac)" dataDxfId="188" totalsRowDxfId="187"/>
    <tableColumn id="12" xr3:uid="{26DA31C8-B556-C440-BF89-353C414107BE}" name="Treatment Depth (in)" dataDxfId="186" totalsRowDxfId="185"/>
    <tableColumn id="19" xr3:uid="{445FDF9A-2D64-E348-A307-AE99F0596664}" name="Stream Restoration* Length (ft) - Qualified projects only" dataDxfId="184" totalsRowDxfId="183"/>
    <tableColumn id="8" xr3:uid="{28B078A6-E8C7-0543-A3AF-71F38A33C2BF}" name="Street Sweeping* Road Length Swept (ft) - Qualified projects only" dataDxfId="182" totalsRowDxfId="181"/>
    <tableColumn id="5" xr3:uid="{6EC3BAE2-A8CC-4E44-ABA7-827FE1938AE3}" name="Impervious Area (ac)" dataDxfId="180" totalsRowDxfId="179">
      <calculatedColumnFormula>ExistingBMPs[[#This Row],[Drainage Area (ac)]]*ExistingBMPs[[#This Row],[Impervious (%)]]</calculatedColumnFormula>
    </tableColumn>
    <tableColumn id="6" xr3:uid="{B82DC3AA-D179-854F-B754-CC8812D170F2}" name="Treatment Depth (in/imp. ac)" dataDxfId="178" totalsRowDxfId="177">
      <calculatedColumnFormula>IFERROR(MIN(ExistingBMPs[[#This Row],[Treatment Depth (in)]]*ExistingBMPs[[#This Row],[Drainage Area (ac)]]/ExistingBMPs[[#This Row],[Impervious Area (ac)]],2.5),NA())</calculatedColumnFormula>
    </tableColumn>
    <tableColumn id="7" xr3:uid="{8077470E-220C-2F46-A5BE-C0931CBD611F}" name="Treatment Depth (in/imp. ac) Manual Override - use if no impervious area" dataDxfId="176" totalsRowDxfId="175"/>
    <tableColumn id="3" xr3:uid="{84786CF7-950E-9B4D-A7E7-01A6B7AE98A8}" name="Effective Treatment Depth (in/imp. ac)" dataDxfId="174" totalsRowDxfId="173">
      <calculatedColumnFormula>IF(ExistingBMPs[[#This Row],[Treatment Depth (in/imp. ac) Manual Override - use if no impervious area]]&gt;0,ExistingBMPs[[#This Row],[Treatment Depth (in/imp. ac) Manual Override - use if no impervious area]],ExistingBMPs[[#This Row],[Treatment Depth (in/imp. ac)]])</calculatedColumnFormula>
    </tableColumn>
    <tableColumn id="10" xr3:uid="{B5AAB3F2-0CD2-F44C-8100-467410BC81B6}" name="Impervious (%)" dataDxfId="172" totalsRowDxfId="171">
      <calculatedColumnFormula>IF(ExistingBMPs[[#This Row],[BMP Type]]="Stream Restoration",NA(),IFERROR(INDEX([1]!Impervious[#All],MATCH(ExistingBMPs[[#This Row],[MapShed Land Cover of Drainage Area]],[1]!Impervious[[#All],[Source]],0),4),0))</calculatedColumnFormula>
    </tableColumn>
    <tableColumn id="9" xr3:uid="{5D1AF7DF-0179-B944-8390-C9D0CFFA706C}" name="TSS Load (lbs/yr)" dataDxfId="170" totalsRowDxfId="169">
      <calculatedColumnFormula>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calculatedColumnFormula>
    </tableColumn>
    <tableColumn id="22" xr3:uid="{41D39073-8319-304F-8105-BAFEBB11E279}" name="TP Load (lbs/yr)" dataDxfId="168" totalsRowDxfId="167">
      <calculatedColumnFormula>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calculatedColumnFormula>
    </tableColumn>
    <tableColumn id="23" xr3:uid="{D436432E-5BA6-1B47-8E72-161453847E05}" name="TN Load (lbs/yr)" dataDxfId="166" totalsRowDxfId="165">
      <calculatedColumnFormula>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calculatedColumnFormula>
    </tableColumn>
    <tableColumn id="15" xr3:uid="{FFE438BA-8371-104C-9CAA-92F0529A0C51}" name="TSS Reduction (%)" dataDxfId="164" totalsRowDxfId="163">
      <calculatedColumnFormula>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calculatedColumnFormula>
    </tableColumn>
    <tableColumn id="14" xr3:uid="{3024C9EB-3E8F-2540-AB76-79136621477C}" name="TP Reduction (%)" dataDxfId="162" totalsRowDxfId="161">
      <calculatedColumnFormula>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calculatedColumnFormula>
    </tableColumn>
    <tableColumn id="13" xr3:uid="{770AC6DD-DEEB-AC46-A786-518F02FC3A33}" name="TN Reduction (%)" dataDxfId="160" totalsRowDxfId="159">
      <calculatedColumnFormula>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calculatedColumnFormula>
    </tableColumn>
    <tableColumn id="18" xr3:uid="{F5063B54-0307-B14C-BB13-D87AD445C97E}" name="TSS Reduction (lbs/yr)" totalsRowFunction="custom" dataDxfId="158" totalsRowDxfId="157">
      <calculatedColumnFormula>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calculatedColumnFormula>
      <totalsRowFormula>_xlfn.AGGREGATE(9,7,ExistingBMPs[TSS Reduction (lbs/yr)])</totalsRowFormula>
    </tableColumn>
    <tableColumn id="21" xr3:uid="{55FD8957-BAE8-5B4E-B836-1E2AD1987C28}" name="TSS Reduction (tons/yr)" totalsRowFunction="custom" dataDxfId="156" totalsRowDxfId="155">
      <calculatedColumnFormula>ExistingBMPs[[#This Row],[TSS Reduction (lbs/yr)]]/2000</calculatedColumnFormula>
      <totalsRowFormula>_xlfn.AGGREGATE(9,7,ExistingBMPs[TSS Reduction (tons/yr)])</totalsRowFormula>
    </tableColumn>
    <tableColumn id="17" xr3:uid="{015E27BD-1047-A64F-B7C9-EDCC383ED393}" name="TP Reduction (lbs/yr)" totalsRowFunction="custom" dataDxfId="154" totalsRowDxfId="153">
      <calculatedColumnFormula>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calculatedColumnFormula>
      <totalsRowFormula>_xlfn.AGGREGATE(9,7,ExistingBMPs[TP Reduction (lbs/yr)])</totalsRowFormula>
    </tableColumn>
    <tableColumn id="16" xr3:uid="{65460546-886A-4F42-AEDC-BE645D8F84FF}" name="TN Reduction (lbs/yr)" totalsRowFunction="custom" dataDxfId="152" totalsRowDxfId="151">
      <calculatedColumnFormula>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calculatedColumnFormula>
      <totalsRowFormula>_xlfn.AGGREGATE(9,7,ExistingBMPs[TN Reduction (lbs/yr)])</totalsRow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04065E-84B7-BA47-974B-6679243F10B9}" name="ExistingBMPs6" displayName="ExistingBMPs6" ref="A35:W39" totalsRowCount="1" headerRowDxfId="150" dataDxfId="149" totalsRowDxfId="148">
  <autoFilter ref="A35:W38" xr:uid="{00000000-0009-0000-0100-000005000000}"/>
  <tableColumns count="23">
    <tableColumn id="1" xr3:uid="{3AB4E02B-F704-3943-A045-796F1BC6BEA5}" name="Name" totalsRowLabel="Total" dataDxfId="147" totalsRowDxfId="146"/>
    <tableColumn id="2" xr3:uid="{3906B148-97BA-1E4F-BE60-B45A31583617}" name="BMP Type" dataDxfId="145" totalsRowDxfId="144"/>
    <tableColumn id="20" xr3:uid="{9E4288C7-D671-BF40-B890-682D55958024}" name="Year Installed" dataDxfId="143" totalsRowDxfId="142"/>
    <tableColumn id="11" xr3:uid="{0F64DA23-8A7F-EA42-9BE3-576893DC4724}" name="MapShed Land Cover of Drainage Area" dataDxfId="141" totalsRowDxfId="140"/>
    <tableColumn id="4" xr3:uid="{A7AEF342-4988-F14E-9102-FF05C1579E2A}" name="Drainage Area (ac)" dataDxfId="139" totalsRowDxfId="138"/>
    <tableColumn id="12" xr3:uid="{61A21164-E632-A644-9CC1-209364173082}" name="Treatment Depth (in)" dataDxfId="137" totalsRowDxfId="136"/>
    <tableColumn id="19" xr3:uid="{2626C7C9-080F-D941-99E4-1DCF14A4C152}" name="Stream Restoration* Length (ft) - Qualified projects only" dataDxfId="135" totalsRowDxfId="134"/>
    <tableColumn id="8" xr3:uid="{C41FEBE9-2358-FC44-878E-68DD85EEC9CE}" name="Street Sweeping* Road Length Swept (ft) - Qualified projects only" dataDxfId="133" totalsRowDxfId="132"/>
    <tableColumn id="5" xr3:uid="{51AA6BEF-6482-564C-8964-02C2ABDFF388}" name="Impervious Area (ac)" dataDxfId="131" totalsRowDxfId="130">
      <calculatedColumnFormula>ExistingBMPs6[[#This Row],[Drainage Area (ac)]]*ExistingBMPs6[[#This Row],[Impervious (%)]]</calculatedColumnFormula>
    </tableColumn>
    <tableColumn id="6" xr3:uid="{16F6ACE4-488F-3A4E-9876-21DDEF38D88D}" name="Treatment Depth (in/imp. ac)" dataDxfId="129" totalsRowDxfId="128">
      <calculatedColumnFormula>IFERROR(MIN(ExistingBMPs6[[#This Row],[Treatment Depth (in)]]*ExistingBMPs6[[#This Row],[Drainage Area (ac)]]/ExistingBMPs6[[#This Row],[Impervious Area (ac)]],2.5),NA())</calculatedColumnFormula>
    </tableColumn>
    <tableColumn id="7" xr3:uid="{11F5B767-71E7-324D-8ED3-84D1AA0464D4}" name="Treatment Depth (in/imp. ac) Manual Override - use if no impervious area" dataDxfId="127" totalsRowDxfId="126"/>
    <tableColumn id="3" xr3:uid="{3797A6F4-DE58-D54E-90F0-D678E9463642}" name="Effective Treatment Depth (in/imp. ac)" dataDxfId="125" totalsRowDxfId="124">
      <calculatedColumnFormula>IF(ExistingBMPs6[[#This Row],[Treatment Depth (in/imp. ac) Manual Override - use if no impervious area]]&gt;0,ExistingBMPs6[[#This Row],[Treatment Depth (in/imp. ac) Manual Override - use if no impervious area]],ExistingBMPs6[[#This Row],[Treatment Depth (in/imp. ac)]])</calculatedColumnFormula>
    </tableColumn>
    <tableColumn id="10" xr3:uid="{C07D0905-873F-3340-8356-F7AF96854915}" name="Impervious (%)" dataDxfId="123" totalsRowDxfId="122">
      <calculatedColumnFormula>IF(ExistingBMPs6[[#This Row],[BMP Type]]="Stream Restoration",NA(),IFERROR(INDEX([1]!Impervious[#All],MATCH(ExistingBMPs6[[#This Row],[MapShed Land Cover of Drainage Area]],[1]!Impervious[[#All],[Source]],0),4),0))</calculatedColumnFormula>
    </tableColumn>
    <tableColumn id="9" xr3:uid="{C1B14A2F-8E46-A845-9602-5B70B48BB2BF}" name="TSS Load (lbs/yr)" dataDxfId="121" totalsRowDxfId="120">
      <calculatedColumnFormula>IF(ExistingBMPs6[[#This Row],[BMP Type]]="Street Sweeping",ExistingBMPs6[[#This Row],[Street Sweeping* Road Length Swept (ft) - Qualified projects only]]*[1]!Street_Sweeping[Road Width (ft)]/43560*INDEX([1]!Loading_Rates[#All],MATCH(ExistingBMPs6[[#This Row],[MapShed Land Cover of Drainage Area]],[1]!Loading_Rates[[#All],[Source]],0),2)*ExistingBMPs6[[#This Row],[Impervious (%)]],IF(ExistingBMPs6[[#This Row],[BMP Type]]="Stream Restoration",NA(),INDEX([1]!Loading_Rates[#All],MATCH(ExistingBMPs6[[#This Row],[MapShed Land Cover of Drainage Area]],[1]!Loading_Rates[[#All],[Source]],0),2)*ExistingBMPs6[[#This Row],[Drainage Area (ac)]]))</calculatedColumnFormula>
    </tableColumn>
    <tableColumn id="22" xr3:uid="{2DEA05B2-B885-7149-A92A-3B158667C31C}" name="TP Load (lbs/yr)" dataDxfId="119" totalsRowDxfId="118">
      <calculatedColumnFormula>IF(ExistingBMPs6[[#This Row],[BMP Type]]="Street Sweeping",ExistingBMPs6[[#This Row],[Street Sweeping* Road Length Swept (ft) - Qualified projects only]]*[1]!Street_Sweeping[Road Width (ft)]/43560*INDEX([1]!Loading_Rates[#All],MATCH(ExistingBMPs6[[#This Row],[MapShed Land Cover of Drainage Area]],[1]!Loading_Rates[[#All],[Source]],0),3)*ExistingBMPs6[[#This Row],[Impervious (%)]],IF(ExistingBMPs6[[#This Row],[BMP Type]]="Stream Restoration",NA(),INDEX([1]!Loading_Rates[#All],MATCH(ExistingBMPs6[[#This Row],[MapShed Land Cover of Drainage Area]],[1]!Loading_Rates[[#All],[Source]],0),3)*ExistingBMPs6[[#This Row],[Drainage Area (ac)]]))</calculatedColumnFormula>
    </tableColumn>
    <tableColumn id="23" xr3:uid="{9BFFB152-BB78-F34B-959D-4A180A48ED75}" name="TN Load (lbs/yr)" dataDxfId="117" totalsRowDxfId="116">
      <calculatedColumnFormula>IF(ExistingBMPs6[[#This Row],[BMP Type]]="Street Sweeping",ExistingBMPs6[[#This Row],[Street Sweeping* Road Length Swept (ft) - Qualified projects only]]*[1]!Street_Sweeping[Road Width (ft)]/43560*INDEX([1]!Loading_Rates[#All],MATCH(ExistingBMPs6[[#This Row],[MapShed Land Cover of Drainage Area]],[1]!Loading_Rates[[#All],[Source]],0),4)*ExistingBMPs6[[#This Row],[Impervious (%)]],IF(ExistingBMPs6[[#This Row],[BMP Type]]="Stream Restoration",NA(),INDEX([1]!Loading_Rates[#All],MATCH(ExistingBMPs6[[#This Row],[MapShed Land Cover of Drainage Area]],[1]!Loading_Rates[[#All],[Source]],0),4)*ExistingBMPs6[[#This Row],[Drainage Area (ac)]]))</calculatedColumnFormula>
    </tableColumn>
    <tableColumn id="15" xr3:uid="{45D93BAD-B867-584F-A05B-3593FB0EB1FE}" name="TSS Reduction (%)" dataDxfId="115" totalsRowDxfId="114">
      <calculatedColumnFormula>IF(ExistingBMPs6[[#This Row],[BMP Type]]="RR",0.0326*ExistingBMPs6[[#This Row],[Effective Treatment Depth (in/imp. ac)]]^5-0.2806*ExistingBMPs6[[#This Row],[Effective Treatment Depth (in/imp. ac)]]^4+0.9816*ExistingBMPs6[[#This Row],[Effective Treatment Depth (in/imp. ac)]]^3-1.8039*ExistingBMPs6[[#This Row],[Effective Treatment Depth (in/imp. ac)]]^2+1.8292*ExistingBMPs6[[#This Row],[Effective Treatment Depth (in/imp. ac)]]-0.0098,IF(ExistingBMPs6[[#This Row],[BMP Type]]="ST",0.0304*ExistingBMPs6[[#This Row],[Effective Treatment Depth (in/imp. ac)]]^5-0.2619*ExistingBMPs6[[#This Row],[Effective Treatment Depth (in/imp. ac)]]^4+0.9161*ExistingBMPs6[[#This Row],[Effective Treatment Depth (in/imp. ac)]]^3-1.6837*ExistingBMPs6[[#This Row],[Effective Treatment Depth (in/imp. ac)]]^2+1.7072*ExistingBMPs6[[#This Row],[Effective Treatment Depth (in/imp. ac)]]-0.0091,IF(ExistingBMPs6[[#This Row],[BMP Type]]="Street Sweeping",[1]!Street_Sweeping[TSS Reduction (%)],IF(OR(ExistingBMPs6[[#This Row],[BMP Type]]="Other",ExistingBMPs6[[#This Row],[BMP Type]]="Stream Restoration"),0,1))))</calculatedColumnFormula>
    </tableColumn>
    <tableColumn id="14" xr3:uid="{5A21E45E-5D7E-8A4E-9072-7CE6E7F2F016}" name="TP Reduction (%)" dataDxfId="113" totalsRowDxfId="112">
      <calculatedColumnFormula>IF(ExistingBMPs6[[#This Row],[BMP Type]]="RR",0.0304*ExistingBMPs6[[#This Row],[Effective Treatment Depth (in/imp. ac)]]^5-0.2619*ExistingBMPs6[[#This Row],[Effective Treatment Depth (in/imp. ac)]]^4+0.9161*ExistingBMPs6[[#This Row],[Effective Treatment Depth (in/imp. ac)]]^3-1.6837*ExistingBMPs6[[#This Row],[Effective Treatment Depth (in/imp. ac)]]^2+1.7072*ExistingBMPs6[[#This Row],[Effective Treatment Depth (in/imp. ac)]]-0.0091,IF(ExistingBMPs6[[#This Row],[BMP Type]]="ST",0.0239*ExistingBMPs6[[#This Row],[Effective Treatment Depth (in/imp. ac)]]^5-0.2058*ExistingBMPs6[[#This Row],[Effective Treatment Depth (in/imp. ac)]]^4+0.7198*ExistingBMPs6[[#This Row],[Effective Treatment Depth (in/imp. ac)]]^3-1.3229*ExistingBMPs6[[#This Row],[Effective Treatment Depth (in/imp. ac)]]^2+1.3414*ExistingBMPs6[[#This Row],[Effective Treatment Depth (in/imp. ac)]]-0.0072,IF(ExistingBMPs6[[#This Row],[BMP Type]]="Street Sweeping",[1]!Street_Sweeping[TP Reduction (%)],IF(OR(ExistingBMPs6[[#This Row],[BMP Type]]="Other",ExistingBMPs6[[#This Row],[BMP Type]]="Stream Restoration"),0,1))))</calculatedColumnFormula>
    </tableColumn>
    <tableColumn id="13" xr3:uid="{E15F5D93-8041-EB43-8DCA-DCA4BDCC5819}" name="TN Reduction (%)" dataDxfId="111" totalsRowDxfId="110">
      <calculatedColumnFormula>IF(ExistingBMPs6[[#This Row],[BMP Type]]="RR",0.0308*ExistingBMPs6[[#This Row],[Effective Treatment Depth (in/imp. ac)]]^5-0.2562*ExistingBMPs6[[#This Row],[Effective Treatment Depth (in/imp. ac)]]^4+0.8634*ExistingBMPs6[[#This Row],[Effective Treatment Depth (in/imp. ac)]]^3-1.5285*ExistingBMPs6[[#This Row],[Effective Treatment Depth (in/imp. ac)]]^2+1.501*ExistingBMPs6[[#This Row],[Effective Treatment Depth (in/imp. ac)]]-0.013,IF(ExistingBMPs6[[#This Row],[BMP Type]]="ST",0.0152*ExistingBMPs6[[#This Row],[Effective Treatment Depth (in/imp. ac)]]^5-0.131*ExistingBMPs6[[#This Row],[Effective Treatment Depth (in/imp. ac)]]^4+0.4581*ExistingBMPs6[[#This Row],[Effective Treatment Depth (in/imp. ac)]]^3-0.8418*ExistingBMPs6[[#This Row],[Effective Treatment Depth (in/imp. ac)]]^2+0.8536*ExistingBMPs6[[#This Row],[Effective Treatment Depth (in/imp. ac)]]-0.0046,IF(ExistingBMPs6[[#This Row],[BMP Type]]="Street Sweeping",[1]!Street_Sweeping[TN Reduction (%)],IF(OR(ExistingBMPs6[[#This Row],[BMP Type]]="Other",ExistingBMPs6[[#This Row],[BMP Type]]="Stream Restoration"),0,1))))</calculatedColumnFormula>
    </tableColumn>
    <tableColumn id="18" xr3:uid="{6D489005-64AF-474F-A1F9-BCB6BAECC71B}" name="TSS Reduction (lbs/yr)" totalsRowFunction="custom" dataDxfId="109" totalsRowDxfId="108">
      <calculatedColumnFormula>IF(ExistingBMPs6[[#This Row],[TSS Reduction (%)]]&gt;0,IF(ExistingBMPs6[[#This Row],[BMP Type]]="Street Sweeping",ExistingBMPs6[[#This Row],[TSS Load (lbs/yr)]]*ExistingBMPs6[[#This Row],[TSS Reduction (%)]],INDEX([1]!Loading_Rates[#All],MATCH(ExistingBMPs6[[#This Row],[MapShed Land Cover of Drainage Area]],[1]!Loading_Rates[[#All],[Source]],0),2)*ExistingBMPs6[[#This Row],[Drainage Area (ac)]]*ExistingBMPs6[[#This Row],[TSS Reduction (%)]]),IF(ExistingBMPs6[[#This Row],[BMP Type]]="Stream Restoration",[1]!Stream_Nutrients[TSS (lbs/ft/yr)]*ExistingBMPs6[[#This Row],[Stream Restoration* Length (ft) - Qualified projects only]],0))</calculatedColumnFormula>
      <totalsRowFormula>_xlfn.AGGREGATE(9,7,ExistingBMPs6[TSS Reduction (lbs/yr)])</totalsRowFormula>
    </tableColumn>
    <tableColumn id="21" xr3:uid="{2B5CA1F2-3804-DE4D-AD95-9FB2B6BB38BD}" name="TSS Reduction (tons/yr)" totalsRowFunction="custom" dataDxfId="107" totalsRowDxfId="106">
      <calculatedColumnFormula>ExistingBMPs6[[#This Row],[TSS Reduction (lbs/yr)]]/2000</calculatedColumnFormula>
      <totalsRowFormula>_xlfn.AGGREGATE(9,7,ExistingBMPs6[TSS Reduction (tons/yr)])</totalsRowFormula>
    </tableColumn>
    <tableColumn id="17" xr3:uid="{EFEBD0B0-0ED0-5F4D-A193-81B12142C2FB}" name="TP Reduction (lbs/yr)" totalsRowFunction="custom" dataDxfId="105" totalsRowDxfId="104">
      <calculatedColumnFormula>IF(ExistingBMPs6[[#This Row],[TP Reduction (%)]]&gt;0,IF(ExistingBMPs6[[#This Row],[BMP Type]]="Street Sweeping",ExistingBMPs6[[#This Row],[TP Load (lbs/yr)]]*ExistingBMPs6[[#This Row],[TP Reduction (%)]],INDEX([1]!Loading_Rates[#All],MATCH(ExistingBMPs6[[#This Row],[MapShed Land Cover of Drainage Area]],[1]!Loading_Rates[[#All],[Source]],0),3)*ExistingBMPs6[[#This Row],[Drainage Area (ac)]]*ExistingBMPs6[[#This Row],[TP Reduction (%)]]),IF(ExistingBMPs6[[#This Row],[BMP Type]]="Stream Restoration",[1]!Stream_Nutrients[TP (lbs/ft/yr)]*ExistingBMPs6[[#This Row],[Stream Restoration* Length (ft) - Qualified projects only]],0))</calculatedColumnFormula>
      <totalsRowFormula>_xlfn.AGGREGATE(9,7,ExistingBMPs6[TP Reduction (lbs/yr)])</totalsRowFormula>
    </tableColumn>
    <tableColumn id="16" xr3:uid="{7580C861-4DD3-664B-BCC8-7DAB24E887FF}" name="TN Reduction (lbs/yr)" totalsRowFunction="custom" dataDxfId="103" totalsRowDxfId="102">
      <calculatedColumnFormula>IF(ExistingBMPs6[[#This Row],[TN Reduction (%)]]&gt;0,IF(ExistingBMPs6[[#This Row],[BMP Type]]="Street Sweeping",ExistingBMPs6[[#This Row],[TN Load (lbs/yr)]]*ExistingBMPs6[[#This Row],[TN Reduction (%)]],INDEX([1]!Loading_Rates[#All],MATCH(ExistingBMPs6[[#This Row],[MapShed Land Cover of Drainage Area]],[1]!Loading_Rates[[#All],[Source]],0),4)*ExistingBMPs6[[#This Row],[Drainage Area (ac)]]*ExistingBMPs6[[#This Row],[TN Reduction (%)]]),IF(ExistingBMPs6[[#This Row],[BMP Type]]="Stream Restoration",[1]!Stream_Nutrients[TN (lbs/ft/yr)]*ExistingBMPs6[[#This Row],[Stream Restoration* Length (ft) - Qualified projects only]],0))</calculatedColumnFormula>
      <totalsRowFormula>_xlfn.AGGREGATE(9,7,ExistingBMPs6[TN Reduction (lbs/yr)])</totalsRow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E31CA-3E9C-E34A-9BDE-EBF122DE7961}" name="ExistingBMPs67" displayName="ExistingBMPs67" ref="A43:W47" totalsRowCount="1" headerRowDxfId="101" dataDxfId="100" totalsRowDxfId="99">
  <autoFilter ref="A43:W46" xr:uid="{00000000-0009-0000-0100-000006000000}"/>
  <tableColumns count="23">
    <tableColumn id="1" xr3:uid="{53D06794-3E24-654E-9984-F525FB2F763C}" name="Name" totalsRowLabel="Total" dataDxfId="98" totalsRowDxfId="97"/>
    <tableColumn id="2" xr3:uid="{11CFDA17-590E-3D4B-A51F-B9879E632F46}" name="BMP Type" dataDxfId="96" totalsRowDxfId="95"/>
    <tableColumn id="20" xr3:uid="{DF341741-6D12-494D-ACC2-15683190741A}" name="Year Installed" dataDxfId="94" totalsRowDxfId="93"/>
    <tableColumn id="11" xr3:uid="{D163CD85-6C92-3346-B0E6-FDCBDA1A1480}" name="MapShed Land Cover of Drainage Area" dataDxfId="92" totalsRowDxfId="91"/>
    <tableColumn id="4" xr3:uid="{2AAE223A-79C8-8D49-9CD3-4F522D05180C}" name="Drainage Area (ac)" dataDxfId="90" totalsRowDxfId="89"/>
    <tableColumn id="12" xr3:uid="{8EFAF57A-A92F-CA49-94E3-2059452D597B}" name="Treatment Depth (in)" dataDxfId="88" totalsRowDxfId="87"/>
    <tableColumn id="19" xr3:uid="{4340EE8B-96CA-1C4D-B653-FCE3B2356EFA}" name="Stream Restoration* Length (ft) - Qualified projects only" dataDxfId="86" totalsRowDxfId="85"/>
    <tableColumn id="8" xr3:uid="{EC2E58F6-2655-914D-B58E-8CF316AEC59B}" name="Street Sweeping* Road Length Swept (ft) - Qualified projects only" dataDxfId="84" totalsRowDxfId="83"/>
    <tableColumn id="5" xr3:uid="{0844D379-F544-B34F-AA58-59A0703AD53E}" name="Impervious Area (ac)" dataDxfId="82" totalsRowDxfId="81">
      <calculatedColumnFormula>ExistingBMPs67[[#This Row],[Drainage Area (ac)]]*ExistingBMPs67[[#This Row],[Impervious (%)]]</calculatedColumnFormula>
    </tableColumn>
    <tableColumn id="6" xr3:uid="{868DEFEB-D1B0-EA49-93E7-B5F206329DB8}" name="Treatment Depth (in/imp. ac)" dataDxfId="80" totalsRowDxfId="79">
      <calculatedColumnFormula>IFERROR(MIN(ExistingBMPs67[[#This Row],[Treatment Depth (in)]]*ExistingBMPs67[[#This Row],[Drainage Area (ac)]]/ExistingBMPs67[[#This Row],[Impervious Area (ac)]],2.5),NA())</calculatedColumnFormula>
    </tableColumn>
    <tableColumn id="7" xr3:uid="{A6AFEDAF-A67B-944E-9860-12B85CD10C0E}" name="Treatment Depth (in/imp. ac) Manual Override - use if no impervious area" dataDxfId="78" totalsRowDxfId="77"/>
    <tableColumn id="3" xr3:uid="{5387B9F7-FB15-E54D-B5D4-E96AA5DF0448}" name="Effective Treatment Depth (in/imp. ac)" dataDxfId="76" totalsRowDxfId="75">
      <calculatedColumnFormula>IF(ExistingBMPs67[[#This Row],[Treatment Depth (in/imp. ac) Manual Override - use if no impervious area]]&gt;0,ExistingBMPs67[[#This Row],[Treatment Depth (in/imp. ac) Manual Override - use if no impervious area]],ExistingBMPs67[[#This Row],[Treatment Depth (in/imp. ac)]])</calculatedColumnFormula>
    </tableColumn>
    <tableColumn id="10" xr3:uid="{85BB1810-2C86-6442-ABE8-5B38FF969F8B}" name="Impervious (%)" dataDxfId="74" totalsRowDxfId="73">
      <calculatedColumnFormula>IF(ExistingBMPs67[[#This Row],[BMP Type]]="Stream Restoration",NA(),IFERROR(INDEX([1]!Impervious[#All],MATCH(ExistingBMPs67[[#This Row],[MapShed Land Cover of Drainage Area]],[1]!Impervious[[#All],[Source]],0),4),0))</calculatedColumnFormula>
    </tableColumn>
    <tableColumn id="9" xr3:uid="{B769A1C1-3077-8849-8BE8-64BB62DA8144}" name="TSS Load (lbs/yr)" dataDxfId="72" totalsRowDxfId="71">
      <calculatedColumnFormula>IF(ExistingBMPs67[[#This Row],[BMP Type]]="Street Sweeping",ExistingBMPs67[[#This Row],[Street Sweeping* Road Length Swept (ft) - Qualified projects only]]*[1]!Street_Sweeping[Road Width (ft)]/43560*INDEX([1]!Loading_Rates[#All],MATCH(ExistingBMPs67[[#This Row],[MapShed Land Cover of Drainage Area]],[1]!Loading_Rates[[#All],[Source]],0),2)*ExistingBMPs67[[#This Row],[Impervious (%)]],IF(ExistingBMPs67[[#This Row],[BMP Type]]="Stream Restoration",NA(),INDEX([1]!Loading_Rates[#All],MATCH(ExistingBMPs67[[#This Row],[MapShed Land Cover of Drainage Area]],[1]!Loading_Rates[[#All],[Source]],0),2)*ExistingBMPs67[[#This Row],[Drainage Area (ac)]]))</calculatedColumnFormula>
    </tableColumn>
    <tableColumn id="22" xr3:uid="{D77AFF2E-CB40-814E-BFD7-0E426E888452}" name="TP Load (lbs/yr)" dataDxfId="70" totalsRowDxfId="69">
      <calculatedColumnFormula>IF(ExistingBMPs67[[#This Row],[BMP Type]]="Street Sweeping",ExistingBMPs67[[#This Row],[Street Sweeping* Road Length Swept (ft) - Qualified projects only]]*[1]!Street_Sweeping[Road Width (ft)]/43560*INDEX([1]!Loading_Rates[#All],MATCH(ExistingBMPs67[[#This Row],[MapShed Land Cover of Drainage Area]],[1]!Loading_Rates[[#All],[Source]],0),3)*ExistingBMPs67[[#This Row],[Impervious (%)]],IF(ExistingBMPs67[[#This Row],[BMP Type]]="Stream Restoration",NA(),INDEX([1]!Loading_Rates[#All],MATCH(ExistingBMPs67[[#This Row],[MapShed Land Cover of Drainage Area]],[1]!Loading_Rates[[#All],[Source]],0),3)*ExistingBMPs67[[#This Row],[Drainage Area (ac)]]))</calculatedColumnFormula>
    </tableColumn>
    <tableColumn id="23" xr3:uid="{6D66B1D1-B15F-3B43-8BD9-1476B97654C2}" name="TN Load (lbs/yr)" dataDxfId="68" totalsRowDxfId="67">
      <calculatedColumnFormula>IF(ExistingBMPs67[[#This Row],[BMP Type]]="Street Sweeping",ExistingBMPs67[[#This Row],[Street Sweeping* Road Length Swept (ft) - Qualified projects only]]*[1]!Street_Sweeping[Road Width (ft)]/43560*INDEX([1]!Loading_Rates[#All],MATCH(ExistingBMPs67[[#This Row],[MapShed Land Cover of Drainage Area]],[1]!Loading_Rates[[#All],[Source]],0),4)*ExistingBMPs67[[#This Row],[Impervious (%)]],IF(ExistingBMPs67[[#This Row],[BMP Type]]="Stream Restoration",NA(),INDEX([1]!Loading_Rates[#All],MATCH(ExistingBMPs67[[#This Row],[MapShed Land Cover of Drainage Area]],[1]!Loading_Rates[[#All],[Source]],0),4)*ExistingBMPs67[[#This Row],[Drainage Area (ac)]]))</calculatedColumnFormula>
    </tableColumn>
    <tableColumn id="15" xr3:uid="{7B835EDF-94FD-4040-B998-F605E39E57B0}" name="TSS Reduction (%)" dataDxfId="66" totalsRowDxfId="65">
      <calculatedColumnFormula>IF(ExistingBMPs67[[#This Row],[BMP Type]]="RR",0.0326*ExistingBMPs67[[#This Row],[Effective Treatment Depth (in/imp. ac)]]^5-0.2806*ExistingBMPs67[[#This Row],[Effective Treatment Depth (in/imp. ac)]]^4+0.9816*ExistingBMPs67[[#This Row],[Effective Treatment Depth (in/imp. ac)]]^3-1.8039*ExistingBMPs67[[#This Row],[Effective Treatment Depth (in/imp. ac)]]^2+1.8292*ExistingBMPs67[[#This Row],[Effective Treatment Depth (in/imp. ac)]]-0.0098,IF(ExistingBMPs67[[#This Row],[BMP Type]]="ST",0.0304*ExistingBMPs67[[#This Row],[Effective Treatment Depth (in/imp. ac)]]^5-0.2619*ExistingBMPs67[[#This Row],[Effective Treatment Depth (in/imp. ac)]]^4+0.9161*ExistingBMPs67[[#This Row],[Effective Treatment Depth (in/imp. ac)]]^3-1.6837*ExistingBMPs67[[#This Row],[Effective Treatment Depth (in/imp. ac)]]^2+1.7072*ExistingBMPs67[[#This Row],[Effective Treatment Depth (in/imp. ac)]]-0.0091,IF(ExistingBMPs67[[#This Row],[BMP Type]]="Street Sweeping",[1]!Street_Sweeping[TSS Reduction (%)],IF(OR(ExistingBMPs67[[#This Row],[BMP Type]]="Other",ExistingBMPs67[[#This Row],[BMP Type]]="Stream Restoration"),0,1))))</calculatedColumnFormula>
    </tableColumn>
    <tableColumn id="14" xr3:uid="{A7323741-12E2-6441-82DA-77FB1064391F}" name="TP Reduction (%)" dataDxfId="64" totalsRowDxfId="63">
      <calculatedColumnFormula>IF(ExistingBMPs67[[#This Row],[BMP Type]]="RR",0.0304*ExistingBMPs67[[#This Row],[Effective Treatment Depth (in/imp. ac)]]^5-0.2619*ExistingBMPs67[[#This Row],[Effective Treatment Depth (in/imp. ac)]]^4+0.9161*ExistingBMPs67[[#This Row],[Effective Treatment Depth (in/imp. ac)]]^3-1.6837*ExistingBMPs67[[#This Row],[Effective Treatment Depth (in/imp. ac)]]^2+1.7072*ExistingBMPs67[[#This Row],[Effective Treatment Depth (in/imp. ac)]]-0.0091,IF(ExistingBMPs67[[#This Row],[BMP Type]]="ST",0.0239*ExistingBMPs67[[#This Row],[Effective Treatment Depth (in/imp. ac)]]^5-0.2058*ExistingBMPs67[[#This Row],[Effective Treatment Depth (in/imp. ac)]]^4+0.7198*ExistingBMPs67[[#This Row],[Effective Treatment Depth (in/imp. ac)]]^3-1.3229*ExistingBMPs67[[#This Row],[Effective Treatment Depth (in/imp. ac)]]^2+1.3414*ExistingBMPs67[[#This Row],[Effective Treatment Depth (in/imp. ac)]]-0.0072,IF(ExistingBMPs67[[#This Row],[BMP Type]]="Street Sweeping",[1]!Street_Sweeping[TP Reduction (%)],IF(OR(ExistingBMPs67[[#This Row],[BMP Type]]="Other",ExistingBMPs67[[#This Row],[BMP Type]]="Stream Restoration"),0,1))))</calculatedColumnFormula>
    </tableColumn>
    <tableColumn id="13" xr3:uid="{49745A0C-773A-F44B-9F07-DC528E65E207}" name="TN Reduction (%)" dataDxfId="62" totalsRowDxfId="61">
      <calculatedColumnFormula>IF(ExistingBMPs67[[#This Row],[BMP Type]]="RR",0.0308*ExistingBMPs67[[#This Row],[Effective Treatment Depth (in/imp. ac)]]^5-0.2562*ExistingBMPs67[[#This Row],[Effective Treatment Depth (in/imp. ac)]]^4+0.8634*ExistingBMPs67[[#This Row],[Effective Treatment Depth (in/imp. ac)]]^3-1.5285*ExistingBMPs67[[#This Row],[Effective Treatment Depth (in/imp. ac)]]^2+1.501*ExistingBMPs67[[#This Row],[Effective Treatment Depth (in/imp. ac)]]-0.013,IF(ExistingBMPs67[[#This Row],[BMP Type]]="ST",0.0152*ExistingBMPs67[[#This Row],[Effective Treatment Depth (in/imp. ac)]]^5-0.131*ExistingBMPs67[[#This Row],[Effective Treatment Depth (in/imp. ac)]]^4+0.4581*ExistingBMPs67[[#This Row],[Effective Treatment Depth (in/imp. ac)]]^3-0.8418*ExistingBMPs67[[#This Row],[Effective Treatment Depth (in/imp. ac)]]^2+0.8536*ExistingBMPs67[[#This Row],[Effective Treatment Depth (in/imp. ac)]]-0.0046,IF(ExistingBMPs67[[#This Row],[BMP Type]]="Street Sweeping",[1]!Street_Sweeping[TN Reduction (%)],IF(OR(ExistingBMPs67[[#This Row],[BMP Type]]="Other",ExistingBMPs67[[#This Row],[BMP Type]]="Stream Restoration"),0,1))))</calculatedColumnFormula>
    </tableColumn>
    <tableColumn id="18" xr3:uid="{09480F25-F1C3-6747-A52E-476079E63DA1}" name="TSS Reduction (lbs/yr)" totalsRowFunction="custom" dataDxfId="60" totalsRowDxfId="59">
      <calculatedColumnFormula>IF(ExistingBMPs67[[#This Row],[TSS Reduction (%)]]&gt;0,IF(ExistingBMPs67[[#This Row],[BMP Type]]="Street Sweeping",ExistingBMPs67[[#This Row],[TSS Load (lbs/yr)]]*ExistingBMPs67[[#This Row],[TSS Reduction (%)]],INDEX([1]!Loading_Rates[#All],MATCH(ExistingBMPs67[[#This Row],[MapShed Land Cover of Drainage Area]],[1]!Loading_Rates[[#All],[Source]],0),2)*ExistingBMPs67[[#This Row],[Drainage Area (ac)]]*ExistingBMPs67[[#This Row],[TSS Reduction (%)]]),IF(ExistingBMPs67[[#This Row],[BMP Type]]="Stream Restoration",[1]!Stream_Nutrients[TSS (lbs/ft/yr)]*ExistingBMPs67[[#This Row],[Stream Restoration* Length (ft) - Qualified projects only]],0))</calculatedColumnFormula>
      <totalsRowFormula>_xlfn.AGGREGATE(9,7,ExistingBMPs67[TSS Reduction (lbs/yr)])</totalsRowFormula>
    </tableColumn>
    <tableColumn id="21" xr3:uid="{2519003E-AF19-0F43-9B86-96600EDE4CA4}" name="TSS Reduction (tons/yr)" totalsRowFunction="custom" dataDxfId="58" totalsRowDxfId="57">
      <calculatedColumnFormula>ExistingBMPs67[[#This Row],[TSS Reduction (lbs/yr)]]/2000</calculatedColumnFormula>
      <totalsRowFormula>_xlfn.AGGREGATE(9,7,ExistingBMPs67[TSS Reduction (tons/yr)])</totalsRowFormula>
    </tableColumn>
    <tableColumn id="17" xr3:uid="{9D823802-C91F-2A40-BB67-FBB977E3F38D}" name="TP Reduction (lbs/yr)" totalsRowFunction="custom" dataDxfId="56" totalsRowDxfId="55">
      <calculatedColumnFormula>IF(ExistingBMPs67[[#This Row],[TP Reduction (%)]]&gt;0,IF(ExistingBMPs67[[#This Row],[BMP Type]]="Street Sweeping",ExistingBMPs67[[#This Row],[TP Load (lbs/yr)]]*ExistingBMPs67[[#This Row],[TP Reduction (%)]],INDEX([1]!Loading_Rates[#All],MATCH(ExistingBMPs67[[#This Row],[MapShed Land Cover of Drainage Area]],[1]!Loading_Rates[[#All],[Source]],0),3)*ExistingBMPs67[[#This Row],[Drainage Area (ac)]]*ExistingBMPs67[[#This Row],[TP Reduction (%)]]),IF(ExistingBMPs67[[#This Row],[BMP Type]]="Stream Restoration",[1]!Stream_Nutrients[TP (lbs/ft/yr)]*ExistingBMPs67[[#This Row],[Stream Restoration* Length (ft) - Qualified projects only]],0))</calculatedColumnFormula>
      <totalsRowFormula>_xlfn.AGGREGATE(9,7,ExistingBMPs67[TP Reduction (lbs/yr)])</totalsRowFormula>
    </tableColumn>
    <tableColumn id="16" xr3:uid="{E20F0B4C-8D6E-9845-8B9F-ABBD19D3AF64}" name="TN Reduction (lbs/yr)" totalsRowFunction="custom" dataDxfId="54" totalsRowDxfId="53">
      <calculatedColumnFormula>IF(ExistingBMPs67[[#This Row],[TN Reduction (%)]]&gt;0,IF(ExistingBMPs67[[#This Row],[BMP Type]]="Street Sweeping",ExistingBMPs67[[#This Row],[TN Load (lbs/yr)]]*ExistingBMPs67[[#This Row],[TN Reduction (%)]],INDEX([1]!Loading_Rates[#All],MATCH(ExistingBMPs67[[#This Row],[MapShed Land Cover of Drainage Area]],[1]!Loading_Rates[[#All],[Source]],0),4)*ExistingBMPs67[[#This Row],[Drainage Area (ac)]]*ExistingBMPs67[[#This Row],[TN Reduction (%)]]),IF(ExistingBMPs67[[#This Row],[BMP Type]]="Stream Restoration",[1]!Stream_Nutrients[TN (lbs/ft/yr)]*ExistingBMPs67[[#This Row],[Stream Restoration* Length (ft) - Qualified projects only]],0))</calculatedColumnFormula>
      <totalsRowFormula>_xlfn.AGGREGATE(9,7,ExistingBMPs67[TN Reduction (lbs/yr)])</totalsRow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6F7EFC8-7B56-2048-849F-025D3B6844B3}" name="ExistingBMPs5" displayName="ExistingBMPs5" ref="A23:W32" totalsRowCount="1" headerRowDxfId="52" dataDxfId="51" totalsRowDxfId="50">
  <autoFilter ref="A23:W31" xr:uid="{4F74B8F4-96F2-B541-8891-50C11EF641CB}"/>
  <tableColumns count="23">
    <tableColumn id="1" xr3:uid="{66B78144-68CC-034D-8776-748D9F56E6C3}" name="BMP_name" totalsRowLabel="Total" dataDxfId="49" totalsRowDxfId="48"/>
    <tableColumn id="2" xr3:uid="{57E7B6E4-5B3C-5A4F-B4AA-7B79399F4864}" name="BMP_type" dataDxfId="47" totalsRowDxfId="46"/>
    <tableColumn id="20" xr3:uid="{7C7B9690-452F-C346-B3E9-3C695185BBA3}" name="yearInstalled" dataDxfId="45" totalsRowDxfId="44"/>
    <tableColumn id="11" xr3:uid="{05D2768A-BD25-3243-8B80-F7391CC9910F}" name="drainageLandCoverClass" dataDxfId="43" totalsRowDxfId="42"/>
    <tableColumn id="4" xr3:uid="{5C338A49-96AC-0645-8BCA-3393EA228C96}" name="drainageArea_ac" dataDxfId="41" totalsRowDxfId="40"/>
    <tableColumn id="12" xr3:uid="{84FCA706-00B2-7242-8F16-D686D7EDA963}" name="treatmentDepth_in" dataDxfId="39" totalsRowDxfId="38"/>
    <tableColumn id="19" xr3:uid="{264BCDB3-1061-7342-BA61-D8CCF708DF52}" name="lengthTreatedStream_ft" dataDxfId="37" totalsRowDxfId="36"/>
    <tableColumn id="8" xr3:uid="{64CB2E03-A75A-1D40-A49A-8B0714DB48D5}" name="lengthTreatedRoad_ft2" dataDxfId="35" totalsRowDxfId="34"/>
    <tableColumn id="5" xr3:uid="{583ABE61-C9E9-A346-A535-0F7203624CB0}" name="impervArea_ac" dataDxfId="33" totalsRowDxfId="32">
      <calculatedColumnFormula>ExistingBMPs5[[#This Row],[drainageArea_ac]]*ExistingBMPs5[[#This Row],[impervFraction_percent]]</calculatedColumnFormula>
    </tableColumn>
    <tableColumn id="6" xr3:uid="{6A4232B2-3C6C-DB4F-A32B-20880C19E850}" name="treatmentDepthNormalized_inPerImpervAc" dataDxfId="31" totalsRowDxfId="30">
      <calculatedColumnFormula>IFERROR(MIN(ExistingBMPs5[[#This Row],[treatmentDepth_in]]*ExistingBMPs5[[#This Row],[drainageArea_ac]]/ExistingBMPs5[[#This Row],[impervArea_ac]],2.5),NA())</calculatedColumnFormula>
    </tableColumn>
    <tableColumn id="7" xr3:uid="{91A429F7-A5BB-FD4A-A904-CFDA8AB6BBB4}" name="treatmentDepthNormalizedManual_inPerImpervAc" dataDxfId="29" totalsRowDxfId="28"/>
    <tableColumn id="3" xr3:uid="{9F6E3D2B-C342-F040-9345-4C17C77EE167}" name="treatmentDepthNormalizedEffective_inPerImpervAc" dataDxfId="27" totalsRowDxfId="26">
      <calculatedColumnFormula>IF(ExistingBMPs5[[#This Row],[treatmentDepthNormalizedManual_inPerImpervAc]]&gt;0,ExistingBMPs5[[#This Row],[treatmentDepthNormalizedManual_inPerImpervAc]],ExistingBMPs5[[#This Row],[treatmentDepthNormalized_inPerImpervAc]])</calculatedColumnFormula>
    </tableColumn>
    <tableColumn id="10" xr3:uid="{70E1E650-5E67-DB40-88B2-67A771795E6C}" name="impervFraction_percent" dataDxfId="25" totalsRowDxfId="24">
      <calculatedColumnFormula>IF(ExistingBMPs5[[#This Row],[BMP_type]]="Stream Restoration",NA(),IFERROR(INDEX([1]!Impervious[#All],MATCH(ExistingBMPs5[[#This Row],[drainageLandCoverClass]],[1]!Impervious[[#All],[Source]],0),4),0))</calculatedColumnFormula>
    </tableColumn>
    <tableColumn id="9" xr3:uid="{38BA2A6D-6DD7-4743-98AE-4C3BAF86D0A6}" name="TSS_Load_lbPerY" dataDxfId="23" totalsRowDxfId="22">
      <calculatedColumnFormula>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calculatedColumnFormula>
    </tableColumn>
    <tableColumn id="22" xr3:uid="{BA5D46D4-17F3-A44A-92B2-C3C6FA3D8F38}" name="TP_Load_lbPerY" dataDxfId="21" totalsRowDxfId="20">
      <calculatedColumnFormula>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calculatedColumnFormula>
    </tableColumn>
    <tableColumn id="23" xr3:uid="{EB37DF6E-BCE1-D249-A26D-D3A9446E7FC4}" name="TN_Load_lbPerY" dataDxfId="19" totalsRowDxfId="18">
      <calculatedColumnFormula>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calculatedColumnFormula>
    </tableColumn>
    <tableColumn id="15" xr3:uid="{4A68254A-D2B6-9149-933A-ABD53724CE18}" name="TSS_ReductionEfficiency_percent" dataDxfId="17" totalsRowDxfId="16">
      <calculatedColumnFormula>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calculatedColumnFormula>
    </tableColumn>
    <tableColumn id="14" xr3:uid="{54D6A41C-5922-5D4C-BF49-DE908FA46714}" name="TP_ReductionEfficiency_percent" dataDxfId="15" totalsRowDxfId="14">
      <calculatedColumnFormula>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calculatedColumnFormula>
    </tableColumn>
    <tableColumn id="13" xr3:uid="{14CF35F7-860A-F24F-9B57-177604F1B00B}" name="TN_ReductionEfficiency_percent" dataDxfId="13" totalsRowDxfId="12">
      <calculatedColumnFormula>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calculatedColumnFormula>
    </tableColumn>
    <tableColumn id="18" xr3:uid="{E721A19F-06C5-B948-AB87-B37F52F9A4B3}" name="TSS_Reduction_lbPerY" totalsRowFunction="custom" dataDxfId="11" totalsRowDxfId="10">
      <calculatedColumnFormula>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calculatedColumnFormula>
      <totalsRowFormula>_xlfn.AGGREGATE(9,7,ExistingBMPs5[TSS_Reduction_lbPerY])</totalsRowFormula>
    </tableColumn>
    <tableColumn id="21" xr3:uid="{EADE4577-AACD-BD46-9189-7E3D7ED45068}" name="TSS_Reduction_tonPerY" totalsRowFunction="custom" dataDxfId="9" totalsRowDxfId="8">
      <calculatedColumnFormula>ExistingBMPs5[[#This Row],[TSS_Reduction_lbPerY]]/2000</calculatedColumnFormula>
      <totalsRowFormula>_xlfn.AGGREGATE(9,7,ExistingBMPs5[TSS_Reduction_tonPerY])</totalsRowFormula>
    </tableColumn>
    <tableColumn id="17" xr3:uid="{8CFAD513-7D9C-3744-9B39-C8B22C7B7BDE}" name="TP_Reduction_lbPerY" totalsRowFunction="custom" dataDxfId="7" totalsRowDxfId="6">
      <calculatedColumnFormula>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calculatedColumnFormula>
      <totalsRowFormula>_xlfn.AGGREGATE(9,7,ExistingBMPs5[TP_Reduction_lbPerY])</totalsRowFormula>
    </tableColumn>
    <tableColumn id="16" xr3:uid="{B6576AA3-9FD1-C444-B108-13EBDDE13D54}" name="TN_Reduction_lbPerY" totalsRowFunction="custom" dataDxfId="5" totalsRowDxfId="4">
      <calculatedColumnFormula>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calculatedColumnFormula>
      <totalsRowFormula>_xlfn.AGGREGATE(9,7,ExistingBMPs5[TN_Reduction_lbPerY])</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hesapeakebay.net/channel_files/19172/attach_f--draft_faq_document__template.pdf" TargetMode="External"/><Relationship Id="rId2" Type="http://schemas.openxmlformats.org/officeDocument/2006/relationships/hyperlink" Target="https://www.chesapeakebay.net/documents/Final-CBP-Approved-Expert-Panel-Report-on-Stormwater-Performance-Standards-LONG_012015.pdf" TargetMode="External"/><Relationship Id="rId1" Type="http://schemas.openxmlformats.org/officeDocument/2006/relationships/hyperlink" Target="https://www.chesapeakebay.net/documents/Final-CBP-Approved-Expert-Panel-Report-on-Stormwater-Performance-Standards-LONG_012015.pdf" TargetMode="External"/><Relationship Id="rId4"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9.bin"/><Relationship Id="rId5" Type="http://schemas.openxmlformats.org/officeDocument/2006/relationships/table" Target="../tables/table5.xml"/><Relationship Id="rId4"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7"/>
  <sheetViews>
    <sheetView zoomScale="120" zoomScaleNormal="120" workbookViewId="0">
      <selection activeCell="E17" sqref="E17"/>
    </sheetView>
  </sheetViews>
  <sheetFormatPr baseColWidth="10" defaultColWidth="9.1640625" defaultRowHeight="15"/>
  <cols>
    <col min="1" max="1" width="8" customWidth="1"/>
    <col min="6" max="8" width="9.1640625" style="241"/>
    <col min="9" max="9" width="12.5" style="241" customWidth="1"/>
    <col min="10" max="16384" width="9.1640625" style="241"/>
  </cols>
  <sheetData>
    <row r="2" spans="1:9" ht="19">
      <c r="E2" s="240" t="s">
        <v>189</v>
      </c>
    </row>
    <row r="3" spans="1:9" ht="144" customHeight="1">
      <c r="A3" s="442" t="s">
        <v>300</v>
      </c>
      <c r="B3" s="442"/>
      <c r="C3" s="442"/>
      <c r="D3" s="442"/>
      <c r="E3" s="442"/>
      <c r="F3" s="442"/>
      <c r="G3" s="442"/>
      <c r="H3" s="442"/>
      <c r="I3" s="442"/>
    </row>
    <row r="4" spans="1:9">
      <c r="E4" s="242"/>
    </row>
    <row r="5" spans="1:9">
      <c r="E5" s="239" t="s">
        <v>181</v>
      </c>
    </row>
    <row r="6" spans="1:9">
      <c r="E6" s="239"/>
    </row>
    <row r="7" spans="1:9" ht="63" customHeight="1">
      <c r="A7" s="443" t="s">
        <v>250</v>
      </c>
      <c r="B7" s="444"/>
      <c r="C7" s="444"/>
      <c r="D7" s="444"/>
      <c r="E7" s="444"/>
      <c r="F7" s="444"/>
      <c r="G7" s="444"/>
      <c r="H7" s="444"/>
      <c r="I7" s="444"/>
    </row>
    <row r="8" spans="1:9">
      <c r="E8" s="242"/>
    </row>
    <row r="9" spans="1:9">
      <c r="A9" s="241"/>
      <c r="B9" s="387" t="s">
        <v>376</v>
      </c>
      <c r="C9" s="267" t="s">
        <v>378</v>
      </c>
      <c r="D9" s="267"/>
      <c r="E9" s="268"/>
      <c r="F9" s="267"/>
      <c r="G9" s="267"/>
      <c r="H9" s="267"/>
      <c r="I9" s="267"/>
    </row>
    <row r="10" spans="1:9">
      <c r="A10" s="267"/>
      <c r="B10" s="267"/>
      <c r="C10" s="267" t="s">
        <v>377</v>
      </c>
      <c r="D10" s="267"/>
      <c r="E10" s="272"/>
      <c r="F10" s="267"/>
      <c r="G10" s="267"/>
      <c r="H10" s="267"/>
      <c r="I10" s="267"/>
    </row>
    <row r="11" spans="1:9" ht="16">
      <c r="A11" s="264"/>
      <c r="B11" s="264"/>
      <c r="C11" s="264" t="s">
        <v>379</v>
      </c>
      <c r="D11" s="264"/>
      <c r="E11" s="266"/>
      <c r="F11" s="265"/>
      <c r="G11" s="265"/>
      <c r="H11" s="265"/>
      <c r="I11" s="265"/>
    </row>
    <row r="12" spans="1:9">
      <c r="A12" s="267"/>
      <c r="B12" s="267"/>
      <c r="C12" s="267"/>
      <c r="D12" s="267"/>
      <c r="E12" s="268"/>
      <c r="F12" s="267"/>
      <c r="G12" s="267"/>
      <c r="H12" s="267"/>
      <c r="I12" s="267"/>
    </row>
    <row r="13" spans="1:9">
      <c r="A13" s="267"/>
      <c r="B13" s="267"/>
      <c r="C13" s="267"/>
      <c r="D13" s="267"/>
      <c r="E13" s="268"/>
      <c r="F13" s="267"/>
      <c r="G13" s="267"/>
      <c r="H13" s="267"/>
      <c r="I13" s="267"/>
    </row>
    <row r="14" spans="1:9" ht="16">
      <c r="A14" s="267"/>
      <c r="B14" s="267"/>
      <c r="C14" s="267"/>
      <c r="D14" s="267"/>
      <c r="E14" s="269"/>
      <c r="F14" s="267"/>
      <c r="G14" s="267"/>
      <c r="H14" s="267"/>
      <c r="I14" s="267"/>
    </row>
    <row r="15" spans="1:9">
      <c r="A15" s="267"/>
      <c r="B15" s="267"/>
      <c r="C15" s="267"/>
      <c r="D15" s="267"/>
      <c r="E15" s="270"/>
      <c r="F15" s="267"/>
      <c r="G15" s="267"/>
      <c r="H15" s="267"/>
      <c r="I15" s="267"/>
    </row>
    <row r="16" spans="1:9">
      <c r="A16" s="267"/>
      <c r="B16" s="267"/>
      <c r="C16" s="267"/>
      <c r="D16" s="267"/>
      <c r="E16" s="268"/>
      <c r="F16" s="267"/>
      <c r="G16" s="267"/>
      <c r="H16" s="267"/>
      <c r="I16" s="267"/>
    </row>
    <row r="17" spans="1:9" ht="16">
      <c r="A17" s="267"/>
      <c r="B17" s="267"/>
      <c r="C17" s="271"/>
      <c r="D17" s="267"/>
      <c r="E17" s="267"/>
      <c r="F17" s="267"/>
      <c r="G17" s="267"/>
      <c r="H17" s="267"/>
      <c r="I17" s="267"/>
    </row>
  </sheetData>
  <mergeCells count="2">
    <mergeCell ref="A3:I3"/>
    <mergeCell ref="A7:I7"/>
  </mergeCells>
  <phoneticPr fontId="47" type="noConversion"/>
  <pageMargins left="0.7" right="0.7" top="0.75" bottom="0.75" header="0.3" footer="0.3"/>
  <pageSetup orientation="portrait" r:id="rId1"/>
  <headerFooter>
    <oddFooter>&amp;R&amp;10Christina Basin Loading Rates Tool (May 5, 2017)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N13"/>
  <sheetViews>
    <sheetView zoomScale="120" zoomScaleNormal="120" workbookViewId="0">
      <selection activeCell="A5" sqref="A5"/>
    </sheetView>
  </sheetViews>
  <sheetFormatPr baseColWidth="10" defaultColWidth="8.83203125" defaultRowHeight="15"/>
  <cols>
    <col min="1" max="1" width="13.5" customWidth="1"/>
    <col min="2" max="2" width="76.5" customWidth="1"/>
    <col min="3" max="3" width="1.5" customWidth="1"/>
  </cols>
  <sheetData>
    <row r="1" spans="1:14">
      <c r="A1" s="109" t="s">
        <v>234</v>
      </c>
      <c r="B1" s="110"/>
    </row>
    <row r="2" spans="1:14" ht="18.75" customHeight="1">
      <c r="A2" s="445" t="str">
        <f>CONCATENATE("Watershed: ",'MMW Output'!C15)</f>
        <v>Watershed: User Specified</v>
      </c>
      <c r="B2" s="446"/>
    </row>
    <row r="3" spans="1:14" ht="26.25" customHeight="1">
      <c r="A3" s="234" t="str">
        <f>CONCATENATE("Year: ",'MMW Output'!C16)</f>
        <v>Year: User Specified</v>
      </c>
      <c r="B3" s="113"/>
    </row>
    <row r="4" spans="1:14" s="214" customFormat="1" ht="18" customHeight="1">
      <c r="A4" s="235" t="s">
        <v>147</v>
      </c>
      <c r="B4" s="227"/>
    </row>
    <row r="5" spans="1:14" ht="72" customHeight="1">
      <c r="A5" s="229" t="s">
        <v>98</v>
      </c>
      <c r="B5" s="225" t="s">
        <v>236</v>
      </c>
    </row>
    <row r="6" spans="1:14" ht="69" customHeight="1">
      <c r="A6" s="225"/>
      <c r="B6" s="225" t="s">
        <v>235</v>
      </c>
    </row>
    <row r="7" spans="1:14">
      <c r="A7" s="110"/>
      <c r="B7" s="110"/>
    </row>
    <row r="8" spans="1:14">
      <c r="A8" s="111" t="s">
        <v>99</v>
      </c>
      <c r="B8" s="110"/>
      <c r="C8" s="108"/>
      <c r="D8" s="108"/>
      <c r="E8" s="108"/>
      <c r="F8" s="108"/>
      <c r="G8" s="108"/>
      <c r="H8" s="108"/>
      <c r="I8" s="108"/>
      <c r="J8" s="108"/>
      <c r="K8" s="108"/>
      <c r="L8" s="108"/>
      <c r="M8" s="108"/>
      <c r="N8" s="108"/>
    </row>
    <row r="9" spans="1:14" s="214" customFormat="1" ht="96" customHeight="1">
      <c r="A9" s="226"/>
      <c r="B9" s="112" t="s">
        <v>237</v>
      </c>
      <c r="C9" s="224"/>
      <c r="D9" s="224"/>
      <c r="E9" s="224"/>
      <c r="F9" s="224"/>
      <c r="G9" s="224"/>
      <c r="H9" s="224"/>
      <c r="I9" s="224"/>
      <c r="J9" s="224"/>
      <c r="K9" s="224"/>
      <c r="L9" s="224"/>
      <c r="M9" s="224"/>
      <c r="N9" s="224"/>
    </row>
    <row r="10" spans="1:14" s="214" customFormat="1" ht="85.5" customHeight="1">
      <c r="A10" s="226"/>
      <c r="B10" s="110" t="s">
        <v>238</v>
      </c>
      <c r="C10" s="224"/>
      <c r="D10" s="224"/>
      <c r="E10" s="224"/>
      <c r="F10" s="224"/>
      <c r="G10" s="224"/>
      <c r="H10" s="224"/>
      <c r="I10" s="224"/>
      <c r="J10" s="224"/>
      <c r="K10" s="224"/>
      <c r="L10" s="224"/>
      <c r="M10" s="224"/>
      <c r="N10" s="224"/>
    </row>
    <row r="11" spans="1:14" ht="141.75" customHeight="1">
      <c r="B11" s="110" t="s">
        <v>259</v>
      </c>
      <c r="C11" s="108"/>
      <c r="D11" s="108"/>
      <c r="E11" s="108"/>
      <c r="F11" s="108"/>
      <c r="G11" s="108"/>
      <c r="H11" s="108"/>
      <c r="I11" s="108"/>
      <c r="J11" s="108"/>
      <c r="K11" s="108"/>
      <c r="L11" s="108"/>
      <c r="M11" s="108"/>
      <c r="N11" s="108"/>
    </row>
    <row r="12" spans="1:14" ht="52.5" customHeight="1">
      <c r="A12" s="110"/>
      <c r="B12" s="110" t="s">
        <v>260</v>
      </c>
    </row>
    <row r="13" spans="1:14" ht="51.75" customHeight="1">
      <c r="B13" s="110" t="s">
        <v>239</v>
      </c>
    </row>
  </sheetData>
  <mergeCells count="1">
    <mergeCell ref="A2:B2"/>
  </mergeCells>
  <phoneticPr fontId="47" type="noConversion"/>
  <pageMargins left="0.7" right="0.7" top="0.75" bottom="0.75" header="0.3" footer="0.3"/>
  <pageSetup orientation="portrait" r:id="rId1"/>
  <headerFooter>
    <oddHeader>&amp;L&amp;"-,Bold"&amp;14Look-Up Table: Christina Basin MapShed Land Use Loading Rates</oddHeader>
    <oddFooter>&amp;L&amp;"Arial,Regular"&amp;9Section 1: Instructions and O&amp;Overview&amp;C&amp;"Arial,Regular"&amp;9Page &amp;P of &amp;N&amp;R&amp;"Arial,Regular"&amp;9Christina Basin Loading Rates Tool (May 5, 2017)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G53"/>
  <sheetViews>
    <sheetView topLeftCell="AA3" zoomScale="120" zoomScaleNormal="120" zoomScalePageLayoutView="110" workbookViewId="0">
      <selection activeCell="S41" sqref="S41"/>
    </sheetView>
  </sheetViews>
  <sheetFormatPr baseColWidth="10" defaultColWidth="8.83203125" defaultRowHeight="13"/>
  <cols>
    <col min="1" max="1" width="3.33203125" style="1" customWidth="1"/>
    <col min="2" max="2" width="16.5" style="1" customWidth="1"/>
    <col min="3" max="3" width="13" style="1" customWidth="1"/>
    <col min="4" max="5" width="8.6640625" style="1" hidden="1" customWidth="1"/>
    <col min="6" max="6" width="1.5" style="1" customWidth="1"/>
    <col min="7" max="7" width="12.5" style="1" customWidth="1"/>
    <col min="8" max="8" width="9.33203125" style="1" hidden="1" customWidth="1"/>
    <col min="9" max="9" width="1.5" style="1" customWidth="1"/>
    <col min="10" max="10" width="13.33203125" style="1" customWidth="1"/>
    <col min="11" max="11" width="8.6640625" style="1" hidden="1" customWidth="1"/>
    <col min="12" max="12" width="1.5" style="1" customWidth="1"/>
    <col min="13" max="13" width="16" style="1" customWidth="1"/>
    <col min="14" max="14" width="3.1640625" style="1" customWidth="1"/>
    <col min="15" max="15" width="11.83203125" style="1" customWidth="1"/>
    <col min="16" max="16" width="10.33203125" style="105" customWidth="1"/>
    <col min="17" max="17" width="11.33203125" style="1" customWidth="1"/>
    <col min="18" max="18" width="1.6640625" style="1" customWidth="1"/>
    <col min="19" max="19" width="10.1640625" style="1" customWidth="1"/>
    <col min="20" max="20" width="10.5" style="1" customWidth="1"/>
    <col min="21" max="21" width="10.83203125" style="1" customWidth="1"/>
    <col min="22" max="22" width="10.5" style="1" customWidth="1"/>
    <col min="23" max="23" width="1.6640625" style="1" customWidth="1"/>
    <col min="24" max="24" width="10.5" style="1" customWidth="1"/>
    <col min="25" max="25" width="10.33203125" style="1" customWidth="1"/>
    <col min="26" max="26" width="10.83203125" style="1" customWidth="1"/>
    <col min="27" max="27" width="14" style="1" customWidth="1"/>
    <col min="28" max="28" width="14.6640625" style="1" customWidth="1"/>
    <col min="29" max="16384" width="8.83203125" style="1"/>
  </cols>
  <sheetData>
    <row r="1" spans="1:33" ht="16">
      <c r="A1" s="215" t="s">
        <v>231</v>
      </c>
      <c r="B1" s="215"/>
      <c r="C1" s="215"/>
      <c r="D1" s="215"/>
      <c r="E1" s="215"/>
      <c r="F1" s="215"/>
      <c r="G1" s="215"/>
      <c r="H1" s="215"/>
      <c r="I1" s="215"/>
      <c r="J1" s="215"/>
    </row>
    <row r="2" spans="1:33" ht="6.5" customHeight="1"/>
    <row r="3" spans="1:33" ht="16">
      <c r="A3" s="215" t="str">
        <f>CONCATENATE("Watershed: ",'MMW Output'!B3)</f>
        <v>Watershed: User Specified</v>
      </c>
      <c r="B3" s="215"/>
      <c r="C3" s="215"/>
    </row>
    <row r="4" spans="1:33" ht="6.5" customHeight="1">
      <c r="A4" s="215"/>
      <c r="B4" s="215"/>
      <c r="C4" s="215"/>
    </row>
    <row r="5" spans="1:33" ht="16">
      <c r="A5" s="215" t="str">
        <f>CONCATENATE("Year: ",'MMW Output'!C16)</f>
        <v>Year: User Specified</v>
      </c>
      <c r="B5" s="215"/>
      <c r="C5" s="215"/>
      <c r="D5" s="4"/>
      <c r="E5" s="4"/>
      <c r="F5" s="447"/>
      <c r="G5" s="447"/>
    </row>
    <row r="6" spans="1:33" ht="17.25" customHeight="1">
      <c r="A6" s="1" t="str">
        <f>CONCATENATE("Source File: ",'MMW Output'!$C$14)</f>
        <v>Source File: User Specified</v>
      </c>
      <c r="D6" s="4"/>
      <c r="E6" s="4"/>
      <c r="F6" s="185"/>
      <c r="G6" s="185"/>
    </row>
    <row r="7" spans="1:33" ht="8.5" customHeight="1">
      <c r="A7" s="91"/>
      <c r="D7" s="4"/>
      <c r="E7" s="4"/>
      <c r="F7" s="91"/>
      <c r="G7" s="4"/>
    </row>
    <row r="8" spans="1:33" ht="18">
      <c r="A8" s="184" t="s">
        <v>182</v>
      </c>
      <c r="C8" s="93"/>
      <c r="D8" s="94"/>
      <c r="E8" s="94"/>
      <c r="F8" s="184"/>
      <c r="G8" s="93"/>
    </row>
    <row r="9" spans="1:33" ht="8.5" customHeight="1"/>
    <row r="10" spans="1:33" ht="8" customHeight="1">
      <c r="B10" s="5"/>
      <c r="C10" s="8"/>
      <c r="D10" s="8"/>
      <c r="E10" s="8"/>
      <c r="F10" s="8"/>
      <c r="G10" s="8"/>
      <c r="H10" s="8"/>
      <c r="I10" s="8"/>
      <c r="J10" s="8"/>
      <c r="K10" s="8"/>
      <c r="L10" s="8"/>
      <c r="M10" s="8"/>
    </row>
    <row r="11" spans="1:33" ht="30" customHeight="1">
      <c r="B11" s="453" t="s">
        <v>230</v>
      </c>
      <c r="C11" s="453"/>
      <c r="D11" s="453"/>
      <c r="E11" s="453"/>
      <c r="F11" s="453"/>
      <c r="G11" s="453"/>
      <c r="H11" s="453"/>
      <c r="I11" s="453"/>
      <c r="J11" s="453"/>
      <c r="K11" s="453"/>
      <c r="L11" s="453"/>
      <c r="M11" s="453"/>
      <c r="O11" s="448" t="s">
        <v>110</v>
      </c>
      <c r="P11" s="449"/>
      <c r="Q11" s="449"/>
      <c r="R11" s="449"/>
      <c r="S11" s="449"/>
      <c r="T11" s="449"/>
      <c r="U11" s="449"/>
      <c r="V11" s="449"/>
      <c r="W11" s="449"/>
      <c r="X11" s="449"/>
      <c r="Y11" s="449"/>
      <c r="Z11" s="449"/>
      <c r="AA11" s="449"/>
      <c r="AB11" s="449"/>
      <c r="AC11" s="4"/>
      <c r="AD11" s="4"/>
      <c r="AE11" s="4"/>
      <c r="AF11" s="4"/>
      <c r="AG11" s="4"/>
    </row>
    <row r="12" spans="1:33" ht="7.25" customHeight="1"/>
    <row r="13" spans="1:33" ht="18.5" customHeight="1" thickBot="1">
      <c r="B13" s="186"/>
      <c r="C13" s="25"/>
      <c r="D13" s="25"/>
      <c r="E13" s="25"/>
      <c r="F13" s="25"/>
      <c r="G13" s="25"/>
      <c r="H13" s="25"/>
      <c r="I13" s="25"/>
      <c r="J13" s="25"/>
      <c r="K13" s="25"/>
      <c r="L13" s="25"/>
      <c r="M13" s="30"/>
      <c r="O13" s="450" t="s">
        <v>43</v>
      </c>
      <c r="P13" s="451"/>
      <c r="Q13" s="452"/>
      <c r="R13" s="26"/>
      <c r="S13" s="450" t="s">
        <v>44</v>
      </c>
      <c r="T13" s="451"/>
      <c r="U13" s="451"/>
      <c r="V13" s="452"/>
      <c r="W13" s="26"/>
      <c r="X13" s="450" t="s">
        <v>45</v>
      </c>
      <c r="Y13" s="451"/>
      <c r="Z13" s="451"/>
      <c r="AA13" s="452"/>
    </row>
    <row r="14" spans="1:33" ht="56.5" customHeight="1">
      <c r="B14" s="114" t="s">
        <v>0</v>
      </c>
      <c r="C14" s="115" t="s">
        <v>1</v>
      </c>
      <c r="D14" s="116" t="s">
        <v>2</v>
      </c>
      <c r="E14" s="116" t="s">
        <v>3</v>
      </c>
      <c r="F14" s="116"/>
      <c r="G14" s="116" t="s">
        <v>4</v>
      </c>
      <c r="H14" s="116" t="s">
        <v>5</v>
      </c>
      <c r="I14" s="116"/>
      <c r="J14" s="116" t="s">
        <v>37</v>
      </c>
      <c r="K14" s="116" t="s">
        <v>7</v>
      </c>
      <c r="L14" s="116"/>
      <c r="M14" s="117" t="s">
        <v>38</v>
      </c>
      <c r="O14" s="244" t="s">
        <v>114</v>
      </c>
      <c r="P14" s="31" t="s">
        <v>141</v>
      </c>
      <c r="Q14" s="187" t="s">
        <v>41</v>
      </c>
      <c r="R14" s="250"/>
      <c r="S14" s="244" t="s">
        <v>48</v>
      </c>
      <c r="T14" s="31" t="s">
        <v>105</v>
      </c>
      <c r="U14" s="31" t="s">
        <v>106</v>
      </c>
      <c r="V14" s="187" t="s">
        <v>46</v>
      </c>
      <c r="W14" s="250"/>
      <c r="X14" s="244" t="s">
        <v>48</v>
      </c>
      <c r="Y14" s="31" t="s">
        <v>105</v>
      </c>
      <c r="Z14" s="31" t="s">
        <v>104</v>
      </c>
      <c r="AA14" s="187" t="s">
        <v>47</v>
      </c>
      <c r="AC14" s="4"/>
      <c r="AD14" s="4"/>
      <c r="AE14" s="4"/>
      <c r="AF14" s="4"/>
    </row>
    <row r="15" spans="1:33" ht="15" customHeight="1">
      <c r="B15" s="19" t="s">
        <v>36</v>
      </c>
      <c r="C15" s="16" t="s">
        <v>83</v>
      </c>
      <c r="D15" s="17" t="s">
        <v>33</v>
      </c>
      <c r="E15" s="17" t="s">
        <v>34</v>
      </c>
      <c r="F15" s="17"/>
      <c r="G15" s="17" t="s">
        <v>34</v>
      </c>
      <c r="H15" s="17" t="s">
        <v>35</v>
      </c>
      <c r="I15" s="17"/>
      <c r="J15" s="17" t="s">
        <v>35</v>
      </c>
      <c r="K15" s="17" t="s">
        <v>35</v>
      </c>
      <c r="L15" s="17"/>
      <c r="M15" s="18" t="s">
        <v>35</v>
      </c>
      <c r="O15" s="245" t="s">
        <v>40</v>
      </c>
      <c r="P15" s="107" t="s">
        <v>40</v>
      </c>
      <c r="Q15" s="194" t="s">
        <v>40</v>
      </c>
      <c r="R15" s="251"/>
      <c r="S15" s="245" t="s">
        <v>40</v>
      </c>
      <c r="T15" s="107" t="s">
        <v>40</v>
      </c>
      <c r="U15" s="107" t="s">
        <v>40</v>
      </c>
      <c r="V15" s="194" t="s">
        <v>40</v>
      </c>
      <c r="W15" s="251"/>
      <c r="X15" s="245" t="s">
        <v>40</v>
      </c>
      <c r="Y15" s="107" t="s">
        <v>40</v>
      </c>
      <c r="Z15" s="107" t="s">
        <v>40</v>
      </c>
      <c r="AA15" s="194" t="s">
        <v>40</v>
      </c>
    </row>
    <row r="16" spans="1:33" ht="24.5" customHeight="1">
      <c r="B16" s="35"/>
      <c r="C16" s="17"/>
      <c r="D16" s="17"/>
      <c r="E16" s="17"/>
      <c r="F16" s="17"/>
      <c r="G16" s="17"/>
      <c r="H16" s="17"/>
      <c r="I16" s="17"/>
      <c r="J16" s="17"/>
      <c r="K16" s="17"/>
      <c r="L16" s="17"/>
      <c r="M16" s="18"/>
      <c r="O16" s="246" t="s">
        <v>42</v>
      </c>
      <c r="P16" s="106"/>
      <c r="Q16" s="197" t="s">
        <v>107</v>
      </c>
      <c r="R16" s="252"/>
      <c r="S16" s="246" t="s">
        <v>42</v>
      </c>
      <c r="T16" s="24"/>
      <c r="U16" s="34"/>
      <c r="V16" s="197" t="s">
        <v>108</v>
      </c>
      <c r="W16" s="252"/>
      <c r="X16" s="254" t="s">
        <v>42</v>
      </c>
      <c r="Y16" s="24"/>
      <c r="Z16" s="34"/>
      <c r="AA16" s="197" t="s">
        <v>108</v>
      </c>
    </row>
    <row r="17" spans="1:33" ht="13.25" customHeight="1">
      <c r="A17" s="454" t="s">
        <v>102</v>
      </c>
      <c r="B17" s="11" t="s">
        <v>9</v>
      </c>
      <c r="C17" s="90">
        <f>+'MMW Output'!C22</f>
        <v>1180.2469135802469</v>
      </c>
      <c r="D17" s="11" t="e">
        <f>+'MMW Output'!#REF!</f>
        <v>#REF!</v>
      </c>
      <c r="E17" s="11" t="e">
        <f>+'MMW Output'!#REF!</f>
        <v>#REF!</v>
      </c>
      <c r="F17" s="11"/>
      <c r="G17" s="11">
        <f>+'MMW Output'!D22</f>
        <v>169.19251650000001</v>
      </c>
      <c r="H17" s="11" t="e">
        <f>+'MMW Output'!#REF!</f>
        <v>#REF!</v>
      </c>
      <c r="I17" s="11"/>
      <c r="J17" s="11">
        <f>+'MMW Output'!E22</f>
        <v>1744.8164999999999</v>
      </c>
      <c r="K17" s="11" t="e">
        <f>+'MMW Output'!#REF!</f>
        <v>#REF!</v>
      </c>
      <c r="L17" s="11"/>
      <c r="M17" s="11">
        <f>+'MMW Output'!F22</f>
        <v>893.02499999999998</v>
      </c>
      <c r="O17" s="247">
        <f>IF(LoadsTable[[#This Row],[Column2]]=0,0,(G17*2000/C17))</f>
        <v>286.70698402719665</v>
      </c>
      <c r="P17" s="79">
        <f>IF(LoadsTable[[#This Row],[Column2]]=0,0,'Stream Bank SedimentLoadingRate'!C$165)</f>
        <v>237.3613259668509</v>
      </c>
      <c r="Q17" s="195">
        <f>SUM(O17:P17)</f>
        <v>524.06830999404758</v>
      </c>
      <c r="R17" s="10"/>
      <c r="S17" s="247">
        <f>IF(LoadsTable[[#This Row],[Column2]]=0,0,ROUND((J17/C17),2))</f>
        <v>1.48</v>
      </c>
      <c r="T17" s="76">
        <f>IF(LoadsTable[[#This Row],[Column2]]=0,0,ROUND('Stream Bank Nitrogen Loading'!C162,2))</f>
        <v>0.14000000000000001</v>
      </c>
      <c r="U17" s="76">
        <f>IF(LoadsTable[[#This Row],[Column2]]=0,0,ROUND('Farm Animal TN and TP Loading'!$D$35,2))</f>
        <v>0.42</v>
      </c>
      <c r="V17" s="189">
        <f>SUM(S17:U17)</f>
        <v>2.04</v>
      </c>
      <c r="W17" s="10"/>
      <c r="X17" s="255">
        <f>IF(LoadsTable[[#This Row],[Column2]]=0,0,ROUND((M17/C17),2))</f>
        <v>0.76</v>
      </c>
      <c r="Y17" s="32">
        <f>IF(LoadsTable[[#This Row],[Column2]]=0,0,ROUND('Stream Bank Phosphorus Loading'!C$162,2))</f>
        <v>0.08</v>
      </c>
      <c r="Z17" s="76">
        <f>IF(LoadsTable[[#This Row],[Column2]]=0,0,ROUND('Farm Animal TN and TP Loading'!$E$35,2))</f>
        <v>0.11</v>
      </c>
      <c r="AA17" s="198">
        <f>SUM(X17:Z17)</f>
        <v>0.95</v>
      </c>
      <c r="AB17" s="199" t="s">
        <v>9</v>
      </c>
      <c r="AC17" s="4"/>
      <c r="AD17" s="4">
        <f>(LoadsTable[[#This Row],[Column2]])</f>
        <v>1180.2469135802469</v>
      </c>
      <c r="AE17" s="4"/>
      <c r="AF17" s="4"/>
      <c r="AG17" s="4"/>
    </row>
    <row r="18" spans="1:33">
      <c r="A18" s="455"/>
      <c r="B18" s="11" t="s">
        <v>10</v>
      </c>
      <c r="C18" s="90">
        <f>+'MMW Output'!C23</f>
        <v>323.45679012345676</v>
      </c>
      <c r="D18" s="11" t="e">
        <f>+'MMW Output'!#REF!</f>
        <v>#REF!</v>
      </c>
      <c r="E18" s="11" t="e">
        <f>+'MMW Output'!#REF!</f>
        <v>#REF!</v>
      </c>
      <c r="F18" s="11"/>
      <c r="G18" s="11">
        <f>+'MMW Output'!D23</f>
        <v>473.41140525000003</v>
      </c>
      <c r="H18" s="11" t="e">
        <f>+'MMW Output'!#REF!</f>
        <v>#REF!</v>
      </c>
      <c r="I18" s="11"/>
      <c r="J18" s="11">
        <f>+'MMW Output'!E23</f>
        <v>3426.3495000000003</v>
      </c>
      <c r="K18" s="11" t="e">
        <f>+'MMW Output'!#REF!</f>
        <v>#REF!</v>
      </c>
      <c r="L18" s="11"/>
      <c r="M18" s="11">
        <f>+'MMW Output'!F23</f>
        <v>1474.4835</v>
      </c>
      <c r="O18" s="248">
        <f>IF(LoadsTable[[#This Row],[Column2]]=0,0,(G18*2000/C18))</f>
        <v>2927.2002920038171</v>
      </c>
      <c r="P18" s="33">
        <f>IF(LoadsTable[[#This Row],[Column2]]=0,0,'Stream Bank SedimentLoadingRate'!C$165)</f>
        <v>237.3613259668509</v>
      </c>
      <c r="Q18" s="191">
        <f t="shared" ref="Q18:Q32" si="0">SUM(O18:P18)</f>
        <v>3164.5616179706681</v>
      </c>
      <c r="R18" s="10"/>
      <c r="S18" s="253">
        <f>IF(LoadsTable[[#This Row],[Column2]]=0,0,ROUND((J18/C18),2))</f>
        <v>10.59</v>
      </c>
      <c r="T18" s="77">
        <f>IF(LoadsTable[[#This Row],[Column2]]=0,0,ROUND('Stream Bank Nitrogen Loading'!C162,2))</f>
        <v>0.14000000000000001</v>
      </c>
      <c r="U18" s="77">
        <f>IF(LoadsTable[[#This Row],[Column2]]=0,0,ROUND('Farm Animal TN and TP Loading'!$D$35,2))</f>
        <v>0.42</v>
      </c>
      <c r="V18" s="188">
        <f t="shared" ref="V18:V32" si="1">SUM(S18:U18)</f>
        <v>11.15</v>
      </c>
      <c r="W18" s="10"/>
      <c r="X18" s="253">
        <f>IF(LoadsTable[[#This Row],[Column2]]=0,0,ROUND((M18/C18),2))</f>
        <v>4.5599999999999996</v>
      </c>
      <c r="Y18" s="33">
        <f>IF(LoadsTable[[#This Row],[Column2]]=0,0,ROUND('Stream Bank Phosphorus Loading'!C$162,2))</f>
        <v>0.08</v>
      </c>
      <c r="Z18" s="77">
        <f>IF(LoadsTable[[#This Row],[Column2]]=0,0,ROUND('Farm Animal TN and TP Loading'!$E$35,2))</f>
        <v>0.11</v>
      </c>
      <c r="AA18" s="196">
        <f t="shared" ref="AA18:AA32" si="2">SUM(X18:Z18)</f>
        <v>4.75</v>
      </c>
      <c r="AB18" s="149" t="s">
        <v>10</v>
      </c>
    </row>
    <row r="19" spans="1:33">
      <c r="A19" s="455"/>
      <c r="B19" s="11" t="s">
        <v>11</v>
      </c>
      <c r="C19" s="90">
        <f>+'MMW Output'!C24</f>
        <v>417.28395061728395</v>
      </c>
      <c r="D19" s="11" t="e">
        <f>+'MMW Output'!#REF!</f>
        <v>#REF!</v>
      </c>
      <c r="E19" s="11" t="e">
        <f>+'MMW Output'!#REF!</f>
        <v>#REF!</v>
      </c>
      <c r="F19" s="11"/>
      <c r="G19" s="11">
        <f>+'MMW Output'!D24</f>
        <v>0.69060599999999994</v>
      </c>
      <c r="H19" s="11" t="e">
        <f>+'MMW Output'!#REF!</f>
        <v>#REF!</v>
      </c>
      <c r="I19" s="11"/>
      <c r="J19" s="11">
        <f>+'MMW Output'!E24</f>
        <v>59.975999999999999</v>
      </c>
      <c r="K19" s="11" t="e">
        <f>+'MMW Output'!#REF!</f>
        <v>#REF!</v>
      </c>
      <c r="L19" s="11"/>
      <c r="M19" s="11">
        <f>+'MMW Output'!F24</f>
        <v>4.8510000000000009</v>
      </c>
      <c r="O19" s="247">
        <f>IF(LoadsTable[[#This Row],[Column2]]=0,0,(G19*2000/C19))</f>
        <v>3.3100050887573964</v>
      </c>
      <c r="P19" s="79">
        <f>IF(LoadsTable[[#This Row],[Column2]]=0,0,'Stream Bank SedimentLoadingRate'!C$165)</f>
        <v>237.3613259668509</v>
      </c>
      <c r="Q19" s="195">
        <f t="shared" si="0"/>
        <v>240.67133105560831</v>
      </c>
      <c r="R19" s="10"/>
      <c r="S19" s="247">
        <f>IF(LoadsTable[[#This Row],[Column2]]=0,0,ROUND((J19/C19),2))</f>
        <v>0.14000000000000001</v>
      </c>
      <c r="T19" s="76">
        <f>IF(LoadsTable[[#This Row],[Column2]]=0,0,ROUND('Stream Bank Nitrogen Loading'!C162,2))</f>
        <v>0.14000000000000001</v>
      </c>
      <c r="U19" s="76" t="s">
        <v>92</v>
      </c>
      <c r="V19" s="189">
        <f>SUM(S19:U19)</f>
        <v>0.28000000000000003</v>
      </c>
      <c r="W19" s="10"/>
      <c r="X19" s="247">
        <f>IF(LoadsTable[[#This Row],[Column2]]=0,0,ROUND((M19/C19),2))</f>
        <v>0.01</v>
      </c>
      <c r="Y19" s="79">
        <f>IF(LoadsTable[[#This Row],[Column2]]=0,0,ROUND('Stream Bank Phosphorus Loading'!C$162,2))</f>
        <v>0.08</v>
      </c>
      <c r="Z19" s="76" t="s">
        <v>92</v>
      </c>
      <c r="AA19" s="193">
        <f t="shared" si="2"/>
        <v>0.09</v>
      </c>
      <c r="AB19" s="120" t="s">
        <v>11</v>
      </c>
    </row>
    <row r="20" spans="1:33">
      <c r="A20" s="455"/>
      <c r="B20" s="11" t="s">
        <v>12</v>
      </c>
      <c r="C20" s="90">
        <f>+'MMW Output'!C25</f>
        <v>14.814814814814813</v>
      </c>
      <c r="D20" s="11" t="e">
        <f>+'MMW Output'!#REF!</f>
        <v>#REF!</v>
      </c>
      <c r="E20" s="11" t="e">
        <f>+'MMW Output'!#REF!</f>
        <v>#REF!</v>
      </c>
      <c r="F20" s="11"/>
      <c r="G20" s="11">
        <f>+'MMW Output'!D25</f>
        <v>3.2854500000000002E-2</v>
      </c>
      <c r="H20" s="11" t="e">
        <f>+'MMW Output'!#REF!</f>
        <v>#REF!</v>
      </c>
      <c r="I20" s="11"/>
      <c r="J20" s="11">
        <f>+'MMW Output'!E25</f>
        <v>6.1739999999999995</v>
      </c>
      <c r="K20" s="11" t="e">
        <f>+'MMW Output'!#REF!</f>
        <v>#REF!</v>
      </c>
      <c r="L20" s="11"/>
      <c r="M20" s="11">
        <f>+'MMW Output'!F25</f>
        <v>0.44100000000000006</v>
      </c>
      <c r="O20" s="248">
        <f>IF(LoadsTable[[#This Row],[Column2]]=0,0,(G20*2000/C20))</f>
        <v>4.4353575000000003</v>
      </c>
      <c r="P20" s="33">
        <f>IF(LoadsTable[[#This Row],[Column2]]=0,0,'Stream Bank SedimentLoadingRate'!C$165)</f>
        <v>237.3613259668509</v>
      </c>
      <c r="Q20" s="191">
        <f t="shared" si="0"/>
        <v>241.79668346685091</v>
      </c>
      <c r="R20" s="10"/>
      <c r="S20" s="248">
        <f>IF(LoadsTable[[#This Row],[Column2]]=0,0,ROUND((J20/C20),2))</f>
        <v>0.42</v>
      </c>
      <c r="T20" s="243">
        <f>IF(LoadsTable[[#This Row],[Column2]]=0,0,ROUND('Stream Bank Nitrogen Loading'!C162,2))</f>
        <v>0.14000000000000001</v>
      </c>
      <c r="U20" s="77" t="s">
        <v>92</v>
      </c>
      <c r="V20" s="188">
        <f t="shared" si="1"/>
        <v>0.56000000000000005</v>
      </c>
      <c r="W20" s="10"/>
      <c r="X20" s="248">
        <f>IF(LoadsTable[[#This Row],[Column2]]=0,0,ROUND((M20/C20),2))</f>
        <v>0.03</v>
      </c>
      <c r="Y20" s="33">
        <f>IF(LoadsTable[[#This Row],[Column2]]=0,0,ROUND('Stream Bank Phosphorus Loading'!C$162,2))</f>
        <v>0.08</v>
      </c>
      <c r="Z20" s="77" t="s">
        <v>92</v>
      </c>
      <c r="AA20" s="196">
        <f t="shared" si="2"/>
        <v>0.11</v>
      </c>
      <c r="AB20" s="149" t="s">
        <v>12</v>
      </c>
    </row>
    <row r="21" spans="1:33">
      <c r="A21" s="455"/>
      <c r="B21" s="11" t="s">
        <v>13</v>
      </c>
      <c r="C21" s="90">
        <f>+'MMW Output'!C26</f>
        <v>0</v>
      </c>
      <c r="D21" s="11" t="e">
        <f>+'MMW Output'!#REF!</f>
        <v>#REF!</v>
      </c>
      <c r="E21" s="11" t="e">
        <f>+'MMW Output'!#REF!</f>
        <v>#REF!</v>
      </c>
      <c r="F21" s="11"/>
      <c r="G21" s="11">
        <f>+'MMW Output'!D26</f>
        <v>0</v>
      </c>
      <c r="H21" s="11" t="e">
        <f>+'MMW Output'!#REF!</f>
        <v>#REF!</v>
      </c>
      <c r="I21" s="11"/>
      <c r="J21" s="11">
        <f>+'MMW Output'!E26</f>
        <v>0</v>
      </c>
      <c r="K21" s="11" t="e">
        <f>+'MMW Output'!#REF!</f>
        <v>#REF!</v>
      </c>
      <c r="L21" s="11"/>
      <c r="M21" s="11">
        <f>+'MMW Output'!F26</f>
        <v>0</v>
      </c>
      <c r="O21" s="247">
        <f>IF(LoadsTable[[#This Row],[Column2]]=0,0,(G21*2000/C21))</f>
        <v>0</v>
      </c>
      <c r="P21" s="79">
        <f>IF(LoadsTable[[#This Row],[Column2]]=0,0,'Stream Bank SedimentLoadingRate'!C$165)</f>
        <v>0</v>
      </c>
      <c r="Q21" s="195">
        <f t="shared" si="0"/>
        <v>0</v>
      </c>
      <c r="R21" s="10"/>
      <c r="S21" s="247">
        <f>IF(LoadsTable[[#This Row],[Column2]]=0,0,ROUND((J21/C21),2))</f>
        <v>0</v>
      </c>
      <c r="T21" s="76">
        <f>IF(LoadsTable[[#This Row],[Column2]]=0,0,ROUND('Stream Bank Nitrogen Loading'!C162,2))</f>
        <v>0</v>
      </c>
      <c r="U21" s="76" t="s">
        <v>92</v>
      </c>
      <c r="V21" s="189">
        <f t="shared" si="1"/>
        <v>0</v>
      </c>
      <c r="W21" s="10"/>
      <c r="X21" s="247">
        <f>IF(LoadsTable[[#This Row],[Column2]]=0,0,ROUND((M21/C21),2))</f>
        <v>0</v>
      </c>
      <c r="Y21" s="79">
        <f>IF(LoadsTable[[#This Row],[Column2]]=0,0,ROUND('Stream Bank Phosphorus Loading'!C$162,2))</f>
        <v>0</v>
      </c>
      <c r="Z21" s="76" t="s">
        <v>92</v>
      </c>
      <c r="AA21" s="193">
        <f t="shared" si="2"/>
        <v>0</v>
      </c>
      <c r="AB21" s="120" t="s">
        <v>13</v>
      </c>
      <c r="AD21" s="4"/>
      <c r="AE21" s="4"/>
      <c r="AF21" s="4"/>
      <c r="AG21" s="4"/>
    </row>
    <row r="22" spans="1:33">
      <c r="A22" s="455"/>
      <c r="B22" s="11" t="s">
        <v>14</v>
      </c>
      <c r="C22" s="90">
        <f>+'MMW Output'!C27</f>
        <v>0</v>
      </c>
      <c r="D22" s="11" t="e">
        <f>+'MMW Output'!#REF!</f>
        <v>#REF!</v>
      </c>
      <c r="E22" s="11" t="e">
        <f>+'MMW Output'!#REF!</f>
        <v>#REF!</v>
      </c>
      <c r="F22" s="11"/>
      <c r="G22" s="11">
        <f>+'MMW Output'!D27</f>
        <v>0</v>
      </c>
      <c r="H22" s="11" t="e">
        <f>+'MMW Output'!#REF!</f>
        <v>#REF!</v>
      </c>
      <c r="I22" s="11"/>
      <c r="J22" s="11">
        <f>+'MMW Output'!E27</f>
        <v>0</v>
      </c>
      <c r="K22" s="11" t="e">
        <f>+'MMW Output'!#REF!</f>
        <v>#REF!</v>
      </c>
      <c r="L22" s="11"/>
      <c r="M22" s="11">
        <f>+'MMW Output'!F27</f>
        <v>0</v>
      </c>
      <c r="O22" s="248">
        <f>IF(LoadsTable[[#This Row],[Column2]]=0,0,(G22*2000/C22))</f>
        <v>0</v>
      </c>
      <c r="P22" s="33">
        <f>IF(LoadsTable[[#This Row],[Column2]]=0,0,'Stream Bank SedimentLoadingRate'!C$165)</f>
        <v>0</v>
      </c>
      <c r="Q22" s="191">
        <f t="shared" si="0"/>
        <v>0</v>
      </c>
      <c r="R22" s="10"/>
      <c r="S22" s="248">
        <f>IF(LoadsTable[[#This Row],[Column2]]=0,0,ROUND((J22/C22),2))</f>
        <v>0</v>
      </c>
      <c r="T22" s="77">
        <f>IF(LoadsTable[[#This Row],[Column2]]=0,0,ROUND('Stream Bank Nitrogen Loading'!C162,2))</f>
        <v>0</v>
      </c>
      <c r="U22" s="77" t="s">
        <v>92</v>
      </c>
      <c r="V22" s="188">
        <f t="shared" si="1"/>
        <v>0</v>
      </c>
      <c r="W22" s="10"/>
      <c r="X22" s="248">
        <f>IF(LoadsTable[[#This Row],[Column2]]=0,0,ROUND((M22/C22),2))</f>
        <v>0</v>
      </c>
      <c r="Y22" s="33">
        <f>IF(LoadsTable[[#This Row],[Column2]]=0,0,ROUND('Stream Bank Phosphorus Loading'!C$162,2))</f>
        <v>0</v>
      </c>
      <c r="Z22" s="77" t="s">
        <v>92</v>
      </c>
      <c r="AA22" s="196">
        <f t="shared" si="2"/>
        <v>0</v>
      </c>
      <c r="AB22" s="149" t="s">
        <v>14</v>
      </c>
      <c r="AD22" s="4"/>
      <c r="AE22" s="4"/>
      <c r="AF22" s="4"/>
      <c r="AG22" s="4"/>
    </row>
    <row r="23" spans="1:33">
      <c r="A23" s="455"/>
      <c r="B23" s="11" t="s">
        <v>15</v>
      </c>
      <c r="C23" s="90">
        <f>+'MMW Output'!C28</f>
        <v>111.1111111111111</v>
      </c>
      <c r="D23" s="11" t="e">
        <f>+'MMW Output'!#REF!</f>
        <v>#REF!</v>
      </c>
      <c r="E23" s="11" t="e">
        <f>+'MMW Output'!#REF!</f>
        <v>#REF!</v>
      </c>
      <c r="F23" s="11"/>
      <c r="G23" s="11">
        <f>+'MMW Output'!D28</f>
        <v>5.4832837500000009</v>
      </c>
      <c r="H23" s="11" t="e">
        <f>+'MMW Output'!#REF!</f>
        <v>#REF!</v>
      </c>
      <c r="I23" s="11"/>
      <c r="J23" s="11">
        <f>+'MMW Output'!E28</f>
        <v>135.60750000000002</v>
      </c>
      <c r="K23" s="11" t="e">
        <f>+'MMW Output'!#REF!</f>
        <v>#REF!</v>
      </c>
      <c r="L23" s="11"/>
      <c r="M23" s="11">
        <f>+'MMW Output'!F28</f>
        <v>16.9785</v>
      </c>
      <c r="O23" s="247">
        <f>IF(LoadsTable[[#This Row],[Column2]]=0,0,(G23*2000/C23))</f>
        <v>98.699107500000025</v>
      </c>
      <c r="P23" s="79">
        <f>IF(LoadsTable[[#This Row],[Column2]]=0,0,'Stream Bank SedimentLoadingRate'!C$165)</f>
        <v>237.3613259668509</v>
      </c>
      <c r="Q23" s="195">
        <f t="shared" si="0"/>
        <v>336.0604334668509</v>
      </c>
      <c r="R23" s="10"/>
      <c r="S23" s="247">
        <f>IF(LoadsTable[[#This Row],[Column2]]=0,0,ROUND((J23/C23),2))</f>
        <v>1.22</v>
      </c>
      <c r="T23" s="76">
        <f>IF(LoadsTable[[#This Row],[Column2]]=0,0,ROUND('Stream Bank Nitrogen Loading'!C162,2))</f>
        <v>0.14000000000000001</v>
      </c>
      <c r="U23" s="76" t="s">
        <v>92</v>
      </c>
      <c r="V23" s="189">
        <f t="shared" si="1"/>
        <v>1.3599999999999999</v>
      </c>
      <c r="W23" s="10"/>
      <c r="X23" s="247">
        <f>IF(LoadsTable[[#This Row],[Column2]]=0,0,ROUND((M23/C23),2))</f>
        <v>0.15</v>
      </c>
      <c r="Y23" s="79">
        <f>IF(LoadsTable[[#This Row],[Column2]]=0,0,ROUND('Stream Bank Phosphorus Loading'!C$162,2))</f>
        <v>0.08</v>
      </c>
      <c r="Z23" s="76" t="s">
        <v>92</v>
      </c>
      <c r="AA23" s="193">
        <f t="shared" si="2"/>
        <v>0.22999999999999998</v>
      </c>
      <c r="AB23" s="120" t="s">
        <v>15</v>
      </c>
      <c r="AD23" s="4"/>
      <c r="AE23" s="4"/>
      <c r="AF23" s="4"/>
      <c r="AG23" s="4"/>
    </row>
    <row r="24" spans="1:33">
      <c r="A24" s="455"/>
      <c r="B24" s="11" t="s">
        <v>16</v>
      </c>
      <c r="C24" s="90">
        <f>+'MMW Output'!C29</f>
        <v>49.382716049382715</v>
      </c>
      <c r="D24" s="11" t="e">
        <f>+'MMW Output'!#REF!</f>
        <v>#REF!</v>
      </c>
      <c r="E24" s="11" t="e">
        <f>+'MMW Output'!#REF!</f>
        <v>#REF!</v>
      </c>
      <c r="F24" s="11"/>
      <c r="G24" s="11">
        <f>+'MMW Output'!D29</f>
        <v>6.1740000000000003E-2</v>
      </c>
      <c r="H24" s="11" t="e">
        <f>+'MMW Output'!#REF!</f>
        <v>#REF!</v>
      </c>
      <c r="I24" s="11"/>
      <c r="J24" s="11">
        <f>+'MMW Output'!E29</f>
        <v>29.988</v>
      </c>
      <c r="K24" s="11" t="e">
        <f>+'MMW Output'!#REF!</f>
        <v>#REF!</v>
      </c>
      <c r="L24" s="11"/>
      <c r="M24" s="11">
        <f>+'MMW Output'!F29</f>
        <v>1.1025</v>
      </c>
      <c r="O24" s="248">
        <f>IF(LoadsTable[[#This Row],[Column2]]=0,0,(G24*2000/C24))</f>
        <v>2.50047</v>
      </c>
      <c r="P24" s="33">
        <f>IF(LoadsTable[[#This Row],[Column2]]=0,0,'Stream Bank SedimentLoadingRate'!C$165)</f>
        <v>237.3613259668509</v>
      </c>
      <c r="Q24" s="191">
        <f t="shared" si="0"/>
        <v>239.86179596685091</v>
      </c>
      <c r="R24" s="10"/>
      <c r="S24" s="248">
        <f>IF(LoadsTable[[#This Row],[Column2]]=0,0,ROUND((J24/C24),2))</f>
        <v>0.61</v>
      </c>
      <c r="T24" s="77">
        <f>IF(LoadsTable[[#This Row],[Column2]]=0,0,ROUND('Stream Bank Nitrogen Loading'!C162,2))</f>
        <v>0.14000000000000001</v>
      </c>
      <c r="U24" s="77" t="s">
        <v>92</v>
      </c>
      <c r="V24" s="188">
        <f t="shared" si="1"/>
        <v>0.75</v>
      </c>
      <c r="W24" s="10"/>
      <c r="X24" s="248">
        <f>IF(LoadsTable[[#This Row],[Column2]]=0,0,ROUND((M24/C24),2))</f>
        <v>0.02</v>
      </c>
      <c r="Y24" s="33">
        <f>IF(LoadsTable[[#This Row],[Column2]]=0,0,ROUND('Stream Bank Phosphorus Loading'!C$162,2))</f>
        <v>0.08</v>
      </c>
      <c r="Z24" s="77" t="s">
        <v>92</v>
      </c>
      <c r="AA24" s="196">
        <f t="shared" si="2"/>
        <v>0.1</v>
      </c>
      <c r="AB24" s="149" t="s">
        <v>16</v>
      </c>
    </row>
    <row r="25" spans="1:33">
      <c r="A25" s="455"/>
      <c r="B25" s="11" t="s">
        <v>17</v>
      </c>
      <c r="C25" s="90">
        <f>+'MMW Output'!C30</f>
        <v>0</v>
      </c>
      <c r="D25" s="11" t="e">
        <f>+'MMW Output'!#REF!</f>
        <v>#REF!</v>
      </c>
      <c r="E25" s="11" t="e">
        <f>+'MMW Output'!#REF!</f>
        <v>#REF!</v>
      </c>
      <c r="F25" s="11"/>
      <c r="G25" s="11">
        <f>+'MMW Output'!D30</f>
        <v>0</v>
      </c>
      <c r="H25" s="11" t="e">
        <f>+'MMW Output'!#REF!</f>
        <v>#REF!</v>
      </c>
      <c r="I25" s="11"/>
      <c r="J25" s="11">
        <f>+'MMW Output'!E30</f>
        <v>0</v>
      </c>
      <c r="K25" s="11" t="e">
        <f>+'MMW Output'!#REF!</f>
        <v>#REF!</v>
      </c>
      <c r="L25" s="11"/>
      <c r="M25" s="11">
        <f>+'MMW Output'!F30</f>
        <v>0</v>
      </c>
      <c r="O25" s="247">
        <f>IF(LoadsTable[[#This Row],[Column2]]=0,0,(G25*2000/C25))</f>
        <v>0</v>
      </c>
      <c r="P25" s="79">
        <f>IF(LoadsTable[[#This Row],[Column2]]=0,0,'Stream Bank SedimentLoadingRate'!C$165)</f>
        <v>0</v>
      </c>
      <c r="Q25" s="195">
        <f t="shared" si="0"/>
        <v>0</v>
      </c>
      <c r="R25" s="10"/>
      <c r="S25" s="247">
        <f>IF(LoadsTable[[#This Row],[Column2]]=0,0,ROUND((J25/C25),2))</f>
        <v>0</v>
      </c>
      <c r="T25" s="76">
        <f>IF(LoadsTable[[#This Row],[Column2]]=0,0,ROUND('Stream Bank Nitrogen Loading'!C162,2))</f>
        <v>0</v>
      </c>
      <c r="U25" s="76" t="s">
        <v>92</v>
      </c>
      <c r="V25" s="189">
        <f t="shared" si="1"/>
        <v>0</v>
      </c>
      <c r="W25" s="10"/>
      <c r="X25" s="247">
        <f>IF(LoadsTable[[#This Row],[Column2]]=0,0,ROUND((M25/C25),2))</f>
        <v>0</v>
      </c>
      <c r="Y25" s="79">
        <f>IF(LoadsTable[[#This Row],[Column2]]=0,0,ROUND('Stream Bank Phosphorus Loading'!C$162,2))</f>
        <v>0</v>
      </c>
      <c r="Z25" s="76" t="s">
        <v>92</v>
      </c>
      <c r="AA25" s="193">
        <f t="shared" si="2"/>
        <v>0</v>
      </c>
      <c r="AB25" s="120" t="s">
        <v>17</v>
      </c>
    </row>
    <row r="26" spans="1:33">
      <c r="A26" s="455"/>
      <c r="B26" s="11" t="s">
        <v>18</v>
      </c>
      <c r="C26" s="90">
        <f>+'MMW Output'!C31</f>
        <v>0</v>
      </c>
      <c r="D26" s="11" t="e">
        <f>+'MMW Output'!#REF!</f>
        <v>#REF!</v>
      </c>
      <c r="E26" s="11" t="e">
        <f>+'MMW Output'!#REF!</f>
        <v>#REF!</v>
      </c>
      <c r="F26" s="11"/>
      <c r="G26" s="11">
        <f>+'MMW Output'!D31</f>
        <v>0</v>
      </c>
      <c r="H26" s="11" t="e">
        <f>+'MMW Output'!#REF!</f>
        <v>#REF!</v>
      </c>
      <c r="I26" s="11"/>
      <c r="J26" s="11">
        <f>+'MMW Output'!E31</f>
        <v>0</v>
      </c>
      <c r="K26" s="11" t="e">
        <f>+'MMW Output'!#REF!</f>
        <v>#REF!</v>
      </c>
      <c r="L26" s="11"/>
      <c r="M26" s="11">
        <f>+'MMW Output'!F31</f>
        <v>0</v>
      </c>
      <c r="O26" s="248">
        <f>IF(LoadsTable[[#This Row],[Column2]]=0,0,(G26*2000/C26))</f>
        <v>0</v>
      </c>
      <c r="P26" s="33">
        <f>IF(LoadsTable[[#This Row],[Column2]]=0,0,'Stream Bank SedimentLoadingRate'!C$165)</f>
        <v>0</v>
      </c>
      <c r="Q26" s="191">
        <f t="shared" si="0"/>
        <v>0</v>
      </c>
      <c r="R26" s="10"/>
      <c r="S26" s="248">
        <f>IF(LoadsTable[[#This Row],[Column2]]=0,0,ROUND((J26/C26),2))</f>
        <v>0</v>
      </c>
      <c r="T26" s="77">
        <f>IF(LoadsTable[[#This Row],[Column2]]=0,0,ROUND('Stream Bank Nitrogen Loading'!C162,2))</f>
        <v>0</v>
      </c>
      <c r="U26" s="77" t="s">
        <v>92</v>
      </c>
      <c r="V26" s="188">
        <f t="shared" si="1"/>
        <v>0</v>
      </c>
      <c r="W26" s="10"/>
      <c r="X26" s="248">
        <f>IF(LoadsTable[[#This Row],[Column2]]=0,0,ROUND((M26/C26),2))</f>
        <v>0</v>
      </c>
      <c r="Y26" s="33">
        <f>IF(LoadsTable[[#This Row],[Column2]]=0,0,ROUND('Stream Bank Phosphorus Loading'!C$162,2))</f>
        <v>0</v>
      </c>
      <c r="Z26" s="77" t="s">
        <v>92</v>
      </c>
      <c r="AA26" s="196">
        <f t="shared" si="2"/>
        <v>0</v>
      </c>
      <c r="AB26" s="149" t="s">
        <v>18</v>
      </c>
    </row>
    <row r="27" spans="1:33">
      <c r="A27" s="455"/>
      <c r="B27" s="11" t="s">
        <v>19</v>
      </c>
      <c r="C27" s="90">
        <f>+'MMW Output'!C32</f>
        <v>2000</v>
      </c>
      <c r="D27" s="11" t="e">
        <f>+'MMW Output'!#REF!</f>
        <v>#REF!</v>
      </c>
      <c r="E27" s="11" t="e">
        <f>+'MMW Output'!#REF!</f>
        <v>#REF!</v>
      </c>
      <c r="F27" s="11"/>
      <c r="G27" s="11">
        <f>+'MMW Output'!D32</f>
        <v>9.8619727500000014</v>
      </c>
      <c r="H27" s="11" t="e">
        <f>+'MMW Output'!#REF!</f>
        <v>#REF!</v>
      </c>
      <c r="I27" s="11"/>
      <c r="J27" s="11">
        <f>+'MMW Output'!E32</f>
        <v>532.94849999999997</v>
      </c>
      <c r="K27" s="11" t="e">
        <f>+'MMW Output'!#REF!</f>
        <v>#REF!</v>
      </c>
      <c r="L27" s="11"/>
      <c r="M27" s="11">
        <f>+'MMW Output'!F32</f>
        <v>59.975999999999999</v>
      </c>
      <c r="O27" s="247">
        <f>IF(LoadsTable[[#This Row],[Column2]]=0,0,(G27*2000/C27))</f>
        <v>9.8619727500000014</v>
      </c>
      <c r="P27" s="79">
        <f>IF(LoadsTable[[#This Row],[Column2]]=0,0,'Stream Bank SedimentLoadingRate'!E151)</f>
        <v>339.06192250126992</v>
      </c>
      <c r="Q27" s="195">
        <f t="shared" si="0"/>
        <v>348.92389525126993</v>
      </c>
      <c r="R27" s="10"/>
      <c r="S27" s="247">
        <f>IF(LoadsTable[[#This Row],[Column2]]=0,0,ROUND((J27/C27),2))</f>
        <v>0.27</v>
      </c>
      <c r="T27" s="76">
        <f>IF(LoadsTable[[#This Row],[Column2]]=0,0,ROUND('Stream Bank Nitrogen Loading'!E148,2))</f>
        <v>0.18</v>
      </c>
      <c r="U27" s="76" t="s">
        <v>92</v>
      </c>
      <c r="V27" s="189">
        <f t="shared" si="1"/>
        <v>0.45</v>
      </c>
      <c r="W27" s="10"/>
      <c r="X27" s="247">
        <f>IF(LoadsTable[[#This Row],[Column2]]=0,0,ROUND((M27/C27),2))</f>
        <v>0.03</v>
      </c>
      <c r="Y27" s="79">
        <f>IF(LoadsTable[[#This Row],[Column2]]=0,0,ROUND('Stream Bank Phosphorus Loading'!E$148,2))</f>
        <v>0.11</v>
      </c>
      <c r="Z27" s="76" t="s">
        <v>92</v>
      </c>
      <c r="AA27" s="193">
        <f t="shared" si="2"/>
        <v>0.14000000000000001</v>
      </c>
      <c r="AB27" s="120" t="s">
        <v>19</v>
      </c>
    </row>
    <row r="28" spans="1:33">
      <c r="A28" s="455"/>
      <c r="B28" s="11" t="s">
        <v>20</v>
      </c>
      <c r="C28" s="90">
        <f>+'MMW Output'!C33</f>
        <v>293.82716049382714</v>
      </c>
      <c r="D28" s="11" t="e">
        <f>+'MMW Output'!#REF!</f>
        <v>#REF!</v>
      </c>
      <c r="E28" s="11" t="e">
        <f>+'MMW Output'!#REF!</f>
        <v>#REF!</v>
      </c>
      <c r="F28" s="11"/>
      <c r="G28" s="11">
        <f>+'MMW Output'!D33</f>
        <v>7.9404254999999999</v>
      </c>
      <c r="H28" s="11" t="e">
        <f>+'MMW Output'!#REF!</f>
        <v>#REF!</v>
      </c>
      <c r="I28" s="11"/>
      <c r="J28" s="11">
        <f>+'MMW Output'!E33</f>
        <v>327.88349999999997</v>
      </c>
      <c r="K28" s="11" t="e">
        <f>+'MMW Output'!#REF!</f>
        <v>#REF!</v>
      </c>
      <c r="L28" s="11"/>
      <c r="M28" s="11">
        <f>+'MMW Output'!F33</f>
        <v>33.736499999999999</v>
      </c>
      <c r="O28" s="248">
        <f>IF(LoadsTable[[#This Row],[Column2]]=0,0,(G28*2000/C28))</f>
        <v>54.048274411764709</v>
      </c>
      <c r="P28" s="33">
        <f>IF(LoadsTable[[#This Row],[Column2]]=0,0,'Stream Bank SedimentLoadingRate'!E152)</f>
        <v>589.92339395283693</v>
      </c>
      <c r="Q28" s="191">
        <f t="shared" si="0"/>
        <v>643.97166836460167</v>
      </c>
      <c r="R28" s="10"/>
      <c r="S28" s="248">
        <f>IF(LoadsTable[[#This Row],[Column2]]=0,0,ROUND((J28/C28),2))</f>
        <v>1.1200000000000001</v>
      </c>
      <c r="T28" s="77">
        <f>IF(LoadsTable[[#This Row],[Column2]]=0,0,ROUND('Stream Bank Nitrogen Loading'!E149,2))</f>
        <v>0.41</v>
      </c>
      <c r="U28" s="77" t="s">
        <v>92</v>
      </c>
      <c r="V28" s="188">
        <f t="shared" si="1"/>
        <v>1.53</v>
      </c>
      <c r="W28" s="10"/>
      <c r="X28" s="248">
        <f>IF(LoadsTable[[#This Row],[Column2]]=0,0,ROUND((M28/C28),2))</f>
        <v>0.11</v>
      </c>
      <c r="Y28" s="33">
        <f>IF(LoadsTable[[#This Row],[Column2]]=0,0,ROUND('Stream Bank Phosphorus Loading'!E$149,2))</f>
        <v>0.2</v>
      </c>
      <c r="Z28" s="77" t="s">
        <v>92</v>
      </c>
      <c r="AA28" s="196">
        <f t="shared" si="2"/>
        <v>0.31</v>
      </c>
      <c r="AB28" s="149" t="s">
        <v>20</v>
      </c>
    </row>
    <row r="29" spans="1:33">
      <c r="A29" s="455"/>
      <c r="B29" s="11" t="s">
        <v>21</v>
      </c>
      <c r="C29" s="90">
        <f>+'MMW Output'!C34</f>
        <v>79.012345679012341</v>
      </c>
      <c r="D29" s="11" t="e">
        <f>+'MMW Output'!#REF!</f>
        <v>#REF!</v>
      </c>
      <c r="E29" s="11" t="e">
        <f>+'MMW Output'!#REF!</f>
        <v>#REF!</v>
      </c>
      <c r="F29" s="11"/>
      <c r="G29" s="11">
        <f>+'MMW Output'!D34</f>
        <v>2.1564900000000002</v>
      </c>
      <c r="H29" s="11" t="e">
        <f>+'MMW Output'!#REF!</f>
        <v>#REF!</v>
      </c>
      <c r="I29" s="11"/>
      <c r="J29" s="11">
        <f>+'MMW Output'!E34</f>
        <v>89.081999999999994</v>
      </c>
      <c r="K29" s="11" t="e">
        <f>+'MMW Output'!#REF!</f>
        <v>#REF!</v>
      </c>
      <c r="L29" s="11"/>
      <c r="M29" s="11">
        <f>+'MMW Output'!F34</f>
        <v>9.261000000000001</v>
      </c>
      <c r="O29" s="247">
        <f>IF(LoadsTable[[#This Row],[Column2]]=0,0,(G29*2000/C29))</f>
        <v>54.58615312500001</v>
      </c>
      <c r="P29" s="79">
        <f>IF(LoadsTable[[#This Row],[Column2]]=0,0,'Stream Bank SedimentLoadingRate'!E153)</f>
        <v>827.22478586648162</v>
      </c>
      <c r="Q29" s="195">
        <f t="shared" si="0"/>
        <v>881.81093899148163</v>
      </c>
      <c r="R29" s="10"/>
      <c r="S29" s="247">
        <f>IF(LoadsTable[[#This Row],[Column2]]=0,0,ROUND((J29/C29),2))</f>
        <v>1.1299999999999999</v>
      </c>
      <c r="T29" s="76">
        <f>IF(LoadsTable[[#This Row],[Column2]]=0,0,ROUND('Stream Bank Nitrogen Loading'!E150,2))</f>
        <v>0.63</v>
      </c>
      <c r="U29" s="76" t="s">
        <v>92</v>
      </c>
      <c r="V29" s="189">
        <f t="shared" si="1"/>
        <v>1.7599999999999998</v>
      </c>
      <c r="W29" s="10"/>
      <c r="X29" s="247">
        <f>IF(LoadsTable[[#This Row],[Column2]]=0,0,ROUND((M29/C29),2))</f>
        <v>0.12</v>
      </c>
      <c r="Y29" s="79">
        <f>IF(LoadsTable[[#This Row],[Column2]]=0,0,ROUND('Stream Bank Phosphorus Loading'!E$150,2))</f>
        <v>0.28000000000000003</v>
      </c>
      <c r="Z29" s="76" t="s">
        <v>92</v>
      </c>
      <c r="AA29" s="193">
        <f t="shared" si="2"/>
        <v>0.4</v>
      </c>
      <c r="AB29" s="120" t="s">
        <v>21</v>
      </c>
    </row>
    <row r="30" spans="1:33">
      <c r="A30" s="455"/>
      <c r="B30" s="11" t="s">
        <v>22</v>
      </c>
      <c r="C30" s="90">
        <f>+'MMW Output'!C35</f>
        <v>0</v>
      </c>
      <c r="D30" s="11"/>
      <c r="E30" s="11"/>
      <c r="F30" s="11"/>
      <c r="G30" s="11">
        <f>+'MMW Output'!D35</f>
        <v>0</v>
      </c>
      <c r="H30" s="11"/>
      <c r="I30" s="11"/>
      <c r="J30" s="11">
        <f>+'MMW Output'!E35</f>
        <v>0</v>
      </c>
      <c r="K30" s="11"/>
      <c r="L30" s="11"/>
      <c r="M30" s="11">
        <f>+'MMW Output'!F35</f>
        <v>0</v>
      </c>
      <c r="O30" s="248">
        <f>IF(LoadsTable[[#This Row],[Column2]]=0,0,(G30*2000/C30))</f>
        <v>0</v>
      </c>
      <c r="P30" s="33">
        <f>IF(LoadsTable[[#This Row],[Column2]]=0,0,'Stream Bank SedimentLoadingRate'!E151)</f>
        <v>0</v>
      </c>
      <c r="Q30" s="191">
        <f t="shared" si="0"/>
        <v>0</v>
      </c>
      <c r="R30" s="10"/>
      <c r="S30" s="248">
        <f>IF(LoadsTable[[#This Row],[Column2]]=0,0,ROUND((J30/C30),2))</f>
        <v>0</v>
      </c>
      <c r="T30" s="77">
        <f>IF(LoadsTable[[#This Row],[Column2]]=0,0,ROUND('Stream Bank Nitrogen Loading'!E148,2))</f>
        <v>0</v>
      </c>
      <c r="U30" s="77" t="s">
        <v>92</v>
      </c>
      <c r="V30" s="188">
        <f t="shared" si="1"/>
        <v>0</v>
      </c>
      <c r="W30" s="10"/>
      <c r="X30" s="248">
        <f>IF(LoadsTable[[#This Row],[Column2]]=0,0,ROUND((M30/C30),2))</f>
        <v>0</v>
      </c>
      <c r="Y30" s="33">
        <f>IF(LoadsTable[[#This Row],[Column2]]=0,0,ROUND('Stream Bank Phosphorus Loading'!E$148,2))</f>
        <v>0</v>
      </c>
      <c r="Z30" s="77" t="s">
        <v>92</v>
      </c>
      <c r="AA30" s="196">
        <f t="shared" si="2"/>
        <v>0</v>
      </c>
      <c r="AB30" s="149" t="s">
        <v>22</v>
      </c>
    </row>
    <row r="31" spans="1:33">
      <c r="A31" s="455"/>
      <c r="B31" s="11" t="s">
        <v>23</v>
      </c>
      <c r="C31" s="90">
        <f>+'MMW Output'!C36</f>
        <v>0</v>
      </c>
      <c r="D31" s="11"/>
      <c r="E31" s="11"/>
      <c r="F31" s="11"/>
      <c r="G31" s="11">
        <f>+'MMW Output'!D36</f>
        <v>0</v>
      </c>
      <c r="H31" s="11"/>
      <c r="I31" s="11"/>
      <c r="J31" s="11">
        <f>+'MMW Output'!E36</f>
        <v>0</v>
      </c>
      <c r="K31" s="11"/>
      <c r="L31" s="11"/>
      <c r="M31" s="11">
        <f>+'MMW Output'!F36</f>
        <v>0</v>
      </c>
      <c r="O31" s="247">
        <f>IF(LoadsTable[[#This Row],[Column2]]=0,0,(G31*2000/C31))</f>
        <v>0</v>
      </c>
      <c r="P31" s="79">
        <f>IF(LoadsTable[[#This Row],[Column2]]=0,0,'Stream Bank SedimentLoadingRate'!E152)</f>
        <v>0</v>
      </c>
      <c r="Q31" s="195">
        <f t="shared" si="0"/>
        <v>0</v>
      </c>
      <c r="R31" s="10"/>
      <c r="S31" s="247">
        <f>IF(LoadsTable[[#This Row],[Column2]]=0,0,ROUND((J31/C31),2))</f>
        <v>0</v>
      </c>
      <c r="T31" s="76">
        <f>IF(LoadsTable[[#This Row],[Column2]]=0,0,ROUND('Stream Bank Nitrogen Loading'!E149,2))</f>
        <v>0</v>
      </c>
      <c r="U31" s="76" t="s">
        <v>92</v>
      </c>
      <c r="V31" s="189">
        <f t="shared" si="1"/>
        <v>0</v>
      </c>
      <c r="W31" s="10"/>
      <c r="X31" s="247">
        <f>IF(LoadsTable[[#This Row],[Column2]]=0,0,ROUND((M31/C31),2))</f>
        <v>0</v>
      </c>
      <c r="Y31" s="79">
        <f>IF(LoadsTable[[#This Row],[Column2]]=0,0,ROUND('Stream Bank Phosphorus Loading'!E$149,2))</f>
        <v>0</v>
      </c>
      <c r="Z31" s="76" t="s">
        <v>92</v>
      </c>
      <c r="AA31" s="193">
        <f t="shared" si="2"/>
        <v>0</v>
      </c>
      <c r="AB31" s="120" t="s">
        <v>23</v>
      </c>
    </row>
    <row r="32" spans="1:33" ht="14" thickBot="1">
      <c r="A32" s="456"/>
      <c r="B32" s="11" t="s">
        <v>24</v>
      </c>
      <c r="C32" s="90">
        <f>+'MMW Output'!C37</f>
        <v>0</v>
      </c>
      <c r="D32" s="11"/>
      <c r="E32" s="11"/>
      <c r="F32" s="11"/>
      <c r="G32" s="11">
        <f>+'MMW Output'!D37</f>
        <v>0</v>
      </c>
      <c r="H32" s="11"/>
      <c r="I32" s="11"/>
      <c r="J32" s="11">
        <f>+'MMW Output'!E37</f>
        <v>0</v>
      </c>
      <c r="K32" s="11"/>
      <c r="L32" s="11"/>
      <c r="M32" s="11">
        <f>+'MMW Output'!F37</f>
        <v>0</v>
      </c>
      <c r="O32" s="249">
        <f>IF(LoadsTable[[#This Row],[Column2]]=0,0,(G32*2000/C32))</f>
        <v>0</v>
      </c>
      <c r="P32" s="129">
        <f>IF(LoadsTable[[#This Row],[Column2]]=0,0,'Stream Bank SedimentLoadingRate'!E153)</f>
        <v>0</v>
      </c>
      <c r="Q32" s="190">
        <f t="shared" si="0"/>
        <v>0</v>
      </c>
      <c r="R32" s="10"/>
      <c r="S32" s="249">
        <f>IF(LoadsTable[[#This Row],[Column2]]=0,0,ROUND((J32/C32),2))</f>
        <v>0</v>
      </c>
      <c r="T32" s="78">
        <f>IF(LoadsTable[[#This Row],[Column2]]=0,0,ROUND('Stream Bank Nitrogen Loading'!E150,2))</f>
        <v>0</v>
      </c>
      <c r="U32" s="78" t="s">
        <v>92</v>
      </c>
      <c r="V32" s="192">
        <f t="shared" si="1"/>
        <v>0</v>
      </c>
      <c r="W32" s="10"/>
      <c r="X32" s="249">
        <f>IF(LoadsTable[[#This Row],[Column2]]=0,0,ROUND((M32/C32),2))</f>
        <v>0</v>
      </c>
      <c r="Y32" s="80">
        <f>IF(LoadsTable[[#This Row],[Column2]]=0,0,ROUND('Stream Bank Phosphorus Loading'!E$150,2))</f>
        <v>0</v>
      </c>
      <c r="Z32" s="78" t="s">
        <v>92</v>
      </c>
      <c r="AA32" s="210">
        <f t="shared" si="2"/>
        <v>0</v>
      </c>
      <c r="AB32" s="213" t="s">
        <v>24</v>
      </c>
    </row>
    <row r="33" spans="1:30" ht="11.5" customHeight="1"/>
    <row r="34" spans="1:30" ht="26.5" customHeight="1">
      <c r="A34" s="457" t="s">
        <v>103</v>
      </c>
      <c r="B34" s="27" t="s">
        <v>0</v>
      </c>
      <c r="C34" s="28"/>
      <c r="D34" s="29"/>
      <c r="E34" s="29"/>
      <c r="F34" s="29"/>
      <c r="G34" s="14" t="s">
        <v>4</v>
      </c>
      <c r="H34" s="24"/>
      <c r="I34" s="24"/>
      <c r="J34" s="14" t="s">
        <v>37</v>
      </c>
      <c r="K34" s="14" t="s">
        <v>7</v>
      </c>
      <c r="L34" s="14"/>
      <c r="M34" s="15" t="s">
        <v>38</v>
      </c>
      <c r="S34" s="4"/>
      <c r="T34" s="4"/>
      <c r="U34" s="4"/>
      <c r="V34" s="4"/>
      <c r="W34" s="4"/>
      <c r="X34" s="4"/>
      <c r="Y34" s="4"/>
      <c r="Z34" s="4"/>
      <c r="AA34" s="4"/>
      <c r="AB34" s="4"/>
    </row>
    <row r="35" spans="1:30" ht="12" customHeight="1">
      <c r="A35" s="458"/>
      <c r="B35" s="20" t="s">
        <v>36</v>
      </c>
      <c r="C35" s="21"/>
      <c r="D35" s="22" t="s">
        <v>33</v>
      </c>
      <c r="E35" s="22" t="s">
        <v>34</v>
      </c>
      <c r="F35" s="22"/>
      <c r="G35" s="22" t="s">
        <v>34</v>
      </c>
      <c r="H35" s="86"/>
      <c r="I35" s="86"/>
      <c r="J35" s="22" t="s">
        <v>35</v>
      </c>
      <c r="K35" s="22" t="s">
        <v>35</v>
      </c>
      <c r="L35" s="22"/>
      <c r="M35" s="23" t="s">
        <v>35</v>
      </c>
      <c r="Y35" s="4"/>
      <c r="Z35" s="4"/>
      <c r="AA35" s="4"/>
      <c r="AB35" s="4"/>
    </row>
    <row r="36" spans="1:30" ht="18" customHeight="1">
      <c r="A36" s="458"/>
      <c r="B36" s="121" t="s">
        <v>25</v>
      </c>
      <c r="C36" s="122" t="str">
        <f>+'MMW Output'!C38</f>
        <v xml:space="preserve"> </v>
      </c>
      <c r="D36" s="122" t="e">
        <f>+'MMW Output'!#REF!</f>
        <v>#REF!</v>
      </c>
      <c r="E36" s="122" t="e">
        <f>+'MMW Output'!#REF!</f>
        <v>#REF!</v>
      </c>
      <c r="F36" s="122"/>
      <c r="G36" s="123">
        <f>+'MMW Output'!D38</f>
        <v>0</v>
      </c>
      <c r="H36" s="123" t="e">
        <f>+'MMW Output'!#REF!</f>
        <v>#REF!</v>
      </c>
      <c r="I36" s="123"/>
      <c r="J36" s="123">
        <f>+'MMW Output'!E38</f>
        <v>629.30700000000002</v>
      </c>
      <c r="K36" s="123" t="e">
        <f>+'MMW Output'!#REF!</f>
        <v>#REF!</v>
      </c>
      <c r="L36" s="123"/>
      <c r="M36" s="124">
        <f>+'MMW Output'!F38</f>
        <v>165.375</v>
      </c>
      <c r="Y36" s="4"/>
      <c r="Z36" s="4"/>
      <c r="AA36" s="4"/>
      <c r="AB36" s="4"/>
    </row>
    <row r="37" spans="1:30" ht="18" customHeight="1">
      <c r="A37" s="458"/>
      <c r="B37" s="125" t="s">
        <v>27</v>
      </c>
      <c r="C37" s="126" t="str">
        <f>+'MMW Output'!C39</f>
        <v xml:space="preserve"> </v>
      </c>
      <c r="D37" s="126" t="e">
        <f>+'MMW Output'!#REF!</f>
        <v>#REF!</v>
      </c>
      <c r="E37" s="126" t="e">
        <f>+'MMW Output'!#REF!</f>
        <v>#REF!</v>
      </c>
      <c r="F37" s="126"/>
      <c r="G37" s="127">
        <f>+'MMW Output'!D39</f>
        <v>0</v>
      </c>
      <c r="H37" s="127" t="e">
        <f>+'MMW Output'!#REF!</f>
        <v>#REF!</v>
      </c>
      <c r="I37" s="127"/>
      <c r="J37" s="127">
        <f>+'MMW Output'!E39</f>
        <v>0</v>
      </c>
      <c r="K37" s="127" t="e">
        <f>+'MMW Output'!#REF!</f>
        <v>#REF!</v>
      </c>
      <c r="L37" s="127"/>
      <c r="M37" s="128">
        <f>+'MMW Output'!F39</f>
        <v>0</v>
      </c>
      <c r="P37" s="1"/>
    </row>
    <row r="38" spans="1:30" ht="18" customHeight="1">
      <c r="A38" s="456"/>
      <c r="B38" s="315" t="s">
        <v>113</v>
      </c>
      <c r="C38" s="323" t="str">
        <f>+'MMW Output'!C40</f>
        <v xml:space="preserve"> </v>
      </c>
      <c r="D38" s="316" t="e">
        <f>+'MMW Output'!#REF!</f>
        <v>#REF!</v>
      </c>
      <c r="E38" s="316" t="e">
        <f>+'MMW Output'!#REF!</f>
        <v>#REF!</v>
      </c>
      <c r="F38" s="316"/>
      <c r="G38" s="317">
        <f>+'MMW Output'!D40</f>
        <v>707.203035</v>
      </c>
      <c r="H38" s="317" t="e">
        <f>+'MMW Output'!#REF!</f>
        <v>#REF!</v>
      </c>
      <c r="I38" s="317"/>
      <c r="J38" s="317">
        <f>+'MMW Output'!E40</f>
        <v>813.64499999999998</v>
      </c>
      <c r="K38" s="317" t="e">
        <f>+'MMW Output'!#REF!</f>
        <v>#REF!</v>
      </c>
      <c r="L38" s="317"/>
      <c r="M38" s="325">
        <f>+'MMW Output'!F40</f>
        <v>476.28000000000003</v>
      </c>
      <c r="P38" s="1"/>
      <c r="Q38" s="103"/>
    </row>
    <row r="39" spans="1:30" ht="18" customHeight="1">
      <c r="A39" s="314"/>
      <c r="B39" s="322" t="s">
        <v>29</v>
      </c>
      <c r="C39" s="324"/>
      <c r="D39" s="320"/>
      <c r="E39" s="320"/>
      <c r="F39" s="320"/>
      <c r="G39" s="321">
        <v>0</v>
      </c>
      <c r="H39" s="321"/>
      <c r="I39" s="321"/>
      <c r="J39" s="321">
        <f>+'MMW Output'!E41</f>
        <v>21699.846000000001</v>
      </c>
      <c r="K39" s="321"/>
      <c r="L39" s="321"/>
      <c r="M39" s="326">
        <f>+'MMW Output'!F41</f>
        <v>295.911</v>
      </c>
      <c r="P39" s="1"/>
    </row>
    <row r="40" spans="1:30" s="4" customFormat="1" ht="18" customHeight="1">
      <c r="A40" s="318"/>
      <c r="B40" s="332" t="s">
        <v>30</v>
      </c>
      <c r="C40" s="333"/>
      <c r="D40" s="334"/>
      <c r="E40" s="334"/>
      <c r="F40" s="334"/>
      <c r="G40" s="335">
        <v>0</v>
      </c>
      <c r="H40" s="335"/>
      <c r="I40" s="335"/>
      <c r="J40" s="317">
        <f>+'MMW Output'!E42</f>
        <v>495.46350000000001</v>
      </c>
      <c r="K40" s="335"/>
      <c r="L40" s="335"/>
      <c r="M40" s="325">
        <f>+'MMW Output'!F42</f>
        <v>352.8</v>
      </c>
    </row>
    <row r="41" spans="1:30" ht="18" customHeight="1">
      <c r="A41" s="314"/>
      <c r="B41" s="327" t="s">
        <v>31</v>
      </c>
      <c r="C41" s="328"/>
      <c r="D41" s="329"/>
      <c r="E41" s="329"/>
      <c r="F41" s="329"/>
      <c r="G41" s="330">
        <v>0</v>
      </c>
      <c r="H41" s="330"/>
      <c r="I41" s="330"/>
      <c r="J41" s="330">
        <f>+'MMW Output'!E43</f>
        <v>920.14650000000006</v>
      </c>
      <c r="K41" s="330"/>
      <c r="L41" s="330"/>
      <c r="M41" s="331">
        <f>+'MMW Output'!F43</f>
        <v>0</v>
      </c>
      <c r="P41" s="1"/>
    </row>
    <row r="42" spans="1:30" s="4" customFormat="1" ht="18" customHeight="1">
      <c r="A42" s="318"/>
      <c r="B42" s="319"/>
      <c r="C42" s="320"/>
      <c r="D42" s="320"/>
      <c r="E42" s="320"/>
      <c r="F42" s="320"/>
      <c r="G42" s="321"/>
      <c r="H42" s="321"/>
      <c r="I42" s="321"/>
      <c r="J42" s="321"/>
      <c r="K42" s="321"/>
      <c r="L42" s="321"/>
      <c r="M42" s="321"/>
    </row>
    <row r="43" spans="1:30" s="4" customFormat="1" ht="18" customHeight="1">
      <c r="A43" s="318"/>
      <c r="B43" s="319"/>
      <c r="C43" s="320"/>
      <c r="D43" s="320"/>
      <c r="E43" s="320"/>
      <c r="F43" s="320"/>
      <c r="G43" s="321"/>
      <c r="H43" s="321"/>
      <c r="I43" s="321"/>
      <c r="J43" s="321"/>
      <c r="K43" s="321"/>
      <c r="L43" s="321"/>
      <c r="M43" s="321"/>
    </row>
    <row r="44" spans="1:30" ht="15" customHeight="1">
      <c r="P44" s="1"/>
      <c r="AB44" s="4"/>
      <c r="AC44" s="4"/>
      <c r="AD44" s="4"/>
    </row>
    <row r="45" spans="1:30" s="85" customFormat="1">
      <c r="B45" s="85" t="s">
        <v>109</v>
      </c>
    </row>
    <row r="46" spans="1:30" ht="29" customHeight="1">
      <c r="B46" s="459" t="s">
        <v>243</v>
      </c>
      <c r="C46" s="459"/>
      <c r="D46" s="459"/>
      <c r="E46" s="459"/>
      <c r="F46" s="459"/>
      <c r="G46" s="459"/>
      <c r="H46" s="459"/>
      <c r="I46" s="459"/>
      <c r="J46" s="459"/>
      <c r="K46" s="459"/>
      <c r="L46" s="459"/>
      <c r="M46" s="459"/>
      <c r="N46" s="459"/>
      <c r="O46" s="459"/>
      <c r="P46" s="459"/>
      <c r="Q46" s="459"/>
      <c r="R46" s="459"/>
      <c r="S46" s="459"/>
      <c r="T46" s="459"/>
      <c r="U46" s="459"/>
      <c r="V46" s="459"/>
      <c r="W46" s="459"/>
      <c r="X46" s="459"/>
      <c r="Y46" s="459"/>
      <c r="Z46" s="459"/>
      <c r="AA46" s="459"/>
    </row>
    <row r="47" spans="1:30" ht="41.5" customHeight="1">
      <c r="B47" s="459" t="s">
        <v>244</v>
      </c>
      <c r="C47" s="459"/>
      <c r="D47" s="459"/>
      <c r="E47" s="459"/>
      <c r="F47" s="459"/>
      <c r="G47" s="459"/>
      <c r="H47" s="459"/>
      <c r="I47" s="459"/>
      <c r="J47" s="459"/>
      <c r="K47" s="459"/>
      <c r="L47" s="459"/>
      <c r="M47" s="459"/>
      <c r="N47" s="459"/>
      <c r="O47" s="459"/>
      <c r="P47" s="459"/>
      <c r="Q47" s="459"/>
      <c r="R47" s="459"/>
      <c r="S47" s="459"/>
      <c r="T47" s="459"/>
      <c r="U47" s="459"/>
      <c r="V47" s="459"/>
      <c r="W47" s="459"/>
      <c r="X47" s="459"/>
      <c r="Y47" s="459"/>
      <c r="Z47" s="459"/>
      <c r="AA47" s="459"/>
    </row>
    <row r="48" spans="1:30" hidden="1">
      <c r="B48" s="2" t="s">
        <v>29</v>
      </c>
      <c r="C48" s="7" t="str">
        <f>+'MMW Output'!C41</f>
        <v xml:space="preserve"> </v>
      </c>
      <c r="D48" s="7" t="e">
        <f>+'MMW Output'!#REF!</f>
        <v>#REF!</v>
      </c>
      <c r="E48" s="7" t="e">
        <f>+'MMW Output'!#REF!</f>
        <v>#REF!</v>
      </c>
      <c r="F48" s="7"/>
      <c r="G48" s="7">
        <f>+'MMW Output'!D41</f>
        <v>0</v>
      </c>
      <c r="H48" s="7" t="e">
        <f>+'MMW Output'!#REF!</f>
        <v>#REF!</v>
      </c>
      <c r="I48" s="7"/>
      <c r="J48" s="7">
        <f>+'MMW Output'!E41</f>
        <v>21699.846000000001</v>
      </c>
      <c r="K48" s="7" t="e">
        <f>+'MMW Output'!#REF!</f>
        <v>#REF!</v>
      </c>
      <c r="L48" s="7"/>
      <c r="M48" s="7">
        <f>+'MMW Output'!F41</f>
        <v>295.911</v>
      </c>
    </row>
    <row r="49" spans="2:17" hidden="1">
      <c r="B49" s="2" t="s">
        <v>30</v>
      </c>
      <c r="C49" s="7" t="str">
        <f>+'MMW Output'!C42</f>
        <v xml:space="preserve"> </v>
      </c>
      <c r="D49" s="7" t="e">
        <f>+'MMW Output'!#REF!</f>
        <v>#REF!</v>
      </c>
      <c r="E49" s="7" t="e">
        <f>+'MMW Output'!#REF!</f>
        <v>#REF!</v>
      </c>
      <c r="F49" s="7"/>
      <c r="G49" s="7">
        <f>+'MMW Output'!D42</f>
        <v>0</v>
      </c>
      <c r="H49" s="7" t="e">
        <f>+'MMW Output'!#REF!</f>
        <v>#REF!</v>
      </c>
      <c r="I49" s="7"/>
      <c r="J49" s="7">
        <f>+'MMW Output'!E42</f>
        <v>495.46350000000001</v>
      </c>
      <c r="K49" s="7" t="e">
        <f>+'MMW Output'!#REF!</f>
        <v>#REF!</v>
      </c>
      <c r="L49" s="7"/>
      <c r="M49" s="7">
        <f>+'MMW Output'!F42</f>
        <v>352.8</v>
      </c>
    </row>
    <row r="50" spans="2:17" ht="14" hidden="1" thickBot="1">
      <c r="B50" s="3" t="s">
        <v>31</v>
      </c>
      <c r="C50" s="7" t="str">
        <f>+'MMW Output'!C43</f>
        <v xml:space="preserve"> </v>
      </c>
      <c r="D50" s="7" t="e">
        <f>+'MMW Output'!#REF!</f>
        <v>#REF!</v>
      </c>
      <c r="E50" s="7" t="e">
        <f>+'MMW Output'!#REF!</f>
        <v>#REF!</v>
      </c>
      <c r="F50" s="7"/>
      <c r="G50" s="7">
        <f>+'MMW Output'!D43</f>
        <v>0</v>
      </c>
      <c r="H50" s="7" t="e">
        <f>+'MMW Output'!#REF!</f>
        <v>#REF!</v>
      </c>
      <c r="I50" s="7"/>
      <c r="J50" s="7">
        <f>+'MMW Output'!E43</f>
        <v>920.14650000000006</v>
      </c>
      <c r="K50" s="7" t="e">
        <f>+'MMW Output'!#REF!</f>
        <v>#REF!</v>
      </c>
      <c r="L50" s="7"/>
      <c r="M50" s="7">
        <f>+'MMW Output'!F43</f>
        <v>0</v>
      </c>
    </row>
    <row r="51" spans="2:17" ht="29" customHeight="1">
      <c r="B51" s="87"/>
      <c r="C51" s="4"/>
      <c r="D51" s="4"/>
      <c r="E51" s="4"/>
      <c r="F51" s="4"/>
      <c r="G51" s="4"/>
      <c r="H51" s="4"/>
      <c r="I51" s="4"/>
      <c r="J51" s="4"/>
      <c r="K51" s="4"/>
      <c r="L51" s="4"/>
      <c r="M51" s="4"/>
    </row>
    <row r="52" spans="2:17">
      <c r="P52" s="1"/>
      <c r="Q52" s="105"/>
    </row>
    <row r="53" spans="2:17" ht="18">
      <c r="B53" s="87"/>
    </row>
  </sheetData>
  <mergeCells count="10">
    <mergeCell ref="A17:A32"/>
    <mergeCell ref="O13:Q13"/>
    <mergeCell ref="A34:A38"/>
    <mergeCell ref="B46:AA46"/>
    <mergeCell ref="B47:AA47"/>
    <mergeCell ref="F5:G5"/>
    <mergeCell ref="O11:AB11"/>
    <mergeCell ref="S13:V13"/>
    <mergeCell ref="X13:AA13"/>
    <mergeCell ref="B11:M11"/>
  </mergeCells>
  <phoneticPr fontId="47" type="noConversion"/>
  <pageMargins left="0.5" right="0.25" top="0.5" bottom="0.75" header="0.3" footer="0.3"/>
  <pageSetup paperSize="17" fitToWidth="0" fitToHeight="0" orientation="landscape" r:id="rId1"/>
  <headerFooter>
    <oddFooter>&amp;L&amp;"Arial,Regular"&amp;9Section 2: Land Use Loading Rates Look-Up Table&amp;C&amp;"Arial,Regular"&amp;9Page &amp;P of &amp;N&amp;R&amp;"Arial,Regular"&amp;9Christina Basin Loading Rates Tool (May 5, 2017)</oddFooter>
  </headerFooter>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92"/>
  <sheetViews>
    <sheetView zoomScale="120" zoomScaleNormal="120" zoomScaleSheetLayoutView="100" workbookViewId="0">
      <selection activeCell="K50" sqref="K50"/>
    </sheetView>
  </sheetViews>
  <sheetFormatPr baseColWidth="10" defaultColWidth="8.83203125" defaultRowHeight="13"/>
  <cols>
    <col min="1" max="1" width="15.1640625" style="1" customWidth="1"/>
    <col min="2" max="2" width="1.5" style="1" customWidth="1"/>
    <col min="3" max="3" width="13.5" style="1" customWidth="1"/>
    <col min="4" max="4" width="13.33203125" style="1" customWidth="1"/>
    <col min="5" max="5" width="14" style="1" customWidth="1"/>
    <col min="6" max="6" width="13.83203125" style="1" customWidth="1"/>
    <col min="7" max="10" width="8.83203125" style="1"/>
    <col min="11" max="11" width="16.33203125" style="1" customWidth="1"/>
    <col min="12" max="12" width="14.5" style="1" customWidth="1"/>
    <col min="13" max="13" width="12.33203125" style="1" customWidth="1"/>
    <col min="14" max="14" width="16.5" style="1" customWidth="1"/>
    <col min="15" max="15" width="14.83203125" style="1" customWidth="1"/>
    <col min="16" max="16" width="14" style="1" customWidth="1"/>
    <col min="17" max="16384" width="8.83203125" style="1"/>
  </cols>
  <sheetData>
    <row r="1" spans="1:6" ht="16">
      <c r="A1" s="1" t="s">
        <v>240</v>
      </c>
      <c r="B1" s="39"/>
    </row>
    <row r="2" spans="1:6" ht="6.5" customHeight="1"/>
    <row r="3" spans="1:6">
      <c r="A3" s="81" t="s">
        <v>138</v>
      </c>
      <c r="B3" s="1" t="str">
        <f>+C15</f>
        <v>User Specified</v>
      </c>
    </row>
    <row r="4" spans="1:6" ht="6" customHeight="1"/>
    <row r="5" spans="1:6">
      <c r="A5" s="1" t="s">
        <v>93</v>
      </c>
      <c r="B5" s="447" t="str">
        <f>+C16</f>
        <v>User Specified</v>
      </c>
      <c r="C5" s="447"/>
    </row>
    <row r="7" spans="1:6">
      <c r="A7" s="223" t="s">
        <v>148</v>
      </c>
      <c r="B7" s="95" t="s">
        <v>241</v>
      </c>
    </row>
    <row r="9" spans="1:6" ht="133.5" customHeight="1">
      <c r="A9" s="461" t="s">
        <v>242</v>
      </c>
      <c r="B9" s="461"/>
      <c r="C9" s="461"/>
      <c r="D9" s="461"/>
      <c r="E9" s="461"/>
      <c r="F9" s="461"/>
    </row>
    <row r="10" spans="1:6" ht="14">
      <c r="A10" s="82"/>
    </row>
    <row r="11" spans="1:6" ht="9" customHeight="1"/>
    <row r="12" spans="1:6">
      <c r="A12" s="38"/>
      <c r="B12" s="5" t="s">
        <v>79</v>
      </c>
      <c r="C12" s="371" t="s">
        <v>232</v>
      </c>
    </row>
    <row r="13" spans="1:6">
      <c r="B13" s="5" t="s">
        <v>81</v>
      </c>
      <c r="C13" s="375" t="s">
        <v>232</v>
      </c>
      <c r="F13" s="88"/>
    </row>
    <row r="14" spans="1:6">
      <c r="A14" s="6"/>
      <c r="B14" s="6" t="s">
        <v>80</v>
      </c>
      <c r="C14" s="371" t="s">
        <v>232</v>
      </c>
      <c r="D14" s="4"/>
    </row>
    <row r="15" spans="1:6">
      <c r="B15" s="6" t="s">
        <v>100</v>
      </c>
      <c r="C15" s="371" t="s">
        <v>232</v>
      </c>
    </row>
    <row r="16" spans="1:6">
      <c r="A16" s="5"/>
      <c r="B16" s="5" t="s">
        <v>82</v>
      </c>
      <c r="C16" s="372" t="s">
        <v>232</v>
      </c>
    </row>
    <row r="17" spans="1:8" ht="5" customHeight="1">
      <c r="A17" s="5"/>
      <c r="B17" s="5"/>
      <c r="C17" s="4"/>
    </row>
    <row r="18" spans="1:8" ht="14" thickBot="1">
      <c r="C18" s="460" t="s">
        <v>229</v>
      </c>
      <c r="D18" s="460"/>
      <c r="E18" s="460"/>
      <c r="F18" s="460"/>
    </row>
    <row r="19" spans="1:8" ht="4.25" customHeight="1" thickBot="1"/>
    <row r="20" spans="1:8" ht="16.25" customHeight="1">
      <c r="A20" s="208" t="s">
        <v>0</v>
      </c>
      <c r="B20" s="206"/>
      <c r="C20" s="204" t="s">
        <v>1</v>
      </c>
      <c r="D20" s="204" t="s">
        <v>4</v>
      </c>
      <c r="E20" s="204" t="s">
        <v>6</v>
      </c>
      <c r="F20" s="202" t="s">
        <v>8</v>
      </c>
    </row>
    <row r="21" spans="1:8" ht="13.25" customHeight="1" thickBot="1">
      <c r="A21" s="200" t="s">
        <v>36</v>
      </c>
      <c r="B21" s="221"/>
      <c r="C21" s="220" t="s">
        <v>32</v>
      </c>
      <c r="D21" s="220" t="s">
        <v>77</v>
      </c>
      <c r="E21" s="220" t="s">
        <v>78</v>
      </c>
      <c r="F21" s="212" t="s">
        <v>78</v>
      </c>
    </row>
    <row r="22" spans="1:8" ht="13.25" customHeight="1">
      <c r="A22" s="209" t="s">
        <v>9</v>
      </c>
      <c r="B22" s="222"/>
      <c r="C22" s="228">
        <f>F62</f>
        <v>1180.2469135802469</v>
      </c>
      <c r="D22" s="228">
        <f t="shared" ref="D22:F25" si="0">N50</f>
        <v>169.19251650000001</v>
      </c>
      <c r="E22" s="228">
        <f t="shared" si="0"/>
        <v>1744.8164999999999</v>
      </c>
      <c r="F22" s="207">
        <f t="shared" si="0"/>
        <v>893.02499999999998</v>
      </c>
    </row>
    <row r="23" spans="1:8" ht="13.25" customHeight="1">
      <c r="A23" s="209" t="s">
        <v>10</v>
      </c>
      <c r="B23" s="222"/>
      <c r="C23" s="228">
        <f>F63</f>
        <v>323.45679012345676</v>
      </c>
      <c r="D23" s="228">
        <f t="shared" si="0"/>
        <v>473.41140525000003</v>
      </c>
      <c r="E23" s="228">
        <f t="shared" si="0"/>
        <v>3426.3495000000003</v>
      </c>
      <c r="F23" s="207">
        <f t="shared" si="0"/>
        <v>1474.4835</v>
      </c>
    </row>
    <row r="24" spans="1:8" ht="13.25" customHeight="1">
      <c r="A24" s="209" t="s">
        <v>11</v>
      </c>
      <c r="B24" s="222"/>
      <c r="C24" s="228">
        <f>SUM(F57:F59)+F60</f>
        <v>417.28395061728395</v>
      </c>
      <c r="D24" s="228">
        <f t="shared" si="0"/>
        <v>0.69060599999999994</v>
      </c>
      <c r="E24" s="228">
        <f t="shared" si="0"/>
        <v>59.975999999999999</v>
      </c>
      <c r="F24" s="207">
        <f t="shared" si="0"/>
        <v>4.8510000000000009</v>
      </c>
    </row>
    <row r="25" spans="1:8" ht="13.25" customHeight="1">
      <c r="A25" s="209" t="s">
        <v>12</v>
      </c>
      <c r="B25" s="222"/>
      <c r="C25" s="228">
        <f>F64+F65</f>
        <v>14.814814814814813</v>
      </c>
      <c r="D25" s="228">
        <f t="shared" si="0"/>
        <v>3.2854500000000002E-2</v>
      </c>
      <c r="E25" s="228">
        <f t="shared" si="0"/>
        <v>6.1739999999999995</v>
      </c>
      <c r="F25" s="207">
        <f t="shared" si="0"/>
        <v>0.44100000000000006</v>
      </c>
    </row>
    <row r="26" spans="1:8" ht="13.25" customHeight="1">
      <c r="A26" s="209" t="s">
        <v>13</v>
      </c>
      <c r="B26" s="222"/>
      <c r="C26" s="228">
        <v>0</v>
      </c>
      <c r="D26" s="228">
        <v>0</v>
      </c>
      <c r="E26" s="228">
        <v>0</v>
      </c>
      <c r="F26" s="207">
        <v>0</v>
      </c>
      <c r="H26" s="374"/>
    </row>
    <row r="27" spans="1:8" ht="13.25" customHeight="1">
      <c r="A27" s="209" t="s">
        <v>14</v>
      </c>
      <c r="B27" s="222"/>
      <c r="C27" s="228">
        <v>0</v>
      </c>
      <c r="D27" s="228">
        <v>0</v>
      </c>
      <c r="E27" s="228">
        <v>0</v>
      </c>
      <c r="F27" s="207">
        <v>0</v>
      </c>
    </row>
    <row r="28" spans="1:8" ht="13.25" customHeight="1">
      <c r="A28" s="209" t="s">
        <v>15</v>
      </c>
      <c r="B28" s="222"/>
      <c r="C28" s="228">
        <f>F61</f>
        <v>111.1111111111111</v>
      </c>
      <c r="D28" s="228">
        <f t="shared" ref="D28:F29" si="1">N54</f>
        <v>5.4832837500000009</v>
      </c>
      <c r="E28" s="228">
        <f t="shared" si="1"/>
        <v>135.60750000000002</v>
      </c>
      <c r="F28" s="207">
        <f t="shared" si="1"/>
        <v>16.9785</v>
      </c>
    </row>
    <row r="29" spans="1:8" ht="13.25" customHeight="1">
      <c r="A29" s="209" t="s">
        <v>16</v>
      </c>
      <c r="B29" s="222"/>
      <c r="C29" s="228">
        <f>F56</f>
        <v>49.382716049382715</v>
      </c>
      <c r="D29" s="228">
        <f t="shared" si="1"/>
        <v>6.1740000000000003E-2</v>
      </c>
      <c r="E29" s="228">
        <f t="shared" si="1"/>
        <v>29.988</v>
      </c>
      <c r="F29" s="207">
        <f t="shared" si="1"/>
        <v>1.1025</v>
      </c>
    </row>
    <row r="30" spans="1:8" ht="13.25" customHeight="1">
      <c r="A30" s="209" t="s">
        <v>17</v>
      </c>
      <c r="B30" s="222"/>
      <c r="C30" s="228">
        <v>0</v>
      </c>
      <c r="D30" s="228">
        <v>0</v>
      </c>
      <c r="E30" s="228">
        <v>0</v>
      </c>
      <c r="F30" s="207">
        <v>0</v>
      </c>
    </row>
    <row r="31" spans="1:8" ht="13.25" customHeight="1">
      <c r="A31" s="209" t="s">
        <v>18</v>
      </c>
      <c r="B31" s="222"/>
      <c r="C31" s="228">
        <v>0</v>
      </c>
      <c r="D31" s="228">
        <v>0</v>
      </c>
      <c r="E31" s="228">
        <v>0</v>
      </c>
      <c r="F31" s="207">
        <v>0</v>
      </c>
    </row>
    <row r="32" spans="1:8">
      <c r="A32" s="209" t="s">
        <v>19</v>
      </c>
      <c r="B32" s="222"/>
      <c r="C32" s="228">
        <f>F52+F53</f>
        <v>2000</v>
      </c>
      <c r="D32" s="228">
        <f t="shared" ref="D32:F34" si="2">N56</f>
        <v>9.8619727500000014</v>
      </c>
      <c r="E32" s="228">
        <f t="shared" si="2"/>
        <v>532.94849999999997</v>
      </c>
      <c r="F32" s="207">
        <f t="shared" si="2"/>
        <v>59.975999999999999</v>
      </c>
    </row>
    <row r="33" spans="1:11" ht="13.25" customHeight="1">
      <c r="A33" s="209" t="s">
        <v>20</v>
      </c>
      <c r="B33" s="222"/>
      <c r="C33" s="228">
        <f>F54</f>
        <v>293.82716049382714</v>
      </c>
      <c r="D33" s="228">
        <f t="shared" si="2"/>
        <v>7.9404254999999999</v>
      </c>
      <c r="E33" s="228">
        <f t="shared" si="2"/>
        <v>327.88349999999997</v>
      </c>
      <c r="F33" s="207">
        <f t="shared" si="2"/>
        <v>33.736499999999999</v>
      </c>
      <c r="K33" s="100"/>
    </row>
    <row r="34" spans="1:11" ht="13.25" customHeight="1">
      <c r="A34" s="209" t="s">
        <v>21</v>
      </c>
      <c r="B34" s="222"/>
      <c r="C34" s="228">
        <f>F55</f>
        <v>79.012345679012341</v>
      </c>
      <c r="D34" s="228">
        <f t="shared" si="2"/>
        <v>2.1564900000000002</v>
      </c>
      <c r="E34" s="228">
        <f t="shared" si="2"/>
        <v>89.081999999999994</v>
      </c>
      <c r="F34" s="207">
        <f t="shared" si="2"/>
        <v>9.261000000000001</v>
      </c>
    </row>
    <row r="35" spans="1:11" ht="13.25" customHeight="1">
      <c r="A35" s="209" t="s">
        <v>22</v>
      </c>
      <c r="B35" s="222"/>
      <c r="C35" s="228">
        <v>0</v>
      </c>
      <c r="D35" s="228">
        <v>0</v>
      </c>
      <c r="E35" s="228">
        <v>0</v>
      </c>
      <c r="F35" s="207">
        <v>0</v>
      </c>
      <c r="K35" s="100"/>
    </row>
    <row r="36" spans="1:11" ht="13.25" customHeight="1">
      <c r="A36" s="209" t="s">
        <v>23</v>
      </c>
      <c r="B36" s="222"/>
      <c r="C36" s="228">
        <v>0</v>
      </c>
      <c r="D36" s="228">
        <v>0</v>
      </c>
      <c r="E36" s="228">
        <v>0</v>
      </c>
      <c r="F36" s="207">
        <v>0</v>
      </c>
      <c r="K36" s="100"/>
    </row>
    <row r="37" spans="1:11" ht="13.25" customHeight="1">
      <c r="A37" s="209" t="s">
        <v>24</v>
      </c>
      <c r="B37" s="222"/>
      <c r="C37" s="228">
        <v>0</v>
      </c>
      <c r="D37" s="228">
        <v>0</v>
      </c>
      <c r="E37" s="228">
        <v>0</v>
      </c>
      <c r="F37" s="207">
        <v>0</v>
      </c>
      <c r="K37" s="100"/>
    </row>
    <row r="38" spans="1:11" ht="13.25" customHeight="1">
      <c r="A38" s="209" t="s">
        <v>25</v>
      </c>
      <c r="B38" s="222"/>
      <c r="C38" s="228" t="s">
        <v>26</v>
      </c>
      <c r="D38" s="228">
        <f>N60</f>
        <v>0</v>
      </c>
      <c r="E38" s="228">
        <f>O60</f>
        <v>629.30700000000002</v>
      </c>
      <c r="F38" s="207">
        <f>P60</f>
        <v>165.375</v>
      </c>
    </row>
    <row r="39" spans="1:11" ht="13.25" customHeight="1">
      <c r="A39" s="209" t="s">
        <v>27</v>
      </c>
      <c r="B39" s="222"/>
      <c r="C39" s="228" t="s">
        <v>26</v>
      </c>
      <c r="D39" s="228">
        <v>0</v>
      </c>
      <c r="E39" s="228">
        <v>0</v>
      </c>
      <c r="F39" s="207">
        <v>0</v>
      </c>
    </row>
    <row r="40" spans="1:11" ht="13.25" customHeight="1">
      <c r="A40" s="209" t="s">
        <v>28</v>
      </c>
      <c r="B40" s="222"/>
      <c r="C40" s="228" t="s">
        <v>26</v>
      </c>
      <c r="D40" s="228">
        <f t="shared" ref="D40:F43" si="3">N61</f>
        <v>707.203035</v>
      </c>
      <c r="E40" s="228">
        <f t="shared" si="3"/>
        <v>813.64499999999998</v>
      </c>
      <c r="F40" s="207">
        <f t="shared" si="3"/>
        <v>476.28000000000003</v>
      </c>
    </row>
    <row r="41" spans="1:11" ht="13.25" customHeight="1">
      <c r="A41" s="209" t="s">
        <v>29</v>
      </c>
      <c r="B41" s="222"/>
      <c r="C41" s="228" t="s">
        <v>26</v>
      </c>
      <c r="D41" s="228">
        <f t="shared" si="3"/>
        <v>0</v>
      </c>
      <c r="E41" s="228">
        <f t="shared" si="3"/>
        <v>21699.846000000001</v>
      </c>
      <c r="F41" s="207">
        <f t="shared" si="3"/>
        <v>295.911</v>
      </c>
    </row>
    <row r="42" spans="1:11" ht="13.25" customHeight="1">
      <c r="A42" s="209" t="s">
        <v>30</v>
      </c>
      <c r="B42" s="222"/>
      <c r="C42" s="228" t="s">
        <v>26</v>
      </c>
      <c r="D42" s="228">
        <f t="shared" si="3"/>
        <v>0</v>
      </c>
      <c r="E42" s="228">
        <f t="shared" si="3"/>
        <v>495.46350000000001</v>
      </c>
      <c r="F42" s="207">
        <f t="shared" si="3"/>
        <v>352.8</v>
      </c>
    </row>
    <row r="43" spans="1:11" ht="14" customHeight="1" thickBot="1">
      <c r="A43" s="205" t="s">
        <v>31</v>
      </c>
      <c r="B43" s="203"/>
      <c r="C43" s="201" t="s">
        <v>26</v>
      </c>
      <c r="D43" s="201">
        <f t="shared" si="3"/>
        <v>0</v>
      </c>
      <c r="E43" s="201">
        <f t="shared" si="3"/>
        <v>920.14650000000006</v>
      </c>
      <c r="F43" s="211">
        <f t="shared" si="3"/>
        <v>0</v>
      </c>
    </row>
    <row r="44" spans="1:11">
      <c r="A44" s="4"/>
      <c r="B44" s="4"/>
      <c r="C44" s="4"/>
      <c r="D44" s="4"/>
      <c r="E44" s="4"/>
      <c r="F44" s="4"/>
    </row>
    <row r="45" spans="1:11" s="377" customFormat="1">
      <c r="A45" s="379" t="s">
        <v>369</v>
      </c>
      <c r="B45" s="379"/>
      <c r="C45" s="380">
        <f>SUM(C22:C43)</f>
        <v>4469.1358024691353</v>
      </c>
      <c r="D45" s="380">
        <f t="shared" ref="D45:F45" si="4">SUM(D22:D43)</f>
        <v>1376.0343292499999</v>
      </c>
      <c r="E45" s="380">
        <f t="shared" si="4"/>
        <v>30911.233500000002</v>
      </c>
      <c r="F45" s="380">
        <f t="shared" si="4"/>
        <v>3784.2210000000005</v>
      </c>
    </row>
    <row r="47" spans="1:11">
      <c r="A47" s="38" t="s">
        <v>370</v>
      </c>
      <c r="H47" s="38" t="s">
        <v>366</v>
      </c>
    </row>
    <row r="48" spans="1:11">
      <c r="A48" s="38"/>
    </row>
    <row r="49" spans="1:16">
      <c r="A49" s="1" t="s">
        <v>330</v>
      </c>
      <c r="C49" s="100"/>
      <c r="D49" s="1" t="s">
        <v>331</v>
      </c>
      <c r="F49" s="100" t="s">
        <v>348</v>
      </c>
      <c r="H49" s="1" t="s">
        <v>350</v>
      </c>
      <c r="K49" s="1" t="s">
        <v>362</v>
      </c>
      <c r="L49" s="1" t="s">
        <v>363</v>
      </c>
      <c r="M49" s="1" t="s">
        <v>364</v>
      </c>
      <c r="N49" s="1" t="s">
        <v>365</v>
      </c>
      <c r="O49" s="1" t="s">
        <v>367</v>
      </c>
      <c r="P49" s="1" t="s">
        <v>368</v>
      </c>
    </row>
    <row r="50" spans="1:16">
      <c r="A50" s="1" t="s">
        <v>332</v>
      </c>
      <c r="D50" s="381">
        <v>0</v>
      </c>
      <c r="F50" s="100">
        <f t="shared" ref="F50:F65" si="5">(D50*100)/0.405</f>
        <v>0</v>
      </c>
      <c r="H50" s="1" t="s">
        <v>71</v>
      </c>
      <c r="K50" s="382">
        <v>153462.6</v>
      </c>
      <c r="L50" s="382">
        <v>791.3</v>
      </c>
      <c r="M50" s="382">
        <v>405</v>
      </c>
      <c r="N50" s="1">
        <f>(2.205*K50)/2000</f>
        <v>169.19251650000001</v>
      </c>
      <c r="O50" s="1">
        <f>L50*2.205</f>
        <v>1744.8164999999999</v>
      </c>
      <c r="P50" s="1">
        <f>M50*2.205</f>
        <v>893.02499999999998</v>
      </c>
    </row>
    <row r="51" spans="1:16">
      <c r="A51" s="1" t="s">
        <v>333</v>
      </c>
      <c r="D51" s="381">
        <v>0</v>
      </c>
      <c r="F51" s="100">
        <f t="shared" si="5"/>
        <v>0</v>
      </c>
      <c r="H51" s="1" t="s">
        <v>10</v>
      </c>
      <c r="K51" s="382">
        <v>429398.1</v>
      </c>
      <c r="L51" s="382">
        <v>1553.9</v>
      </c>
      <c r="M51" s="382">
        <v>668.7</v>
      </c>
      <c r="N51" s="1">
        <f t="shared" ref="N51:N64" si="6">(2.205*K51)/2000</f>
        <v>473.41140525000003</v>
      </c>
      <c r="O51" s="1">
        <f t="shared" ref="O51:O64" si="7">L51*2.205</f>
        <v>3426.3495000000003</v>
      </c>
      <c r="P51" s="1">
        <f t="shared" ref="P51:P64" si="8">M51*2.205</f>
        <v>1474.4835</v>
      </c>
    </row>
    <row r="52" spans="1:16">
      <c r="A52" s="1" t="s">
        <v>334</v>
      </c>
      <c r="D52" s="381">
        <v>4.66</v>
      </c>
      <c r="F52" s="100">
        <f t="shared" si="5"/>
        <v>1150.6172839506173</v>
      </c>
      <c r="H52" s="1" t="s">
        <v>351</v>
      </c>
      <c r="K52" s="382">
        <v>626.4</v>
      </c>
      <c r="L52" s="381">
        <v>27.2</v>
      </c>
      <c r="M52" s="381">
        <v>2.2000000000000002</v>
      </c>
      <c r="N52" s="1">
        <f t="shared" si="6"/>
        <v>0.69060599999999994</v>
      </c>
      <c r="O52" s="1">
        <f t="shared" si="7"/>
        <v>59.975999999999999</v>
      </c>
      <c r="P52" s="1">
        <f t="shared" si="8"/>
        <v>4.8510000000000009</v>
      </c>
    </row>
    <row r="53" spans="1:16">
      <c r="A53" s="1" t="s">
        <v>335</v>
      </c>
      <c r="D53" s="381">
        <v>3.44</v>
      </c>
      <c r="F53" s="100">
        <f t="shared" si="5"/>
        <v>849.38271604938268</v>
      </c>
      <c r="H53" s="1" t="s">
        <v>352</v>
      </c>
      <c r="K53" s="381">
        <v>29.8</v>
      </c>
      <c r="L53" s="381">
        <v>2.8</v>
      </c>
      <c r="M53" s="381">
        <v>0.2</v>
      </c>
      <c r="N53" s="1">
        <f t="shared" si="6"/>
        <v>3.2854500000000002E-2</v>
      </c>
      <c r="O53" s="1">
        <f t="shared" si="7"/>
        <v>6.1739999999999995</v>
      </c>
      <c r="P53" s="1">
        <f t="shared" si="8"/>
        <v>0.44100000000000006</v>
      </c>
    </row>
    <row r="54" spans="1:16">
      <c r="A54" s="1" t="s">
        <v>336</v>
      </c>
      <c r="D54" s="381">
        <v>1.19</v>
      </c>
      <c r="F54" s="100">
        <f t="shared" si="5"/>
        <v>293.82716049382714</v>
      </c>
      <c r="H54" s="1" t="s">
        <v>353</v>
      </c>
      <c r="K54" s="382">
        <v>4973.5</v>
      </c>
      <c r="L54" s="381">
        <v>61.5</v>
      </c>
      <c r="M54" s="381">
        <v>7.7</v>
      </c>
      <c r="N54" s="1">
        <f t="shared" si="6"/>
        <v>5.4832837500000009</v>
      </c>
      <c r="O54" s="1">
        <f t="shared" si="7"/>
        <v>135.60750000000002</v>
      </c>
      <c r="P54" s="1">
        <f t="shared" si="8"/>
        <v>16.9785</v>
      </c>
    </row>
    <row r="55" spans="1:16">
      <c r="A55" s="1" t="s">
        <v>337</v>
      </c>
      <c r="D55" s="381">
        <v>0.32</v>
      </c>
      <c r="F55" s="100">
        <f t="shared" si="5"/>
        <v>79.012345679012341</v>
      </c>
      <c r="H55" s="1" t="s">
        <v>354</v>
      </c>
      <c r="K55" s="381">
        <v>56</v>
      </c>
      <c r="L55" s="381">
        <v>13.6</v>
      </c>
      <c r="M55" s="381">
        <v>0.5</v>
      </c>
      <c r="N55" s="1">
        <f t="shared" si="6"/>
        <v>6.1740000000000003E-2</v>
      </c>
      <c r="O55" s="1">
        <f t="shared" si="7"/>
        <v>29.988</v>
      </c>
      <c r="P55" s="1">
        <f t="shared" si="8"/>
        <v>1.1025</v>
      </c>
    </row>
    <row r="56" spans="1:16">
      <c r="A56" s="1" t="s">
        <v>338</v>
      </c>
      <c r="D56" s="381">
        <v>0.2</v>
      </c>
      <c r="F56" s="100">
        <f t="shared" si="5"/>
        <v>49.382716049382715</v>
      </c>
      <c r="H56" s="1" t="s">
        <v>355</v>
      </c>
      <c r="K56" s="382">
        <v>8945.1</v>
      </c>
      <c r="L56" s="382">
        <v>241.7</v>
      </c>
      <c r="M56" s="381">
        <v>27.2</v>
      </c>
      <c r="N56" s="1">
        <f t="shared" si="6"/>
        <v>9.8619727500000014</v>
      </c>
      <c r="O56" s="1">
        <f t="shared" si="7"/>
        <v>532.94849999999997</v>
      </c>
      <c r="P56" s="1">
        <f t="shared" si="8"/>
        <v>59.975999999999999</v>
      </c>
    </row>
    <row r="57" spans="1:16">
      <c r="A57" s="1" t="s">
        <v>339</v>
      </c>
      <c r="D57" s="381">
        <v>1</v>
      </c>
      <c r="F57" s="100">
        <f t="shared" si="5"/>
        <v>246.91358024691357</v>
      </c>
      <c r="H57" s="1" t="s">
        <v>356</v>
      </c>
      <c r="K57" s="382">
        <v>7202.2</v>
      </c>
      <c r="L57" s="381">
        <v>148.69999999999999</v>
      </c>
      <c r="M57" s="381">
        <v>15.3</v>
      </c>
      <c r="N57" s="1">
        <f t="shared" si="6"/>
        <v>7.9404254999999999</v>
      </c>
      <c r="O57" s="1">
        <f t="shared" si="7"/>
        <v>327.88349999999997</v>
      </c>
      <c r="P57" s="1">
        <f t="shared" si="8"/>
        <v>33.736499999999999</v>
      </c>
    </row>
    <row r="58" spans="1:16">
      <c r="A58" s="1" t="s">
        <v>340</v>
      </c>
      <c r="D58" s="381">
        <v>0.03</v>
      </c>
      <c r="F58" s="100">
        <f t="shared" si="5"/>
        <v>7.4074074074074066</v>
      </c>
      <c r="H58" s="1" t="s">
        <v>357</v>
      </c>
      <c r="K58" s="382">
        <v>1956</v>
      </c>
      <c r="L58" s="381">
        <v>40.4</v>
      </c>
      <c r="M58" s="381">
        <v>4.2</v>
      </c>
      <c r="N58" s="1">
        <f t="shared" si="6"/>
        <v>2.1564900000000002</v>
      </c>
      <c r="O58" s="1">
        <f t="shared" si="7"/>
        <v>89.081999999999994</v>
      </c>
      <c r="P58" s="1">
        <f t="shared" si="8"/>
        <v>9.261000000000001</v>
      </c>
    </row>
    <row r="59" spans="1:16">
      <c r="A59" s="1" t="s">
        <v>341</v>
      </c>
      <c r="D59" s="381">
        <v>0.02</v>
      </c>
      <c r="F59" s="100">
        <f t="shared" si="5"/>
        <v>4.9382716049382713</v>
      </c>
      <c r="H59" s="1" t="s">
        <v>358</v>
      </c>
      <c r="K59" s="381">
        <v>0</v>
      </c>
      <c r="L59" s="381">
        <v>0</v>
      </c>
      <c r="M59" s="381">
        <v>0</v>
      </c>
      <c r="N59" s="1">
        <f t="shared" si="6"/>
        <v>0</v>
      </c>
      <c r="O59" s="1">
        <f t="shared" si="7"/>
        <v>0</v>
      </c>
      <c r="P59" s="1">
        <f t="shared" si="8"/>
        <v>0</v>
      </c>
    </row>
    <row r="60" spans="1:16">
      <c r="A60" s="1" t="s">
        <v>342</v>
      </c>
      <c r="D60" s="381">
        <v>0.64</v>
      </c>
      <c r="F60" s="100">
        <f t="shared" si="5"/>
        <v>158.02469135802468</v>
      </c>
      <c r="H60" s="1" t="s">
        <v>25</v>
      </c>
      <c r="K60" s="381">
        <v>0</v>
      </c>
      <c r="L60" s="382">
        <v>285.39999999999998</v>
      </c>
      <c r="M60" s="382">
        <v>75</v>
      </c>
      <c r="N60" s="1">
        <f t="shared" si="6"/>
        <v>0</v>
      </c>
      <c r="O60" s="1">
        <f t="shared" si="7"/>
        <v>629.30700000000002</v>
      </c>
      <c r="P60" s="1">
        <f t="shared" si="8"/>
        <v>165.375</v>
      </c>
    </row>
    <row r="61" spans="1:16">
      <c r="A61" s="1" t="s">
        <v>343</v>
      </c>
      <c r="D61" s="381">
        <v>0.45</v>
      </c>
      <c r="F61" s="100">
        <f t="shared" si="5"/>
        <v>111.1111111111111</v>
      </c>
      <c r="H61" s="1" t="s">
        <v>359</v>
      </c>
      <c r="K61" s="382">
        <v>641454</v>
      </c>
      <c r="L61" s="382">
        <v>369</v>
      </c>
      <c r="M61" s="382">
        <v>216</v>
      </c>
      <c r="N61" s="1">
        <f t="shared" si="6"/>
        <v>707.203035</v>
      </c>
      <c r="O61" s="1">
        <f t="shared" si="7"/>
        <v>813.64499999999998</v>
      </c>
      <c r="P61" s="1">
        <f t="shared" si="8"/>
        <v>476.28000000000003</v>
      </c>
    </row>
    <row r="62" spans="1:16">
      <c r="A62" s="1" t="s">
        <v>344</v>
      </c>
      <c r="D62" s="381">
        <v>4.78</v>
      </c>
      <c r="F62" s="100">
        <f t="shared" si="5"/>
        <v>1180.2469135802469</v>
      </c>
      <c r="H62" s="1" t="s">
        <v>360</v>
      </c>
      <c r="K62" s="381">
        <v>0</v>
      </c>
      <c r="L62" s="382">
        <v>9841.2000000000007</v>
      </c>
      <c r="M62" s="382">
        <v>134.19999999999999</v>
      </c>
      <c r="N62" s="1">
        <f t="shared" si="6"/>
        <v>0</v>
      </c>
      <c r="O62" s="1">
        <f t="shared" si="7"/>
        <v>21699.846000000001</v>
      </c>
      <c r="P62" s="1">
        <f t="shared" si="8"/>
        <v>295.911</v>
      </c>
    </row>
    <row r="63" spans="1:16">
      <c r="A63" s="1" t="s">
        <v>345</v>
      </c>
      <c r="D63" s="381">
        <v>1.31</v>
      </c>
      <c r="F63" s="100">
        <f t="shared" si="5"/>
        <v>323.45679012345676</v>
      </c>
      <c r="H63" s="1" t="s">
        <v>361</v>
      </c>
      <c r="K63" s="381">
        <v>0</v>
      </c>
      <c r="L63" s="382">
        <v>224.7</v>
      </c>
      <c r="M63" s="382">
        <v>160</v>
      </c>
      <c r="N63" s="1">
        <f t="shared" si="6"/>
        <v>0</v>
      </c>
      <c r="O63" s="1">
        <f t="shared" si="7"/>
        <v>495.46350000000001</v>
      </c>
      <c r="P63" s="1">
        <f t="shared" si="8"/>
        <v>352.8</v>
      </c>
    </row>
    <row r="64" spans="1:16">
      <c r="A64" s="1" t="s">
        <v>346</v>
      </c>
      <c r="D64" s="381">
        <v>0.06</v>
      </c>
      <c r="F64" s="100">
        <f t="shared" si="5"/>
        <v>14.814814814814813</v>
      </c>
      <c r="H64" s="1" t="s">
        <v>31</v>
      </c>
      <c r="K64" s="381">
        <v>0</v>
      </c>
      <c r="L64" s="382">
        <v>417.3</v>
      </c>
      <c r="M64" s="381">
        <v>0</v>
      </c>
      <c r="N64" s="1">
        <f t="shared" si="6"/>
        <v>0</v>
      </c>
      <c r="O64" s="1">
        <f t="shared" si="7"/>
        <v>920.14650000000006</v>
      </c>
      <c r="P64" s="1">
        <f t="shared" si="8"/>
        <v>0</v>
      </c>
    </row>
    <row r="65" spans="1:16">
      <c r="A65" s="1" t="s">
        <v>347</v>
      </c>
      <c r="D65" s="381">
        <v>0</v>
      </c>
      <c r="F65" s="100">
        <f t="shared" si="5"/>
        <v>0</v>
      </c>
    </row>
    <row r="67" spans="1:16" s="377" customFormat="1">
      <c r="A67" s="377" t="s">
        <v>369</v>
      </c>
      <c r="D67" s="378">
        <f>SUM(D51:D65)</f>
        <v>18.099999999999994</v>
      </c>
      <c r="F67" s="378">
        <f>SUM(F51:F65)</f>
        <v>4469.1358024691363</v>
      </c>
      <c r="H67" s="377" t="s">
        <v>369</v>
      </c>
      <c r="K67" s="378">
        <f>SUM(K50:K65)</f>
        <v>1248103.7</v>
      </c>
      <c r="L67" s="378">
        <f t="shared" ref="L67:P67" si="9">SUM(L50:L65)</f>
        <v>14018.7</v>
      </c>
      <c r="M67" s="378">
        <f t="shared" si="9"/>
        <v>1716.2000000000003</v>
      </c>
      <c r="N67" s="378">
        <f t="shared" si="9"/>
        <v>1376.0343292499999</v>
      </c>
      <c r="O67" s="378">
        <f t="shared" si="9"/>
        <v>30911.233500000002</v>
      </c>
      <c r="P67" s="378">
        <f t="shared" si="9"/>
        <v>3784.2210000000005</v>
      </c>
    </row>
    <row r="70" spans="1:16">
      <c r="A70" s="383" t="s">
        <v>371</v>
      </c>
    </row>
    <row r="72" spans="1:16">
      <c r="A72" s="38" t="s">
        <v>372</v>
      </c>
    </row>
    <row r="74" spans="1:16">
      <c r="A74" s="1" t="s">
        <v>330</v>
      </c>
      <c r="C74" s="100"/>
      <c r="D74" s="1" t="s">
        <v>331</v>
      </c>
      <c r="F74" s="100" t="s">
        <v>348</v>
      </c>
    </row>
    <row r="75" spans="1:16">
      <c r="A75" s="1" t="s">
        <v>332</v>
      </c>
      <c r="D75" s="381">
        <v>0</v>
      </c>
      <c r="F75" s="100">
        <f t="shared" ref="F75:F90" si="10">(D75*100)/0.405</f>
        <v>0</v>
      </c>
    </row>
    <row r="76" spans="1:16">
      <c r="A76" s="1" t="s">
        <v>333</v>
      </c>
      <c r="D76" s="381">
        <v>0</v>
      </c>
      <c r="F76" s="100">
        <f t="shared" si="10"/>
        <v>0</v>
      </c>
    </row>
    <row r="77" spans="1:16">
      <c r="A77" s="1" t="s">
        <v>334</v>
      </c>
      <c r="D77" s="381">
        <v>2.97</v>
      </c>
      <c r="F77" s="100">
        <f t="shared" si="10"/>
        <v>733.33333333333326</v>
      </c>
    </row>
    <row r="78" spans="1:16">
      <c r="A78" s="1" t="s">
        <v>335</v>
      </c>
      <c r="D78" s="381">
        <v>1.82</v>
      </c>
      <c r="F78" s="100">
        <f t="shared" si="10"/>
        <v>449.38271604938268</v>
      </c>
    </row>
    <row r="79" spans="1:16">
      <c r="A79" s="1" t="s">
        <v>336</v>
      </c>
      <c r="D79" s="381">
        <v>0.53</v>
      </c>
      <c r="F79" s="100">
        <f t="shared" si="10"/>
        <v>130.86419753086417</v>
      </c>
    </row>
    <row r="80" spans="1:16">
      <c r="A80" s="1" t="s">
        <v>337</v>
      </c>
      <c r="D80" s="381">
        <v>0.16</v>
      </c>
      <c r="F80" s="100">
        <f t="shared" si="10"/>
        <v>39.506172839506171</v>
      </c>
    </row>
    <row r="81" spans="1:6">
      <c r="A81" s="1" t="s">
        <v>338</v>
      </c>
      <c r="D81" s="381">
        <v>0.09</v>
      </c>
      <c r="F81" s="100">
        <f t="shared" si="10"/>
        <v>22.222222222222221</v>
      </c>
    </row>
    <row r="82" spans="1:6">
      <c r="A82" s="1" t="s">
        <v>339</v>
      </c>
      <c r="D82" s="381">
        <v>0.56999999999999995</v>
      </c>
      <c r="F82" s="100">
        <f t="shared" si="10"/>
        <v>140.7407407407407</v>
      </c>
    </row>
    <row r="83" spans="1:6">
      <c r="A83" s="1" t="s">
        <v>340</v>
      </c>
      <c r="D83" s="381">
        <v>0</v>
      </c>
      <c r="F83" s="100">
        <f t="shared" si="10"/>
        <v>0</v>
      </c>
    </row>
    <row r="84" spans="1:6">
      <c r="A84" s="1" t="s">
        <v>341</v>
      </c>
      <c r="D84" s="381">
        <v>0.01</v>
      </c>
      <c r="F84" s="100">
        <f t="shared" si="10"/>
        <v>2.4691358024691357</v>
      </c>
    </row>
    <row r="85" spans="1:6">
      <c r="A85" s="1" t="s">
        <v>342</v>
      </c>
      <c r="D85" s="381">
        <v>0.38</v>
      </c>
      <c r="F85" s="100">
        <f t="shared" si="10"/>
        <v>93.827160493827151</v>
      </c>
    </row>
    <row r="86" spans="1:6">
      <c r="A86" s="1" t="s">
        <v>343</v>
      </c>
      <c r="D86" s="381">
        <v>0.21</v>
      </c>
      <c r="F86" s="100">
        <f t="shared" si="10"/>
        <v>51.851851851851848</v>
      </c>
    </row>
    <row r="87" spans="1:6">
      <c r="A87" s="1" t="s">
        <v>344</v>
      </c>
      <c r="D87" s="381">
        <v>3.51</v>
      </c>
      <c r="F87" s="100">
        <f t="shared" si="10"/>
        <v>866.66666666666663</v>
      </c>
    </row>
    <row r="88" spans="1:6">
      <c r="A88" s="1" t="s">
        <v>345</v>
      </c>
      <c r="D88" s="381">
        <v>0.87</v>
      </c>
      <c r="F88" s="100">
        <f t="shared" si="10"/>
        <v>214.81481481481481</v>
      </c>
    </row>
    <row r="89" spans="1:6">
      <c r="A89" s="1" t="s">
        <v>346</v>
      </c>
      <c r="D89" s="381">
        <v>0.01</v>
      </c>
      <c r="F89" s="100">
        <f t="shared" si="10"/>
        <v>2.4691358024691357</v>
      </c>
    </row>
    <row r="90" spans="1:6">
      <c r="A90" s="1" t="s">
        <v>347</v>
      </c>
      <c r="D90" s="381">
        <v>0</v>
      </c>
      <c r="F90" s="100">
        <f t="shared" si="10"/>
        <v>0</v>
      </c>
    </row>
    <row r="92" spans="1:6">
      <c r="A92" s="377" t="s">
        <v>369</v>
      </c>
      <c r="B92" s="377"/>
      <c r="C92" s="377"/>
      <c r="D92" s="378">
        <f>SUM(D76:D90)</f>
        <v>11.129999999999999</v>
      </c>
      <c r="E92" s="377"/>
      <c r="F92" s="378">
        <f>SUM(F76:F90)</f>
        <v>2748.1481481481478</v>
      </c>
    </row>
  </sheetData>
  <mergeCells count="3">
    <mergeCell ref="C18:F18"/>
    <mergeCell ref="A9:F9"/>
    <mergeCell ref="B5:C5"/>
  </mergeCells>
  <phoneticPr fontId="47" type="noConversion"/>
  <pageMargins left="0.75" right="0.35" top="0.5" bottom="0.75" header="0.3" footer="0.3"/>
  <pageSetup scale="89" orientation="portrait" r:id="rId1"/>
  <headerFooter>
    <oddFooter>&amp;L&amp;"Arial,Regular"&amp;9Section 3: Christina Basin MapShed Output&amp;C&amp;"Arial,Regular"&amp;9Page &amp;P of &amp;N&amp;R&amp;"Arial,Regular"&amp;9Christina Basin Loading Rates Tool (May 5, 2017)</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38"/>
  <sheetViews>
    <sheetView zoomScale="120" zoomScaleNormal="120" workbookViewId="0">
      <selection activeCell="P23" sqref="P23"/>
    </sheetView>
  </sheetViews>
  <sheetFormatPr baseColWidth="10" defaultColWidth="8.83203125" defaultRowHeight="13"/>
  <cols>
    <col min="1" max="1" width="1.83203125" style="1" customWidth="1"/>
    <col min="2" max="2" width="3.33203125" style="1" customWidth="1"/>
    <col min="3" max="3" width="34.6640625" style="1" customWidth="1"/>
    <col min="4" max="4" width="11.83203125" style="1" customWidth="1"/>
    <col min="5" max="5" width="13.5" style="1" customWidth="1"/>
    <col min="6" max="6" width="9.5" style="1" customWidth="1"/>
    <col min="7" max="7" width="9.83203125" style="1" customWidth="1"/>
    <col min="8" max="8" width="11" style="1" customWidth="1"/>
    <col min="9" max="9" width="5" style="1" customWidth="1"/>
    <col min="10" max="10" width="10.5" style="1" customWidth="1"/>
    <col min="11" max="11" width="8.83203125" style="1"/>
    <col min="12" max="12" width="10.1640625" style="1" bestFit="1" customWidth="1"/>
    <col min="13" max="13" width="3.5" style="1" customWidth="1"/>
    <col min="14" max="16384" width="8.83203125" style="1"/>
  </cols>
  <sheetData>
    <row r="1" spans="1:8" ht="14.5" customHeight="1">
      <c r="A1" s="215" t="s">
        <v>231</v>
      </c>
      <c r="B1" s="215"/>
      <c r="C1" s="52"/>
    </row>
    <row r="2" spans="1:8" ht="5.5" customHeight="1"/>
    <row r="3" spans="1:8" ht="14.5" customHeight="1">
      <c r="A3" s="1" t="str">
        <f>CONCATENATE("Watershed: ",'MMW Output'!B3)</f>
        <v>Watershed: User Specified</v>
      </c>
    </row>
    <row r="4" spans="1:8" ht="5.5" customHeight="1"/>
    <row r="5" spans="1:8" ht="14.5" customHeight="1">
      <c r="A5" s="1" t="str">
        <f>CONCATENATE("Year: ",'MMW Output'!C16)</f>
        <v>Year: User Specified</v>
      </c>
    </row>
    <row r="6" spans="1:8" ht="9" customHeight="1"/>
    <row r="7" spans="1:8" ht="18" customHeight="1">
      <c r="A7" s="462" t="s">
        <v>245</v>
      </c>
      <c r="B7" s="462"/>
      <c r="C7" s="462"/>
      <c r="D7" s="462"/>
      <c r="E7" s="462"/>
      <c r="F7" s="462"/>
      <c r="G7" s="118"/>
    </row>
    <row r="8" spans="1:8" ht="99" customHeight="1">
      <c r="A8" s="459" t="s">
        <v>261</v>
      </c>
      <c r="B8" s="459"/>
      <c r="C8" s="459"/>
      <c r="D8" s="459"/>
      <c r="E8" s="459"/>
      <c r="F8" s="459"/>
      <c r="G8" s="459"/>
      <c r="H8" s="459"/>
    </row>
    <row r="9" spans="1:8" ht="6" customHeight="1"/>
    <row r="10" spans="1:8" ht="8.5" customHeight="1"/>
    <row r="11" spans="1:8" ht="27.5" customHeight="1">
      <c r="A11" s="459" t="s">
        <v>262</v>
      </c>
      <c r="B11" s="459"/>
      <c r="C11" s="459"/>
      <c r="D11" s="459"/>
      <c r="E11" s="459"/>
      <c r="F11" s="459"/>
      <c r="G11" s="459"/>
      <c r="H11" s="9"/>
    </row>
    <row r="12" spans="1:8" ht="9.5" customHeight="1"/>
    <row r="13" spans="1:8" ht="14.5" customHeight="1">
      <c r="B13" s="38"/>
    </row>
    <row r="14" spans="1:8" ht="45" customHeight="1">
      <c r="B14" s="173" t="s">
        <v>263</v>
      </c>
      <c r="C14" s="216"/>
      <c r="D14" s="70" t="s">
        <v>37</v>
      </c>
      <c r="E14" s="70" t="s">
        <v>38</v>
      </c>
    </row>
    <row r="15" spans="1:8" ht="19.25" customHeight="1">
      <c r="C15" s="132" t="s">
        <v>72</v>
      </c>
      <c r="D15" s="144">
        <f>+'MMW Output'!E38</f>
        <v>629.30700000000002</v>
      </c>
      <c r="E15" s="144">
        <f>+'MMW Output'!F38</f>
        <v>165.375</v>
      </c>
      <c r="F15" s="133" t="s">
        <v>50</v>
      </c>
      <c r="G15" s="464" t="s">
        <v>265</v>
      </c>
      <c r="H15" s="465"/>
    </row>
    <row r="16" spans="1:8" ht="8" customHeight="1">
      <c r="F16" s="69"/>
      <c r="G16" s="466"/>
      <c r="H16" s="467"/>
    </row>
    <row r="17" spans="1:8" ht="28.25" customHeight="1">
      <c r="B17" s="38" t="s">
        <v>264</v>
      </c>
      <c r="F17" s="69"/>
      <c r="G17" s="468"/>
      <c r="H17" s="469"/>
    </row>
    <row r="18" spans="1:8" ht="30.75" customHeight="1">
      <c r="C18" s="57" t="s">
        <v>0</v>
      </c>
      <c r="D18" s="58" t="s">
        <v>51</v>
      </c>
      <c r="F18" s="69"/>
      <c r="G18" s="134"/>
      <c r="H18" s="134"/>
    </row>
    <row r="19" spans="1:8" ht="18" customHeight="1">
      <c r="B19" s="131"/>
      <c r="C19" s="132" t="s">
        <v>71</v>
      </c>
      <c r="D19" s="144">
        <f>+'MMW Output'!C22</f>
        <v>1180.2469135802469</v>
      </c>
      <c r="G19" s="135"/>
      <c r="H19" s="135"/>
    </row>
    <row r="20" spans="1:8" ht="18" customHeight="1">
      <c r="B20" s="131"/>
      <c r="C20" s="138" t="s">
        <v>10</v>
      </c>
      <c r="D20" s="172">
        <f>+'MMW Output'!C23</f>
        <v>323.45679012345676</v>
      </c>
    </row>
    <row r="21" spans="1:8" ht="29.5" customHeight="1">
      <c r="B21" s="463" t="s">
        <v>116</v>
      </c>
      <c r="C21" s="463"/>
      <c r="D21" s="463"/>
      <c r="E21" s="463"/>
      <c r="F21" s="463"/>
      <c r="G21" s="463"/>
    </row>
    <row r="22" spans="1:8" ht="6" customHeight="1">
      <c r="D22" s="41"/>
    </row>
    <row r="23" spans="1:8" ht="15.5" customHeight="1"/>
    <row r="24" spans="1:8" ht="13.25" customHeight="1">
      <c r="A24" s="459" t="s">
        <v>111</v>
      </c>
      <c r="B24" s="459"/>
      <c r="C24" s="459"/>
      <c r="D24" s="459"/>
      <c r="E24" s="459"/>
      <c r="F24" s="459"/>
      <c r="G24" s="459"/>
      <c r="H24" s="459"/>
    </row>
    <row r="25" spans="1:8" ht="6" customHeight="1">
      <c r="C25" s="42"/>
      <c r="D25" s="43"/>
      <c r="E25" s="40"/>
    </row>
    <row r="26" spans="1:8" ht="14.5" customHeight="1">
      <c r="C26" s="72" t="s">
        <v>73</v>
      </c>
      <c r="D26" s="97">
        <f>+D19+D20</f>
        <v>1503.7037037037037</v>
      </c>
      <c r="E26" s="119" t="s">
        <v>112</v>
      </c>
      <c r="F26" s="1" t="str">
        <f>CONCATENATE("[ ",ROUND(D19,2)," acres + ",ROUND(D20,2)," acres"," ]")</f>
        <v>[ 1180.25 acres + 323.46 acres ]</v>
      </c>
    </row>
    <row r="27" spans="1:8" ht="6" customHeight="1">
      <c r="C27" s="42"/>
      <c r="D27" s="43"/>
      <c r="E27" s="40"/>
    </row>
    <row r="28" spans="1:8" ht="11" customHeight="1">
      <c r="C28" s="42"/>
      <c r="D28" s="43"/>
      <c r="E28" s="40"/>
    </row>
    <row r="29" spans="1:8" ht="31.25" customHeight="1">
      <c r="A29" s="459" t="s">
        <v>142</v>
      </c>
      <c r="B29" s="459"/>
      <c r="C29" s="459"/>
      <c r="D29" s="459"/>
      <c r="E29" s="459"/>
      <c r="F29" s="459"/>
      <c r="G29" s="459"/>
      <c r="H29" s="459"/>
    </row>
    <row r="30" spans="1:8" ht="6" customHeight="1">
      <c r="D30" s="41"/>
    </row>
    <row r="31" spans="1:8" ht="27.5" customHeight="1">
      <c r="C31" s="44"/>
      <c r="D31" s="70" t="s">
        <v>37</v>
      </c>
      <c r="E31" s="70" t="s">
        <v>38</v>
      </c>
    </row>
    <row r="32" spans="1:8" ht="19.25" customHeight="1">
      <c r="C32" s="139" t="s">
        <v>72</v>
      </c>
      <c r="D32" s="144">
        <f>+D15</f>
        <v>629.30700000000002</v>
      </c>
      <c r="E32" s="144">
        <f>+E15</f>
        <v>165.375</v>
      </c>
      <c r="F32" s="140" t="s">
        <v>75</v>
      </c>
      <c r="G32" s="136"/>
      <c r="H32" s="10"/>
    </row>
    <row r="33" spans="1:8" ht="19.25" customHeight="1">
      <c r="C33" s="141" t="s">
        <v>115</v>
      </c>
      <c r="D33" s="145">
        <f>+D26</f>
        <v>1503.7037037037037</v>
      </c>
      <c r="E33" s="145">
        <f>+D26</f>
        <v>1503.7037037037037</v>
      </c>
      <c r="F33" s="142" t="s">
        <v>76</v>
      </c>
      <c r="G33" s="137"/>
      <c r="H33" s="10"/>
    </row>
    <row r="34" spans="1:8" ht="5.5" customHeight="1">
      <c r="C34" s="141"/>
      <c r="D34" s="146"/>
      <c r="E34" s="145"/>
      <c r="F34" s="143"/>
      <c r="G34" s="130"/>
      <c r="H34" s="10"/>
    </row>
    <row r="35" spans="1:8" ht="19.25" customHeight="1">
      <c r="C35" s="139" t="s">
        <v>74</v>
      </c>
      <c r="D35" s="174">
        <f>+D32/D33</f>
        <v>0.41850465517241381</v>
      </c>
      <c r="E35" s="174">
        <f>+E32/E33</f>
        <v>0.10997844827586208</v>
      </c>
      <c r="F35" s="175" t="s">
        <v>63</v>
      </c>
      <c r="G35" s="136"/>
      <c r="H35" s="10"/>
    </row>
    <row r="36" spans="1:8" ht="10.25" customHeight="1">
      <c r="C36" s="56"/>
      <c r="D36" s="64"/>
      <c r="E36" s="63"/>
      <c r="F36" s="48"/>
    </row>
    <row r="37" spans="1:8">
      <c r="C37" s="92"/>
    </row>
    <row r="38" spans="1:8" ht="40.25" customHeight="1">
      <c r="A38" s="459" t="s">
        <v>143</v>
      </c>
      <c r="B38" s="459"/>
      <c r="C38" s="459"/>
      <c r="D38" s="459"/>
      <c r="E38" s="459"/>
      <c r="F38" s="459"/>
      <c r="G38" s="459"/>
      <c r="H38" s="459"/>
    </row>
  </sheetData>
  <mergeCells count="8">
    <mergeCell ref="A24:H24"/>
    <mergeCell ref="A29:H29"/>
    <mergeCell ref="A38:H38"/>
    <mergeCell ref="A7:F7"/>
    <mergeCell ref="A8:H8"/>
    <mergeCell ref="A11:G11"/>
    <mergeCell ref="B21:G21"/>
    <mergeCell ref="G15:H17"/>
  </mergeCells>
  <phoneticPr fontId="47" type="noConversion"/>
  <pageMargins left="0.75" right="0.35" top="0.5" bottom="0.75" header="0.3" footer="0.3"/>
  <pageSetup scale="92" orientation="portrait" r:id="rId1"/>
  <headerFooter>
    <oddFooter>&amp;L&amp;"Arial,Regular"&amp;9Section 5: Backup for Farm Animals TN and TP Loading&amp;C&amp;"Arial,Regular"&amp;9Page &amp;P of &amp;N&amp;R&amp;"Arial,Regular"&amp;9Christina Basin Loading Rates Tool (May 5, 2017)</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68"/>
  <sheetViews>
    <sheetView topLeftCell="A133" zoomScale="120" zoomScaleNormal="120" zoomScaleSheetLayoutView="80" workbookViewId="0">
      <selection activeCell="C165" sqref="C165"/>
    </sheetView>
  </sheetViews>
  <sheetFormatPr baseColWidth="10" defaultColWidth="8.83203125" defaultRowHeight="13"/>
  <cols>
    <col min="1" max="1" width="2.6640625" style="1" customWidth="1"/>
    <col min="2" max="2" width="25" style="1" customWidth="1"/>
    <col min="3" max="3" width="20" style="1" customWidth="1"/>
    <col min="4" max="4" width="9.83203125" style="1" customWidth="1"/>
    <col min="5" max="5" width="9.5" style="1" customWidth="1"/>
    <col min="6" max="6" width="9.83203125" style="1" customWidth="1"/>
    <col min="7" max="7" width="16.5" style="1" customWidth="1"/>
    <col min="8" max="8" width="5" style="1" customWidth="1"/>
    <col min="9" max="9" width="10.5" style="1" customWidth="1"/>
    <col min="10" max="10" width="8.83203125" style="1"/>
    <col min="11" max="11" width="10.1640625" style="1" bestFit="1" customWidth="1"/>
    <col min="12" max="12" width="3.5" style="1" customWidth="1"/>
    <col min="13" max="16384" width="8.83203125" style="1"/>
  </cols>
  <sheetData>
    <row r="1" spans="1:11" ht="14.5" customHeight="1">
      <c r="A1" s="215" t="s">
        <v>233</v>
      </c>
      <c r="B1" s="52"/>
    </row>
    <row r="2" spans="1:11" ht="6" customHeight="1"/>
    <row r="3" spans="1:11" ht="14.5" customHeight="1">
      <c r="A3" s="1" t="str">
        <f>CONCATENATE("Watershed: ",'MMW Output'!$B$3)</f>
        <v>Watershed: User Specified</v>
      </c>
    </row>
    <row r="4" spans="1:11" ht="6" customHeight="1"/>
    <row r="5" spans="1:11" ht="14.5" customHeight="1">
      <c r="A5" s="1" t="str">
        <f>CONCATENATE("Year: ",'MMW Output'!$C$16)</f>
        <v>Year: User Specified</v>
      </c>
    </row>
    <row r="6" spans="1:11" ht="11.5" customHeight="1"/>
    <row r="7" spans="1:11" ht="18.75" customHeight="1">
      <c r="A7" s="462" t="s">
        <v>246</v>
      </c>
      <c r="B7" s="462"/>
      <c r="C7" s="462"/>
      <c r="D7" s="462"/>
      <c r="E7" s="462"/>
      <c r="F7" s="462"/>
    </row>
    <row r="8" spans="1:11" ht="95" customHeight="1">
      <c r="A8" s="459" t="s">
        <v>301</v>
      </c>
      <c r="B8" s="459"/>
      <c r="C8" s="459"/>
      <c r="D8" s="459"/>
      <c r="E8" s="459"/>
      <c r="F8" s="459"/>
      <c r="G8" s="459"/>
    </row>
    <row r="9" spans="1:11" ht="8.5" customHeight="1"/>
    <row r="10" spans="1:11" ht="8.5" customHeight="1"/>
    <row r="11" spans="1:11" ht="27.5" customHeight="1">
      <c r="A11" s="459" t="s">
        <v>117</v>
      </c>
      <c r="B11" s="459"/>
      <c r="C11" s="459"/>
      <c r="D11" s="459"/>
      <c r="E11" s="459"/>
      <c r="F11" s="459"/>
      <c r="G11" s="459"/>
    </row>
    <row r="12" spans="1:11" ht="6" customHeight="1"/>
    <row r="13" spans="1:11">
      <c r="B13" s="45"/>
      <c r="C13" s="53" t="s">
        <v>4</v>
      </c>
      <c r="D13" s="53"/>
    </row>
    <row r="14" spans="1:11" ht="13.25" customHeight="1">
      <c r="B14" s="55" t="s">
        <v>28</v>
      </c>
      <c r="C14" s="83">
        <f>ROUND('MMW Output'!D40,2)</f>
        <v>707.2</v>
      </c>
      <c r="D14" s="55" t="s">
        <v>49</v>
      </c>
      <c r="E14" s="476" t="s">
        <v>308</v>
      </c>
      <c r="F14" s="477"/>
      <c r="G14" s="478"/>
    </row>
    <row r="15" spans="1:11" ht="8" customHeight="1">
      <c r="E15" s="479"/>
      <c r="F15" s="480"/>
      <c r="G15" s="481"/>
    </row>
    <row r="16" spans="1:11">
      <c r="B16" s="57" t="s">
        <v>0</v>
      </c>
      <c r="C16" s="58" t="s">
        <v>51</v>
      </c>
      <c r="E16" s="482"/>
      <c r="F16" s="483"/>
      <c r="G16" s="484"/>
      <c r="K16" s="75"/>
    </row>
    <row r="17" spans="1:3" ht="13.25" customHeight="1">
      <c r="A17" s="485" t="s">
        <v>39</v>
      </c>
      <c r="B17" s="256" t="s">
        <v>71</v>
      </c>
      <c r="C17" s="257">
        <f>+'MMW Output'!C22</f>
        <v>1180.2469135802469</v>
      </c>
    </row>
    <row r="18" spans="1:3" ht="13.25" customHeight="1">
      <c r="A18" s="486"/>
      <c r="B18" s="258" t="s">
        <v>10</v>
      </c>
      <c r="C18" s="259">
        <f>+'MMW Output'!C23</f>
        <v>323.45679012345676</v>
      </c>
    </row>
    <row r="19" spans="1:3" ht="13.25" customHeight="1">
      <c r="A19" s="486"/>
      <c r="B19" s="260" t="s">
        <v>11</v>
      </c>
      <c r="C19" s="261">
        <f>+'MMW Output'!C24</f>
        <v>417.28395061728395</v>
      </c>
    </row>
    <row r="20" spans="1:3" ht="13.25" customHeight="1">
      <c r="A20" s="486"/>
      <c r="B20" s="258" t="s">
        <v>12</v>
      </c>
      <c r="C20" s="259">
        <f>+'MMW Output'!C25</f>
        <v>14.814814814814813</v>
      </c>
    </row>
    <row r="21" spans="1:3" ht="13.25" customHeight="1">
      <c r="A21" s="486"/>
      <c r="B21" s="260" t="s">
        <v>13</v>
      </c>
      <c r="C21" s="261">
        <f>+'MMW Output'!C26</f>
        <v>0</v>
      </c>
    </row>
    <row r="22" spans="1:3" ht="13.25" customHeight="1">
      <c r="A22" s="486"/>
      <c r="B22" s="258" t="s">
        <v>14</v>
      </c>
      <c r="C22" s="259">
        <f>+'MMW Output'!C27</f>
        <v>0</v>
      </c>
    </row>
    <row r="23" spans="1:3" ht="13.25" customHeight="1">
      <c r="A23" s="486"/>
      <c r="B23" s="260" t="s">
        <v>15</v>
      </c>
      <c r="C23" s="261">
        <f>+'MMW Output'!C28</f>
        <v>111.1111111111111</v>
      </c>
    </row>
    <row r="24" spans="1:3" ht="13.25" customHeight="1">
      <c r="A24" s="486"/>
      <c r="B24" s="258" t="s">
        <v>16</v>
      </c>
      <c r="C24" s="259">
        <f>+'MMW Output'!C29</f>
        <v>49.382716049382715</v>
      </c>
    </row>
    <row r="25" spans="1:3" ht="13.25" customHeight="1">
      <c r="A25" s="486"/>
      <c r="B25" s="260" t="s">
        <v>17</v>
      </c>
      <c r="C25" s="261">
        <f>+'MMW Output'!C30</f>
        <v>0</v>
      </c>
    </row>
    <row r="26" spans="1:3" ht="13.25" customHeight="1">
      <c r="A26" s="486"/>
      <c r="B26" s="258" t="s">
        <v>18</v>
      </c>
      <c r="C26" s="259">
        <f>+'MMW Output'!C31</f>
        <v>0</v>
      </c>
    </row>
    <row r="27" spans="1:3" ht="13.25" customHeight="1">
      <c r="A27" s="486"/>
      <c r="B27" s="260" t="s">
        <v>19</v>
      </c>
      <c r="C27" s="261">
        <f>+'MMW Output'!C32</f>
        <v>2000</v>
      </c>
    </row>
    <row r="28" spans="1:3" ht="13.25" customHeight="1">
      <c r="A28" s="486"/>
      <c r="B28" s="258" t="s">
        <v>20</v>
      </c>
      <c r="C28" s="259">
        <f>+'MMW Output'!C33</f>
        <v>293.82716049382714</v>
      </c>
    </row>
    <row r="29" spans="1:3" ht="13.25" customHeight="1">
      <c r="A29" s="486"/>
      <c r="B29" s="260" t="s">
        <v>21</v>
      </c>
      <c r="C29" s="261">
        <f>+'MMW Output'!C34</f>
        <v>79.012345679012341</v>
      </c>
    </row>
    <row r="30" spans="1:3" ht="13.25" customHeight="1">
      <c r="A30" s="486"/>
      <c r="B30" s="258" t="s">
        <v>22</v>
      </c>
      <c r="C30" s="259">
        <f>+'MMW Output'!C35</f>
        <v>0</v>
      </c>
    </row>
    <row r="31" spans="1:3" ht="13.25" customHeight="1">
      <c r="A31" s="486"/>
      <c r="B31" s="260" t="s">
        <v>23</v>
      </c>
      <c r="C31" s="261">
        <f>+'MMW Output'!C36</f>
        <v>0</v>
      </c>
    </row>
    <row r="32" spans="1:3" ht="13.25" customHeight="1">
      <c r="A32" s="487"/>
      <c r="B32" s="262" t="s">
        <v>24</v>
      </c>
      <c r="C32" s="263">
        <f>+'MMW Output'!C37</f>
        <v>0</v>
      </c>
    </row>
    <row r="33" spans="1:7" ht="6" customHeight="1">
      <c r="C33" s="147"/>
    </row>
    <row r="34" spans="1:7" ht="15.5" customHeight="1">
      <c r="B34" s="38" t="s">
        <v>144</v>
      </c>
      <c r="C34" s="148">
        <f>SUM(C17:C33)</f>
        <v>4469.1358024691353</v>
      </c>
    </row>
    <row r="35" spans="1:7" ht="17" customHeight="1"/>
    <row r="36" spans="1:7">
      <c r="A36" s="459" t="s">
        <v>94</v>
      </c>
      <c r="B36" s="459"/>
      <c r="C36" s="459"/>
      <c r="D36" s="459"/>
      <c r="E36" s="459"/>
      <c r="F36" s="459"/>
      <c r="G36" s="459"/>
    </row>
    <row r="37" spans="1:7" ht="6" customHeight="1">
      <c r="B37" s="42"/>
      <c r="C37" s="43"/>
      <c r="D37" s="40"/>
    </row>
    <row r="38" spans="1:7">
      <c r="B38" s="45"/>
      <c r="C38" s="53" t="s">
        <v>64</v>
      </c>
      <c r="D38" s="53"/>
    </row>
    <row r="39" spans="1:7">
      <c r="B39" s="55" t="s">
        <v>28</v>
      </c>
      <c r="C39" s="55">
        <f>+C14*2000</f>
        <v>1414400</v>
      </c>
      <c r="D39" s="55" t="s">
        <v>50</v>
      </c>
      <c r="E39" s="1" t="str">
        <f>CONCATENATE("= [ ",ROUND(C14,2)," tons x 2,000 pounds per ton]")</f>
        <v>= [ 707.2 tons x 2,000 pounds per ton]</v>
      </c>
    </row>
    <row r="40" spans="1:7" ht="6" customHeight="1">
      <c r="B40" s="42"/>
      <c r="D40" s="40"/>
    </row>
    <row r="41" spans="1:7" ht="17" customHeight="1">
      <c r="B41" s="42"/>
      <c r="C41" s="43"/>
      <c r="D41" s="40"/>
    </row>
    <row r="42" spans="1:7">
      <c r="A42" s="459" t="str">
        <f>CONCATENATE("Step 3. Sum the total acres in the ", 'MMW Output'!C15," watershed.")</f>
        <v>Step 3. Sum the total acres in the User Specified watershed.</v>
      </c>
      <c r="B42" s="459"/>
      <c r="C42" s="459"/>
      <c r="D42" s="459"/>
      <c r="E42" s="459"/>
      <c r="F42" s="459"/>
      <c r="G42" s="459"/>
    </row>
    <row r="43" spans="1:7" ht="6" customHeight="1">
      <c r="A43" s="60"/>
      <c r="B43" s="60"/>
      <c r="C43" s="60"/>
      <c r="D43" s="60"/>
      <c r="E43" s="60"/>
      <c r="F43" s="60"/>
      <c r="G43" s="60"/>
    </row>
    <row r="44" spans="1:7">
      <c r="B44" s="59" t="s">
        <v>118</v>
      </c>
      <c r="C44" s="97">
        <f>SUM(C17:C33)</f>
        <v>4469.1358024691353</v>
      </c>
      <c r="D44" s="56" t="s">
        <v>32</v>
      </c>
    </row>
    <row r="45" spans="1:7" ht="6" customHeight="1">
      <c r="B45" s="42"/>
      <c r="C45" s="43"/>
      <c r="D45" s="40"/>
    </row>
    <row r="46" spans="1:7" ht="4.25" customHeight="1">
      <c r="B46" s="42"/>
      <c r="C46" s="43"/>
      <c r="D46" s="40"/>
    </row>
    <row r="47" spans="1:7" ht="14.5" customHeight="1">
      <c r="A47" s="1" t="s">
        <v>119</v>
      </c>
      <c r="B47" s="42"/>
      <c r="C47" s="43"/>
      <c r="D47" s="40"/>
    </row>
    <row r="48" spans="1:7" ht="6" customHeight="1">
      <c r="B48" s="42"/>
      <c r="C48" s="43"/>
      <c r="D48" s="40"/>
    </row>
    <row r="49" spans="1:7" ht="14" customHeight="1">
      <c r="A49" s="1" t="str">
        <f>CONCATENATE("Watershed: ",'MMW Output'!$B$3)</f>
        <v>Watershed: User Specified</v>
      </c>
      <c r="B49" s="42"/>
      <c r="C49" s="43"/>
      <c r="D49" s="40"/>
    </row>
    <row r="50" spans="1:7" ht="6" customHeight="1">
      <c r="B50" s="42"/>
      <c r="C50" s="43"/>
      <c r="D50" s="40"/>
    </row>
    <row r="51" spans="1:7" ht="14" customHeight="1">
      <c r="A51" s="1" t="str">
        <f>CONCATENATE("Year: ",'MMW Output'!$C$16)</f>
        <v>Year: User Specified</v>
      </c>
      <c r="B51" s="42"/>
      <c r="C51" s="43"/>
      <c r="D51" s="40"/>
    </row>
    <row r="52" spans="1:7" ht="11" customHeight="1">
      <c r="B52" s="42"/>
      <c r="C52" s="43"/>
      <c r="D52" s="40"/>
    </row>
    <row r="53" spans="1:7" ht="51" customHeight="1">
      <c r="A53" s="459" t="s">
        <v>183</v>
      </c>
      <c r="B53" s="459"/>
      <c r="C53" s="459"/>
      <c r="D53" s="459"/>
      <c r="E53" s="459"/>
      <c r="F53" s="459"/>
      <c r="G53" s="459"/>
    </row>
    <row r="54" spans="1:7" ht="6" customHeight="1">
      <c r="C54" s="41"/>
    </row>
    <row r="55" spans="1:7">
      <c r="B55" s="44" t="s">
        <v>68</v>
      </c>
      <c r="C55" s="66" t="s">
        <v>32</v>
      </c>
      <c r="D55" s="66" t="s">
        <v>69</v>
      </c>
    </row>
    <row r="56" spans="1:7">
      <c r="B56" s="120" t="s">
        <v>52</v>
      </c>
      <c r="C56" s="160">
        <f>+C27+C30</f>
        <v>2000</v>
      </c>
      <c r="D56" s="156">
        <f>+C56/C$59</f>
        <v>0.84287200832466169</v>
      </c>
      <c r="E56" s="71" t="s">
        <v>84</v>
      </c>
      <c r="F56" s="55"/>
      <c r="G56" s="37"/>
    </row>
    <row r="57" spans="1:7">
      <c r="B57" s="149" t="s">
        <v>53</v>
      </c>
      <c r="C57" s="161">
        <f>+C28+C31</f>
        <v>293.82716049382714</v>
      </c>
      <c r="D57" s="157">
        <f>+C57/C$59</f>
        <v>0.12382934443288239</v>
      </c>
      <c r="E57" s="73" t="s">
        <v>85</v>
      </c>
      <c r="F57" s="54"/>
      <c r="G57" s="36"/>
    </row>
    <row r="58" spans="1:7" ht="14" thickBot="1">
      <c r="B58" s="150" t="s">
        <v>54</v>
      </c>
      <c r="C58" s="164">
        <f>+C29+C32</f>
        <v>79.012345679012341</v>
      </c>
      <c r="D58" s="177">
        <f>+C58/C$59</f>
        <v>3.3298647242455771E-2</v>
      </c>
      <c r="E58" s="71" t="s">
        <v>86</v>
      </c>
      <c r="F58" s="55"/>
      <c r="G58" s="37"/>
    </row>
    <row r="59" spans="1:7">
      <c r="B59" s="56" t="s">
        <v>55</v>
      </c>
      <c r="C59" s="176">
        <f>+C56+C57+C58</f>
        <v>2372.8395061728397</v>
      </c>
      <c r="D59" s="178">
        <f>+C59/C$59</f>
        <v>1</v>
      </c>
      <c r="E59" s="48" t="s">
        <v>87</v>
      </c>
    </row>
    <row r="60" spans="1:7" ht="6.5" customHeight="1"/>
    <row r="62" spans="1:7">
      <c r="A62" s="1" t="s">
        <v>120</v>
      </c>
    </row>
    <row r="63" spans="1:7">
      <c r="B63" s="1" t="s">
        <v>316</v>
      </c>
    </row>
    <row r="64" spans="1:7">
      <c r="B64" s="1" t="s">
        <v>317</v>
      </c>
    </row>
    <row r="65" spans="1:7" ht="8" customHeight="1"/>
    <row r="66" spans="1:7">
      <c r="B66" s="1" t="s">
        <v>58</v>
      </c>
      <c r="C66" s="99">
        <f>C39</f>
        <v>1414400</v>
      </c>
      <c r="D66" s="1" t="s">
        <v>50</v>
      </c>
      <c r="E66" s="48" t="s">
        <v>66</v>
      </c>
    </row>
    <row r="67" spans="1:7">
      <c r="B67" s="1" t="s">
        <v>59</v>
      </c>
      <c r="C67" s="98">
        <f>+C59</f>
        <v>2372.8395061728397</v>
      </c>
      <c r="D67" s="1" t="s">
        <v>32</v>
      </c>
      <c r="E67" s="48" t="s">
        <v>65</v>
      </c>
    </row>
    <row r="68" spans="1:7" ht="13.25" customHeight="1">
      <c r="B68" s="1" t="s">
        <v>118</v>
      </c>
      <c r="C68" s="98">
        <f>+C44</f>
        <v>4469.1358024691353</v>
      </c>
      <c r="D68" s="1" t="s">
        <v>32</v>
      </c>
      <c r="E68" s="48" t="s">
        <v>67</v>
      </c>
    </row>
    <row r="69" spans="1:7" ht="25.25" customHeight="1">
      <c r="B69" s="151" t="s">
        <v>101</v>
      </c>
      <c r="C69" s="47">
        <f>+C67/C68</f>
        <v>0.53093922651933712</v>
      </c>
      <c r="D69" s="48" t="s">
        <v>121</v>
      </c>
      <c r="E69" s="1" t="str">
        <f>CONCATENATE("[ ",ROUND(C67,2)," acres / ",ROUND(C68,2)," acres ]")</f>
        <v>[ 2372.84 acres / 4469.14 acres ]</v>
      </c>
    </row>
    <row r="70" spans="1:7" s="9" customFormat="1" ht="17.25" customHeight="1"/>
    <row r="71" spans="1:7" ht="42" customHeight="1">
      <c r="A71" s="61"/>
      <c r="B71" s="9" t="s">
        <v>323</v>
      </c>
      <c r="C71" s="101">
        <f>+C66*(C59/C68)*0.75</f>
        <v>563220.33149171271</v>
      </c>
      <c r="D71" s="1" t="s">
        <v>122</v>
      </c>
      <c r="E71" s="1" t="str">
        <f>CONCATENATE("[ 75% x ",ROUND(C66,2)," pounds x ",ROUND(C69*100,0),"% ]")</f>
        <v>[ 75% x 1414400 pounds x 53% ]</v>
      </c>
    </row>
    <row r="72" spans="1:7" ht="27" thickBot="1">
      <c r="A72" s="61"/>
      <c r="B72" s="152" t="s">
        <v>324</v>
      </c>
      <c r="C72" s="153">
        <f>+C66*0.25</f>
        <v>353600</v>
      </c>
      <c r="D72" s="154" t="s">
        <v>122</v>
      </c>
      <c r="E72" s="1" t="str">
        <f>CONCATENATE("[ 25% x ",ROUND(C66,2)," pounds ]")</f>
        <v>[ 25% x 1414400 pounds ]</v>
      </c>
    </row>
    <row r="73" spans="1:7" ht="29" customHeight="1">
      <c r="B73" s="155" t="s">
        <v>97</v>
      </c>
      <c r="C73" s="102">
        <f>+C72+C71</f>
        <v>916820.33149171271</v>
      </c>
      <c r="D73" s="62" t="s">
        <v>50</v>
      </c>
    </row>
    <row r="74" spans="1:7" ht="6.5" customHeight="1"/>
    <row r="75" spans="1:7" ht="8.5" customHeight="1"/>
    <row r="76" spans="1:7" ht="42" customHeight="1">
      <c r="A76" s="459" t="s">
        <v>124</v>
      </c>
      <c r="B76" s="459"/>
      <c r="C76" s="459"/>
      <c r="D76" s="459"/>
      <c r="E76" s="459"/>
      <c r="F76" s="459"/>
      <c r="G76" s="459"/>
    </row>
    <row r="77" spans="1:7" ht="6" customHeight="1"/>
    <row r="78" spans="1:7">
      <c r="B78" s="38" t="s">
        <v>123</v>
      </c>
    </row>
    <row r="79" spans="1:7" ht="12.75" customHeight="1">
      <c r="B79" s="120" t="s">
        <v>52</v>
      </c>
      <c r="C79" s="158">
        <v>0.15</v>
      </c>
    </row>
    <row r="80" spans="1:7">
      <c r="B80" s="149" t="s">
        <v>53</v>
      </c>
      <c r="C80" s="159">
        <v>0.52</v>
      </c>
    </row>
    <row r="81" spans="1:7">
      <c r="B81" s="120" t="s">
        <v>54</v>
      </c>
      <c r="C81" s="158">
        <v>0.87</v>
      </c>
    </row>
    <row r="82" spans="1:7" ht="6" customHeight="1"/>
    <row r="83" spans="1:7" ht="11.5" customHeight="1"/>
    <row r="84" spans="1:7" ht="24.5" customHeight="1">
      <c r="A84" s="459" t="s">
        <v>127</v>
      </c>
      <c r="B84" s="459"/>
      <c r="C84" s="459"/>
      <c r="D84" s="459"/>
      <c r="E84" s="459"/>
      <c r="F84" s="459"/>
      <c r="G84" s="459"/>
    </row>
    <row r="85" spans="1:7" ht="6" customHeight="1"/>
    <row r="86" spans="1:7">
      <c r="B86" s="38" t="s">
        <v>56</v>
      </c>
    </row>
    <row r="87" spans="1:7">
      <c r="B87" s="96" t="s">
        <v>52</v>
      </c>
      <c r="C87" s="160">
        <f>+C56*C79</f>
        <v>300</v>
      </c>
      <c r="D87" s="55" t="s">
        <v>125</v>
      </c>
      <c r="E87" s="179" t="str">
        <f>CONCATENATE(" [ ",ROUND(C56,2)," acres x ",C79*100," percent ]")</f>
        <v xml:space="preserve"> [ 2000 acres x 15 percent ]</v>
      </c>
      <c r="F87" s="55"/>
      <c r="G87" s="37"/>
    </row>
    <row r="88" spans="1:7">
      <c r="B88" s="74" t="s">
        <v>53</v>
      </c>
      <c r="C88" s="161">
        <f>+C57*C80</f>
        <v>152.79012345679013</v>
      </c>
      <c r="D88" s="54" t="s">
        <v>125</v>
      </c>
      <c r="E88" s="180" t="str">
        <f>CONCATENATE(" [ ",ROUND(C57,2)," acres x ",C80*100," percent ]")</f>
        <v xml:space="preserve"> [ 293.83 acres x 52 percent ]</v>
      </c>
      <c r="F88" s="54"/>
      <c r="G88" s="36"/>
    </row>
    <row r="89" spans="1:7" ht="14" thickBot="1">
      <c r="B89" s="163" t="s">
        <v>54</v>
      </c>
      <c r="C89" s="164">
        <f>+C58*C81</f>
        <v>68.740740740740733</v>
      </c>
      <c r="D89" s="181" t="s">
        <v>125</v>
      </c>
      <c r="E89" s="179" t="str">
        <f>CONCATENATE(" [ ",ROUND(C58,2)," acres x ",C81*100," percent ]")</f>
        <v xml:space="preserve"> [ 79.01 acres x 87 percent ]</v>
      </c>
      <c r="F89" s="55"/>
      <c r="G89" s="37"/>
    </row>
    <row r="90" spans="1:7" ht="29" customHeight="1">
      <c r="B90" s="12" t="s">
        <v>126</v>
      </c>
      <c r="C90" s="162">
        <f>+C87+C88+C89</f>
        <v>521.53086419753083</v>
      </c>
      <c r="D90" s="1" t="s">
        <v>32</v>
      </c>
    </row>
    <row r="91" spans="1:7" ht="6" customHeight="1"/>
    <row r="93" spans="1:7">
      <c r="A93" s="1" t="s">
        <v>180</v>
      </c>
    </row>
    <row r="94" spans="1:7" ht="6" customHeight="1"/>
    <row r="95" spans="1:7">
      <c r="A95" s="1" t="str">
        <f>CONCATENATE("Watershed: ",'MMW Output'!$B$3)</f>
        <v>Watershed: User Specified</v>
      </c>
    </row>
    <row r="96" spans="1:7" ht="6" customHeight="1"/>
    <row r="97" spans="1:7">
      <c r="A97" s="1" t="str">
        <f>CONCATENATE("Year: ",'MMW Output'!$C$16)</f>
        <v>Year: User Specified</v>
      </c>
    </row>
    <row r="99" spans="1:7">
      <c r="A99" s="1" t="s">
        <v>128</v>
      </c>
    </row>
    <row r="100" spans="1:7" ht="6" customHeight="1"/>
    <row r="101" spans="1:7">
      <c r="B101" s="38" t="s">
        <v>57</v>
      </c>
    </row>
    <row r="102" spans="1:7">
      <c r="B102" s="120" t="s">
        <v>52</v>
      </c>
      <c r="C102" s="158">
        <f>+C87/(C$87+C$88+C$89)</f>
        <v>0.57522961840734788</v>
      </c>
      <c r="D102" s="165" t="s">
        <v>129</v>
      </c>
      <c r="E102" s="179" t="str">
        <f>CONCATENATE(" [ ",ROUND(C87,2)," acres / ",ROUND(C90,2)," acres ]")</f>
        <v xml:space="preserve"> [ 300 acres / 521.53 acres ]</v>
      </c>
      <c r="F102" s="55"/>
      <c r="G102" s="37"/>
    </row>
    <row r="103" spans="1:7">
      <c r="B103" s="149" t="s">
        <v>53</v>
      </c>
      <c r="C103" s="159">
        <f>+C88/(C$87+C$88+C$89)</f>
        <v>0.29296468137486981</v>
      </c>
      <c r="D103" s="166" t="s">
        <v>129</v>
      </c>
      <c r="E103" s="180" t="str">
        <f>CONCATENATE(" [ ",ROUND(C88,2)," acres / ",ROUND(C90,2)," acres ]")</f>
        <v xml:space="preserve"> [ 152.79 acres / 521.53 acres ]</v>
      </c>
      <c r="F103" s="54"/>
      <c r="G103" s="36"/>
    </row>
    <row r="104" spans="1:7" ht="14" thickBot="1">
      <c r="B104" s="150" t="s">
        <v>54</v>
      </c>
      <c r="C104" s="182">
        <f>+C89/(C$87+C$88+C$89)</f>
        <v>0.1318057002177824</v>
      </c>
      <c r="D104" s="165" t="s">
        <v>129</v>
      </c>
      <c r="E104" s="179" t="str">
        <f>CONCATENATE(" [ ",ROUND(C89,2)," acres / ",ROUND(C90,2)," acres ]")</f>
        <v xml:space="preserve"> [ 68.74 acres / 521.53 acres ]</v>
      </c>
      <c r="F104" s="55"/>
      <c r="G104" s="37"/>
    </row>
    <row r="105" spans="1:7">
      <c r="B105" s="1" t="s">
        <v>55</v>
      </c>
      <c r="C105" s="183">
        <f>+C102+C103+C104</f>
        <v>1</v>
      </c>
    </row>
    <row r="106" spans="1:7" ht="7.25" customHeight="1"/>
    <row r="107" spans="1:7" ht="13.25" customHeight="1"/>
    <row r="108" spans="1:7" ht="24" customHeight="1">
      <c r="A108" s="459" t="s">
        <v>309</v>
      </c>
      <c r="B108" s="459"/>
      <c r="C108" s="459"/>
      <c r="D108" s="459"/>
      <c r="E108" s="459"/>
      <c r="F108" s="459"/>
      <c r="G108" s="459"/>
    </row>
    <row r="109" spans="1:7" ht="6" customHeight="1"/>
    <row r="110" spans="1:7" ht="25.5" customHeight="1">
      <c r="B110" s="230" t="s">
        <v>97</v>
      </c>
      <c r="C110" s="100">
        <f>+C73</f>
        <v>916820.33149171271</v>
      </c>
      <c r="D110" s="1" t="s">
        <v>130</v>
      </c>
      <c r="E110" s="48" t="s">
        <v>88</v>
      </c>
    </row>
    <row r="111" spans="1:7" ht="25.5" customHeight="1">
      <c r="B111" s="217" t="s">
        <v>310</v>
      </c>
      <c r="C111" s="101">
        <f>+C71</f>
        <v>563220.33149171271</v>
      </c>
      <c r="D111" s="1" t="s">
        <v>130</v>
      </c>
      <c r="E111" s="48" t="s">
        <v>88</v>
      </c>
    </row>
    <row r="112" spans="1:7" ht="25.5" customHeight="1">
      <c r="B112" s="217" t="s">
        <v>311</v>
      </c>
      <c r="C112" s="101">
        <f>+C72</f>
        <v>353600</v>
      </c>
      <c r="D112" s="1" t="s">
        <v>130</v>
      </c>
      <c r="E112" s="48" t="s">
        <v>88</v>
      </c>
    </row>
    <row r="113" spans="1:7" ht="6" customHeight="1"/>
    <row r="114" spans="1:7" ht="13.25" customHeight="1"/>
    <row r="115" spans="1:7" ht="14" customHeight="1">
      <c r="A115" s="459" t="s">
        <v>145</v>
      </c>
      <c r="B115" s="459"/>
      <c r="C115" s="459"/>
      <c r="D115" s="459"/>
      <c r="E115" s="459"/>
      <c r="F115" s="459"/>
      <c r="G115" s="459"/>
    </row>
    <row r="116" spans="1:7" ht="15" customHeight="1">
      <c r="A116" s="459" t="str">
        <f>CONCATENATE("multiplying the 'Percent of Total Impervious Surfaces' (Step 8) by ",ROUND(C112,2)," pounds (calculated in Step 9):")</f>
        <v>multiplying the 'Percent of Total Impervious Surfaces' (Step 8) by 353600 pounds (calculated in Step 9):</v>
      </c>
      <c r="B116" s="459"/>
      <c r="C116" s="459"/>
      <c r="D116" s="459"/>
      <c r="E116" s="459"/>
      <c r="F116" s="459"/>
      <c r="G116" s="459"/>
    </row>
    <row r="117" spans="1:7" ht="6" customHeight="1">
      <c r="A117" s="60"/>
      <c r="B117" s="60"/>
      <c r="C117" s="60"/>
      <c r="D117" s="60"/>
      <c r="E117" s="60"/>
      <c r="F117" s="60"/>
      <c r="G117" s="60"/>
    </row>
    <row r="118" spans="1:7" ht="16.25" customHeight="1">
      <c r="B118" s="38" t="s">
        <v>131</v>
      </c>
      <c r="C118" s="12"/>
      <c r="D118" s="12"/>
      <c r="E118" s="12"/>
      <c r="F118" s="9"/>
    </row>
    <row r="119" spans="1:7">
      <c r="B119" s="120" t="s">
        <v>52</v>
      </c>
      <c r="C119" s="83">
        <f>C102*C$112</f>
        <v>203401.19306883821</v>
      </c>
      <c r="D119" s="470" t="str">
        <f>CONCATENATE("=   [ ",ROUND(C102*100,0)," % x ",ROUND(C$112,2)," pounds ]")</f>
        <v>=   [ 58 % x 353600 pounds ]</v>
      </c>
      <c r="E119" s="471"/>
      <c r="F119" s="471"/>
      <c r="G119" s="471"/>
    </row>
    <row r="120" spans="1:7">
      <c r="B120" s="149" t="s">
        <v>53</v>
      </c>
      <c r="C120" s="84">
        <f>C103*C$112</f>
        <v>103592.31133415396</v>
      </c>
      <c r="D120" s="472" t="str">
        <f>CONCATENATE("=   [ ",ROUND(C103*100,0)," % x ",ROUND(C$112,2)," pounds ]")</f>
        <v>=   [ 29 % x 353600 pounds ]</v>
      </c>
      <c r="E120" s="473"/>
      <c r="F120" s="473"/>
      <c r="G120" s="473"/>
    </row>
    <row r="121" spans="1:7">
      <c r="B121" s="120" t="s">
        <v>54</v>
      </c>
      <c r="C121" s="83">
        <f>C104*C$112</f>
        <v>46606.495597007859</v>
      </c>
      <c r="D121" s="470" t="str">
        <f>CONCATENATE("=   [ ",ROUND(C104*100,0)," % x ",ROUND(C$112,2)," pounds ]")</f>
        <v>=   [ 13 % x 353600 pounds ]</v>
      </c>
      <c r="E121" s="471"/>
      <c r="F121" s="471"/>
      <c r="G121" s="471"/>
    </row>
    <row r="122" spans="1:7" ht="6" customHeight="1">
      <c r="C122" s="50"/>
    </row>
    <row r="124" spans="1:7">
      <c r="A124" s="459" t="s">
        <v>133</v>
      </c>
      <c r="B124" s="459"/>
      <c r="C124" s="459"/>
      <c r="D124" s="459"/>
      <c r="E124" s="459"/>
      <c r="F124" s="459"/>
      <c r="G124" s="459"/>
    </row>
    <row r="125" spans="1:7">
      <c r="A125" s="459" t="str">
        <f>CONCATENATE("the 'Percent of Area of Developed Lands' (from Step 4) by ",ROUND(C111,2)," pounds (calculated in Step 9):")</f>
        <v>the 'Percent of Area of Developed Lands' (from Step 4) by 563220.33 pounds (calculated in Step 9):</v>
      </c>
      <c r="B125" s="459"/>
      <c r="C125" s="459"/>
      <c r="D125" s="459"/>
      <c r="E125" s="459"/>
      <c r="F125" s="459"/>
      <c r="G125" s="459"/>
    </row>
    <row r="126" spans="1:7" ht="6" customHeight="1"/>
    <row r="127" spans="1:7" ht="17" customHeight="1">
      <c r="B127" s="38" t="s">
        <v>132</v>
      </c>
      <c r="C127" s="12"/>
      <c r="D127" s="12"/>
      <c r="E127" s="12"/>
    </row>
    <row r="128" spans="1:7">
      <c r="B128" s="120" t="s">
        <v>52</v>
      </c>
      <c r="C128" s="83">
        <f>(C56/C$59)*C$111</f>
        <v>474722.65193370159</v>
      </c>
      <c r="D128" s="470" t="str">
        <f>CONCATENATE("=   [ ",ROUND(D56*100,0)," % x ",ROUND(C$111,2)," pounds ]")</f>
        <v>=   [ 84 % x 563220.33 pounds ]</v>
      </c>
      <c r="E128" s="471"/>
      <c r="F128" s="471"/>
      <c r="G128" s="471"/>
    </row>
    <row r="129" spans="1:13">
      <c r="B129" s="149" t="s">
        <v>53</v>
      </c>
      <c r="C129" s="84">
        <f>(C57/C$59)*C$111</f>
        <v>69743.204419889487</v>
      </c>
      <c r="D129" s="472" t="str">
        <f>CONCATENATE("=   [ ",ROUND(D57*100,0)," % x ",ROUND(C$111,2)," pounds ]")</f>
        <v>=   [ 12 % x 563220.33 pounds ]</v>
      </c>
      <c r="E129" s="473"/>
      <c r="F129" s="473"/>
      <c r="G129" s="473"/>
    </row>
    <row r="130" spans="1:13">
      <c r="B130" s="120" t="s">
        <v>54</v>
      </c>
      <c r="C130" s="83">
        <f>(C58/C$59)*C$111</f>
        <v>18754.475138121546</v>
      </c>
      <c r="D130" s="470" t="str">
        <f>CONCATENATE("=   [ ",ROUND(D58*100,0)," % x ",ROUND(C$111,2)," pounds ] ")</f>
        <v xml:space="preserve">=   [ 3 % x 563220.33 pounds ] </v>
      </c>
      <c r="E130" s="471"/>
      <c r="F130" s="471"/>
      <c r="G130" s="471"/>
    </row>
    <row r="131" spans="1:13" ht="7.25" customHeight="1"/>
    <row r="133" spans="1:13" ht="26.5" customHeight="1">
      <c r="A133" s="459" t="s">
        <v>134</v>
      </c>
      <c r="B133" s="459"/>
      <c r="C133" s="459"/>
      <c r="D133" s="459"/>
      <c r="E133" s="459"/>
      <c r="F133" s="459"/>
      <c r="G133" s="459"/>
    </row>
    <row r="134" spans="1:13" ht="6" customHeight="1"/>
    <row r="135" spans="1:13" ht="16.25" customHeight="1">
      <c r="B135" s="38" t="s">
        <v>135</v>
      </c>
      <c r="C135" s="167"/>
      <c r="D135" s="167"/>
      <c r="E135" s="12"/>
      <c r="F135" s="12"/>
      <c r="G135" s="12"/>
      <c r="H135" s="12"/>
      <c r="I135" s="12"/>
      <c r="J135" s="12"/>
      <c r="K135" s="12"/>
      <c r="L135" s="13"/>
      <c r="M135" s="65"/>
    </row>
    <row r="136" spans="1:13">
      <c r="B136" s="120" t="s">
        <v>52</v>
      </c>
      <c r="C136" s="55">
        <f>+C119+C128</f>
        <v>678123.84500253981</v>
      </c>
      <c r="D136" s="96" t="str">
        <f>CONCATENATE("   =   [ ",ROUND(C119,2)," pounds + ",ROUND(C128,2)," pounds ]")</f>
        <v xml:space="preserve">   =   [ 203401.19 pounds + 474722.65 pounds ]</v>
      </c>
      <c r="E136" s="37"/>
      <c r="F136" s="55"/>
      <c r="G136" s="37"/>
      <c r="I136" s="46"/>
      <c r="J136" s="46"/>
      <c r="K136" s="49"/>
      <c r="M136" s="51"/>
    </row>
    <row r="137" spans="1:13">
      <c r="B137" s="149" t="s">
        <v>53</v>
      </c>
      <c r="C137" s="54">
        <f>+C120+C129</f>
        <v>173335.51575404344</v>
      </c>
      <c r="D137" s="74" t="str">
        <f>CONCATENATE("   =   [ ",ROUND(C120,2)," pounds + ",ROUND(C129,2)," pounds ]")</f>
        <v xml:space="preserve">   =   [ 103592.31 pounds + 69743.2 pounds ]</v>
      </c>
      <c r="E137" s="36"/>
      <c r="F137" s="54"/>
      <c r="G137" s="36"/>
      <c r="I137" s="46"/>
      <c r="J137" s="46"/>
      <c r="K137" s="49"/>
      <c r="M137" s="51"/>
    </row>
    <row r="138" spans="1:13">
      <c r="B138" s="120" t="s">
        <v>54</v>
      </c>
      <c r="C138" s="55">
        <f>+C121+C130</f>
        <v>65360.970735129406</v>
      </c>
      <c r="D138" s="96" t="str">
        <f>CONCATENATE("   =   [ ",ROUND(C121,2)," pounds + ",ROUND(C130,2)," pounds ]")</f>
        <v xml:space="preserve">   =   [ 46606.5 pounds + 18754.48 pounds ]</v>
      </c>
      <c r="E138" s="37"/>
      <c r="F138" s="55"/>
      <c r="G138" s="37"/>
      <c r="I138" s="46"/>
      <c r="J138" s="46"/>
      <c r="K138" s="49"/>
      <c r="M138" s="51"/>
    </row>
    <row r="139" spans="1:13" ht="7.25" customHeight="1">
      <c r="M139" s="50"/>
    </row>
    <row r="142" spans="1:13">
      <c r="A142" s="1" t="s">
        <v>179</v>
      </c>
    </row>
    <row r="143" spans="1:13" ht="6" customHeight="1"/>
    <row r="144" spans="1:13">
      <c r="A144" s="1" t="str">
        <f>CONCATENATE("Watershed: ",'MMW Output'!$B$3)</f>
        <v>Watershed: User Specified</v>
      </c>
    </row>
    <row r="145" spans="1:7" ht="6" customHeight="1"/>
    <row r="146" spans="1:7">
      <c r="A146" s="1" t="str">
        <f>CONCATENATE("Year: ",'MMW Output'!$C$16)</f>
        <v>Year: User Specified</v>
      </c>
    </row>
    <row r="148" spans="1:7" ht="28.25" customHeight="1">
      <c r="A148" s="459" t="s">
        <v>139</v>
      </c>
      <c r="B148" s="459"/>
      <c r="C148" s="459"/>
      <c r="D148" s="459"/>
      <c r="E148" s="459"/>
      <c r="F148" s="459"/>
      <c r="G148" s="459"/>
    </row>
    <row r="149" spans="1:7" ht="8.5" customHeight="1"/>
    <row r="150" spans="1:7" ht="53.5" customHeight="1">
      <c r="A150" s="475" t="s">
        <v>146</v>
      </c>
      <c r="B150" s="475"/>
      <c r="C150" s="231" t="s">
        <v>50</v>
      </c>
      <c r="D150" s="168" t="s">
        <v>70</v>
      </c>
      <c r="E150" s="474" t="s">
        <v>136</v>
      </c>
      <c r="F150" s="474"/>
    </row>
    <row r="151" spans="1:7">
      <c r="B151" s="169" t="s">
        <v>52</v>
      </c>
      <c r="C151" s="55">
        <f>+C136</f>
        <v>678123.84500253981</v>
      </c>
      <c r="D151" s="55">
        <f>+C56</f>
        <v>2000</v>
      </c>
      <c r="E151" s="218">
        <f>+C151/D151</f>
        <v>339.06192250126992</v>
      </c>
      <c r="F151" s="232" t="str">
        <f>CONCATENATE("= [",ROUND(C151,2)," lbs / ",(ROUND(D151,2))," acres ]")</f>
        <v>= [678123.85 lbs / 2000 acres ]</v>
      </c>
      <c r="G151" s="37"/>
    </row>
    <row r="152" spans="1:7">
      <c r="B152" s="170" t="s">
        <v>53</v>
      </c>
      <c r="C152" s="54">
        <f>+C137</f>
        <v>173335.51575404344</v>
      </c>
      <c r="D152" s="54">
        <f>+C57</f>
        <v>293.82716049382714</v>
      </c>
      <c r="E152" s="219">
        <f>+C152/D152</f>
        <v>589.92339395283693</v>
      </c>
      <c r="F152" s="233" t="str">
        <f>CONCATENATE("= [",ROUND(C152,2)," lbs / ",(ROUND(D152,2))," acres ]")</f>
        <v>= [173335.52 lbs / 293.83 acres ]</v>
      </c>
      <c r="G152" s="36"/>
    </row>
    <row r="153" spans="1:7">
      <c r="B153" s="169" t="s">
        <v>54</v>
      </c>
      <c r="C153" s="55">
        <f>+C138</f>
        <v>65360.970735129406</v>
      </c>
      <c r="D153" s="55">
        <f>+C58</f>
        <v>79.012345679012341</v>
      </c>
      <c r="E153" s="218">
        <f>+C153/D153</f>
        <v>827.22478586648162</v>
      </c>
      <c r="F153" s="232" t="str">
        <f>CONCATENATE("= [",ROUND(C153,2)," lbs / ",(ROUND(D153,2))," acres ]")</f>
        <v>= [65360.97 lbs / 79.01 acres ]</v>
      </c>
      <c r="G153" s="37"/>
    </row>
    <row r="154" spans="1:7" ht="6" customHeight="1"/>
    <row r="155" spans="1:7" ht="7.25" customHeight="1"/>
    <row r="157" spans="1:7">
      <c r="A157" s="1" t="s">
        <v>140</v>
      </c>
    </row>
    <row r="158" spans="1:7" ht="6" customHeight="1"/>
    <row r="159" spans="1:7">
      <c r="B159" s="1" t="s">
        <v>60</v>
      </c>
      <c r="C159" s="101">
        <f>+C39</f>
        <v>1414400</v>
      </c>
      <c r="D159" s="1" t="s">
        <v>130</v>
      </c>
      <c r="E159" s="48" t="s">
        <v>89</v>
      </c>
    </row>
    <row r="160" spans="1:7">
      <c r="B160" s="67" t="s">
        <v>96</v>
      </c>
      <c r="C160" s="104">
        <f>+C73</f>
        <v>916820.33149171271</v>
      </c>
      <c r="D160" s="45" t="s">
        <v>130</v>
      </c>
      <c r="E160" s="48" t="s">
        <v>90</v>
      </c>
    </row>
    <row r="161" spans="1:7" ht="26">
      <c r="B161" s="9" t="s">
        <v>61</v>
      </c>
      <c r="C161" s="100">
        <f>+C159-C160</f>
        <v>497579.66850828729</v>
      </c>
      <c r="D161" s="1" t="s">
        <v>130</v>
      </c>
      <c r="E161" s="171" t="str">
        <f>CONCATENATE("[ ",ROUND(C159,2)," pounds - ",ROUND(C160,2)," pounds ]")</f>
        <v>[ 1414400 pounds - 916820.33 pounds ]</v>
      </c>
    </row>
    <row r="162" spans="1:7" ht="8.5" customHeight="1"/>
    <row r="163" spans="1:7">
      <c r="B163" s="1" t="s">
        <v>62</v>
      </c>
      <c r="C163" s="103">
        <f>+C44-C59</f>
        <v>2096.2962962962956</v>
      </c>
      <c r="D163" s="1" t="s">
        <v>137</v>
      </c>
      <c r="E163" s="48" t="s">
        <v>91</v>
      </c>
    </row>
    <row r="164" spans="1:7" ht="9" customHeight="1"/>
    <row r="165" spans="1:7" ht="39">
      <c r="B165" s="68" t="s">
        <v>95</v>
      </c>
      <c r="C165" s="89">
        <f>+C161/C163</f>
        <v>237.3613259668509</v>
      </c>
      <c r="D165" s="68" t="s">
        <v>63</v>
      </c>
      <c r="E165" s="1" t="str">
        <f>CONCATENATE("=  [ ",ROUND(C161,2)," pounds / ",ROUND(C163,2)," acres ]")</f>
        <v>=  [ 497579.67 pounds / 2096.3 acres ]</v>
      </c>
    </row>
    <row r="166" spans="1:7" ht="8" customHeight="1"/>
    <row r="168" spans="1:7" ht="51" customHeight="1">
      <c r="A168" s="459" t="s">
        <v>184</v>
      </c>
      <c r="B168" s="459"/>
      <c r="C168" s="459"/>
      <c r="D168" s="459"/>
      <c r="E168" s="459"/>
      <c r="F168" s="459"/>
      <c r="G168" s="459"/>
    </row>
  </sheetData>
  <mergeCells count="26">
    <mergeCell ref="A150:B150"/>
    <mergeCell ref="A53:G53"/>
    <mergeCell ref="E14:G16"/>
    <mergeCell ref="A76:G76"/>
    <mergeCell ref="A7:F7"/>
    <mergeCell ref="A11:G11"/>
    <mergeCell ref="A17:A32"/>
    <mergeCell ref="A36:G36"/>
    <mergeCell ref="A42:G42"/>
    <mergeCell ref="A8:G8"/>
    <mergeCell ref="A168:G168"/>
    <mergeCell ref="A84:G84"/>
    <mergeCell ref="D119:G119"/>
    <mergeCell ref="D120:G120"/>
    <mergeCell ref="D121:G121"/>
    <mergeCell ref="D128:G128"/>
    <mergeCell ref="E150:F150"/>
    <mergeCell ref="A124:G124"/>
    <mergeCell ref="A125:G125"/>
    <mergeCell ref="A133:G133"/>
    <mergeCell ref="D129:G129"/>
    <mergeCell ref="D130:G130"/>
    <mergeCell ref="A148:G148"/>
    <mergeCell ref="A115:G115"/>
    <mergeCell ref="A108:G108"/>
    <mergeCell ref="A116:G116"/>
  </mergeCells>
  <phoneticPr fontId="47" type="noConversion"/>
  <pageMargins left="0.75" right="0.59718749999999998" top="0.5" bottom="0.75" header="0.3" footer="0.3"/>
  <pageSetup fitToWidth="0" fitToHeight="0" orientation="portrait" r:id="rId1"/>
  <headerFooter>
    <oddFooter>&amp;L&amp;"Arial,Regular"&amp;9Section 6: Backup for Stream Bank Sediment Loading&amp;C&amp;"Arial,Regular"&amp;9Page &amp;P of &amp;N&amp;R&amp;"Arial,Regular"&amp;9Christina Basin Loading Rates Tool (May 5, 2017)</oddFooter>
  </headerFooter>
  <rowBreaks count="3" manualBreakCount="3">
    <brk id="45" max="16383" man="1"/>
    <brk id="91" max="16383" man="1"/>
    <brk id="140"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65"/>
  <sheetViews>
    <sheetView zoomScale="120" zoomScaleNormal="120" zoomScaleSheetLayoutView="80" workbookViewId="0">
      <selection activeCell="G1" sqref="G1"/>
    </sheetView>
  </sheetViews>
  <sheetFormatPr baseColWidth="10" defaultColWidth="8.83203125" defaultRowHeight="13"/>
  <cols>
    <col min="1" max="1" width="2.6640625" style="1" customWidth="1"/>
    <col min="2" max="2" width="25" style="1" customWidth="1"/>
    <col min="3" max="3" width="16.33203125" style="1" customWidth="1"/>
    <col min="4" max="4" width="9.83203125" style="1" customWidth="1"/>
    <col min="5" max="5" width="9.5" style="1" customWidth="1"/>
    <col min="6" max="6" width="9.83203125" style="1" customWidth="1"/>
    <col min="7" max="7" width="16.5" style="1" customWidth="1"/>
    <col min="8" max="8" width="5" style="1" customWidth="1"/>
    <col min="9" max="9" width="10.5" style="1" customWidth="1"/>
    <col min="10" max="10" width="8.83203125" style="1"/>
    <col min="11" max="11" width="10.1640625" style="1" bestFit="1" customWidth="1"/>
    <col min="12" max="12" width="3.5" style="1" customWidth="1"/>
    <col min="13" max="16384" width="8.83203125" style="1"/>
  </cols>
  <sheetData>
    <row r="1" spans="1:11" ht="14.5" customHeight="1">
      <c r="A1" s="215" t="s">
        <v>231</v>
      </c>
      <c r="B1" s="52"/>
    </row>
    <row r="2" spans="1:11" ht="6" customHeight="1"/>
    <row r="3" spans="1:11" ht="14.5" customHeight="1">
      <c r="A3" s="1" t="str">
        <f>CONCATENATE("Watershed: ",'MMW Output'!$B$3)</f>
        <v>Watershed: User Specified</v>
      </c>
    </row>
    <row r="4" spans="1:11" ht="6" customHeight="1"/>
    <row r="5" spans="1:11" ht="14.5" customHeight="1">
      <c r="A5" s="1" t="str">
        <f>CONCATENATE("Year: ",'MMW Output'!$C$16)</f>
        <v>Year: User Specified</v>
      </c>
    </row>
    <row r="6" spans="1:11" ht="11.5" customHeight="1"/>
    <row r="7" spans="1:11" ht="18.75" customHeight="1">
      <c r="A7" s="462" t="s">
        <v>247</v>
      </c>
      <c r="B7" s="462"/>
      <c r="C7" s="462"/>
      <c r="D7" s="462"/>
      <c r="E7" s="462"/>
      <c r="F7" s="462"/>
    </row>
    <row r="8" spans="1:11" ht="95" customHeight="1">
      <c r="A8" s="459" t="s">
        <v>188</v>
      </c>
      <c r="B8" s="459"/>
      <c r="C8" s="459"/>
      <c r="D8" s="459"/>
      <c r="E8" s="459"/>
      <c r="F8" s="459"/>
      <c r="G8" s="459"/>
    </row>
    <row r="9" spans="1:11" ht="8.5" customHeight="1"/>
    <row r="10" spans="1:11" ht="8.5" customHeight="1"/>
    <row r="11" spans="1:11" ht="27.5" customHeight="1">
      <c r="A11" s="459" t="s">
        <v>149</v>
      </c>
      <c r="B11" s="459"/>
      <c r="C11" s="459"/>
      <c r="D11" s="459"/>
      <c r="E11" s="459"/>
      <c r="F11" s="459"/>
      <c r="G11" s="459"/>
    </row>
    <row r="12" spans="1:11" ht="6" customHeight="1"/>
    <row r="13" spans="1:11">
      <c r="B13" s="57" t="s">
        <v>0</v>
      </c>
      <c r="C13" s="58" t="s">
        <v>51</v>
      </c>
      <c r="E13" s="237"/>
      <c r="F13" s="237"/>
      <c r="G13" s="237"/>
      <c r="K13" s="75"/>
    </row>
    <row r="14" spans="1:11" ht="13.25" customHeight="1">
      <c r="A14" s="485" t="s">
        <v>39</v>
      </c>
      <c r="B14" s="256" t="s">
        <v>71</v>
      </c>
      <c r="C14" s="257">
        <f>+'MMW Output'!C22</f>
        <v>1180.2469135802469</v>
      </c>
    </row>
    <row r="15" spans="1:11" ht="13.25" customHeight="1">
      <c r="A15" s="486"/>
      <c r="B15" s="258" t="s">
        <v>10</v>
      </c>
      <c r="C15" s="259">
        <f>+'MMW Output'!C23</f>
        <v>323.45679012345676</v>
      </c>
    </row>
    <row r="16" spans="1:11" ht="13.25" customHeight="1">
      <c r="A16" s="486"/>
      <c r="B16" s="260" t="s">
        <v>11</v>
      </c>
      <c r="C16" s="261">
        <f>+'MMW Output'!C24</f>
        <v>417.28395061728395</v>
      </c>
    </row>
    <row r="17" spans="1:3" ht="13.25" customHeight="1">
      <c r="A17" s="486"/>
      <c r="B17" s="258" t="s">
        <v>12</v>
      </c>
      <c r="C17" s="259">
        <f>+'MMW Output'!C25</f>
        <v>14.814814814814813</v>
      </c>
    </row>
    <row r="18" spans="1:3" ht="13.25" customHeight="1">
      <c r="A18" s="486"/>
      <c r="B18" s="260" t="s">
        <v>13</v>
      </c>
      <c r="C18" s="261">
        <f>+'MMW Output'!C26</f>
        <v>0</v>
      </c>
    </row>
    <row r="19" spans="1:3" ht="13.25" customHeight="1">
      <c r="A19" s="486"/>
      <c r="B19" s="258" t="s">
        <v>14</v>
      </c>
      <c r="C19" s="259">
        <f>+'MMW Output'!C27</f>
        <v>0</v>
      </c>
    </row>
    <row r="20" spans="1:3" ht="13.25" customHeight="1">
      <c r="A20" s="486"/>
      <c r="B20" s="260" t="s">
        <v>15</v>
      </c>
      <c r="C20" s="261">
        <f>+'MMW Output'!C28</f>
        <v>111.1111111111111</v>
      </c>
    </row>
    <row r="21" spans="1:3" ht="13.25" customHeight="1">
      <c r="A21" s="486"/>
      <c r="B21" s="258" t="s">
        <v>16</v>
      </c>
      <c r="C21" s="259">
        <f>+'MMW Output'!C29</f>
        <v>49.382716049382715</v>
      </c>
    </row>
    <row r="22" spans="1:3" ht="13.25" customHeight="1">
      <c r="A22" s="486"/>
      <c r="B22" s="260" t="s">
        <v>17</v>
      </c>
      <c r="C22" s="261">
        <f>+'MMW Output'!C30</f>
        <v>0</v>
      </c>
    </row>
    <row r="23" spans="1:3" ht="13.25" customHeight="1">
      <c r="A23" s="486"/>
      <c r="B23" s="258" t="s">
        <v>18</v>
      </c>
      <c r="C23" s="259">
        <f>+'MMW Output'!C31</f>
        <v>0</v>
      </c>
    </row>
    <row r="24" spans="1:3" ht="13.25" customHeight="1">
      <c r="A24" s="486"/>
      <c r="B24" s="260" t="s">
        <v>19</v>
      </c>
      <c r="C24" s="261">
        <f>+'MMW Output'!C32</f>
        <v>2000</v>
      </c>
    </row>
    <row r="25" spans="1:3" ht="13.25" customHeight="1">
      <c r="A25" s="486"/>
      <c r="B25" s="258" t="s">
        <v>20</v>
      </c>
      <c r="C25" s="259">
        <f>+'MMW Output'!C33</f>
        <v>293.82716049382714</v>
      </c>
    </row>
    <row r="26" spans="1:3" ht="13.25" customHeight="1">
      <c r="A26" s="486"/>
      <c r="B26" s="260" t="s">
        <v>21</v>
      </c>
      <c r="C26" s="261">
        <f>+'MMW Output'!C34</f>
        <v>79.012345679012341</v>
      </c>
    </row>
    <row r="27" spans="1:3" ht="13.25" customHeight="1">
      <c r="A27" s="486"/>
      <c r="B27" s="258" t="s">
        <v>22</v>
      </c>
      <c r="C27" s="259">
        <f>+'MMW Output'!C35</f>
        <v>0</v>
      </c>
    </row>
    <row r="28" spans="1:3" ht="13.25" customHeight="1">
      <c r="A28" s="486"/>
      <c r="B28" s="260" t="s">
        <v>23</v>
      </c>
      <c r="C28" s="261">
        <f>+'MMW Output'!C36</f>
        <v>0</v>
      </c>
    </row>
    <row r="29" spans="1:3" ht="13.25" customHeight="1">
      <c r="A29" s="487"/>
      <c r="B29" s="262" t="s">
        <v>24</v>
      </c>
      <c r="C29" s="263">
        <f>+'MMW Output'!C37</f>
        <v>0</v>
      </c>
    </row>
    <row r="30" spans="1:3" ht="6" customHeight="1">
      <c r="C30" s="147"/>
    </row>
    <row r="31" spans="1:3" ht="15.5" customHeight="1">
      <c r="B31" s="38" t="s">
        <v>144</v>
      </c>
      <c r="C31" s="148">
        <f>SUM(C14:C30)</f>
        <v>4469.1358024691353</v>
      </c>
    </row>
    <row r="32" spans="1:3" ht="17" customHeight="1"/>
    <row r="33" spans="1:7">
      <c r="A33" s="459" t="s">
        <v>150</v>
      </c>
      <c r="B33" s="459"/>
      <c r="C33" s="459"/>
      <c r="D33" s="459"/>
      <c r="E33" s="459"/>
      <c r="F33" s="459"/>
      <c r="G33" s="459"/>
    </row>
    <row r="34" spans="1:7" ht="6" customHeight="1">
      <c r="B34" s="42"/>
      <c r="C34" s="43"/>
      <c r="D34" s="40"/>
    </row>
    <row r="35" spans="1:7">
      <c r="B35" s="45"/>
      <c r="C35" s="53" t="s">
        <v>151</v>
      </c>
      <c r="D35" s="53"/>
    </row>
    <row r="36" spans="1:7">
      <c r="B36" s="55" t="s">
        <v>28</v>
      </c>
      <c r="C36" s="55">
        <f>+'MMW Output'!E40</f>
        <v>813.64499999999998</v>
      </c>
      <c r="D36" s="55" t="s">
        <v>50</v>
      </c>
    </row>
    <row r="37" spans="1:7" ht="6" customHeight="1">
      <c r="B37" s="42"/>
      <c r="D37" s="40"/>
    </row>
    <row r="38" spans="1:7" ht="17" customHeight="1">
      <c r="B38" s="42"/>
      <c r="C38" s="43"/>
      <c r="D38" s="40"/>
    </row>
    <row r="39" spans="1:7">
      <c r="A39" s="459" t="str">
        <f>CONCATENATE("Step 3. Sum the total acres in the ", 'MMW Output'!C15," watershed.")</f>
        <v>Step 3. Sum the total acres in the User Specified watershed.</v>
      </c>
      <c r="B39" s="459"/>
      <c r="C39" s="459"/>
      <c r="D39" s="459"/>
      <c r="E39" s="459"/>
      <c r="F39" s="459"/>
      <c r="G39" s="459"/>
    </row>
    <row r="40" spans="1:7" ht="6" customHeight="1">
      <c r="A40" s="236"/>
      <c r="B40" s="236"/>
      <c r="C40" s="236"/>
      <c r="D40" s="236"/>
      <c r="E40" s="236"/>
      <c r="F40" s="236"/>
      <c r="G40" s="236"/>
    </row>
    <row r="41" spans="1:7">
      <c r="B41" s="59" t="s">
        <v>118</v>
      </c>
      <c r="C41" s="97">
        <f>SUM(C14:C30)</f>
        <v>4469.1358024691353</v>
      </c>
      <c r="D41" s="56" t="s">
        <v>32</v>
      </c>
    </row>
    <row r="42" spans="1:7" ht="6" customHeight="1">
      <c r="B42" s="42"/>
      <c r="C42" s="43"/>
      <c r="D42" s="40"/>
    </row>
    <row r="43" spans="1:7" ht="4.25" customHeight="1">
      <c r="B43" s="42"/>
      <c r="C43" s="43"/>
      <c r="D43" s="40"/>
    </row>
    <row r="44" spans="1:7" ht="14.5" customHeight="1">
      <c r="A44" s="1" t="s">
        <v>152</v>
      </c>
      <c r="B44" s="42"/>
      <c r="C44" s="43"/>
      <c r="D44" s="40"/>
    </row>
    <row r="45" spans="1:7" ht="6" customHeight="1">
      <c r="B45" s="42"/>
      <c r="C45" s="43"/>
      <c r="D45" s="40"/>
    </row>
    <row r="46" spans="1:7" ht="14" customHeight="1">
      <c r="A46" s="1" t="str">
        <f>CONCATENATE("Watershed: ",'MMW Output'!$B$3)</f>
        <v>Watershed: User Specified</v>
      </c>
      <c r="B46" s="42"/>
      <c r="C46" s="43"/>
      <c r="D46" s="40"/>
    </row>
    <row r="47" spans="1:7" ht="6" customHeight="1">
      <c r="B47" s="42"/>
      <c r="C47" s="43"/>
      <c r="D47" s="40"/>
    </row>
    <row r="48" spans="1:7" ht="14" customHeight="1">
      <c r="A48" s="1" t="str">
        <f>CONCATENATE("Year: ",'MMW Output'!$C$16)</f>
        <v>Year: User Specified</v>
      </c>
      <c r="B48" s="42"/>
      <c r="C48" s="43"/>
      <c r="D48" s="40"/>
    </row>
    <row r="49" spans="1:7" ht="11" customHeight="1">
      <c r="B49" s="42"/>
      <c r="C49" s="43"/>
      <c r="D49" s="40"/>
    </row>
    <row r="50" spans="1:7" ht="51" customHeight="1">
      <c r="A50" s="459" t="s">
        <v>185</v>
      </c>
      <c r="B50" s="459"/>
      <c r="C50" s="459"/>
      <c r="D50" s="459"/>
      <c r="E50" s="459"/>
      <c r="F50" s="459"/>
      <c r="G50" s="459"/>
    </row>
    <row r="51" spans="1:7" ht="6" customHeight="1">
      <c r="C51" s="41"/>
    </row>
    <row r="52" spans="1:7">
      <c r="B52" s="44" t="s">
        <v>68</v>
      </c>
      <c r="C52" s="66" t="s">
        <v>32</v>
      </c>
      <c r="D52" s="66" t="s">
        <v>69</v>
      </c>
    </row>
    <row r="53" spans="1:7">
      <c r="B53" s="120" t="s">
        <v>52</v>
      </c>
      <c r="C53" s="160">
        <f>+C24+C27</f>
        <v>2000</v>
      </c>
      <c r="D53" s="156">
        <f>+C53/C$56</f>
        <v>0.84287200832466169</v>
      </c>
      <c r="E53" s="71" t="s">
        <v>84</v>
      </c>
      <c r="F53" s="55"/>
      <c r="G53" s="37"/>
    </row>
    <row r="54" spans="1:7">
      <c r="B54" s="149" t="s">
        <v>53</v>
      </c>
      <c r="C54" s="161">
        <f>+C25+C28</f>
        <v>293.82716049382714</v>
      </c>
      <c r="D54" s="157">
        <f>+C54/C$56</f>
        <v>0.12382934443288239</v>
      </c>
      <c r="E54" s="73" t="s">
        <v>85</v>
      </c>
      <c r="F54" s="54"/>
      <c r="G54" s="36"/>
    </row>
    <row r="55" spans="1:7" ht="14" thickBot="1">
      <c r="B55" s="150" t="s">
        <v>54</v>
      </c>
      <c r="C55" s="164">
        <f>+C26+C29</f>
        <v>79.012345679012341</v>
      </c>
      <c r="D55" s="177">
        <f>+C55/C$56</f>
        <v>3.3298647242455771E-2</v>
      </c>
      <c r="E55" s="71" t="s">
        <v>86</v>
      </c>
      <c r="F55" s="55"/>
      <c r="G55" s="37"/>
    </row>
    <row r="56" spans="1:7">
      <c r="B56" s="56" t="s">
        <v>55</v>
      </c>
      <c r="C56" s="176">
        <f>+C53+C54+C55</f>
        <v>2372.8395061728397</v>
      </c>
      <c r="D56" s="178">
        <f>+C56/C$56</f>
        <v>1</v>
      </c>
      <c r="E56" s="48" t="s">
        <v>87</v>
      </c>
    </row>
    <row r="57" spans="1:7" ht="6.5" customHeight="1"/>
    <row r="59" spans="1:7">
      <c r="A59" s="1" t="s">
        <v>154</v>
      </c>
    </row>
    <row r="60" spans="1:7">
      <c r="B60" s="1" t="s">
        <v>312</v>
      </c>
    </row>
    <row r="61" spans="1:7">
      <c r="B61" s="1" t="s">
        <v>313</v>
      </c>
    </row>
    <row r="62" spans="1:7" ht="8" customHeight="1"/>
    <row r="63" spans="1:7">
      <c r="B63" s="1" t="s">
        <v>153</v>
      </c>
      <c r="C63" s="99">
        <f>C36</f>
        <v>813.64499999999998</v>
      </c>
      <c r="D63" s="1" t="s">
        <v>50</v>
      </c>
      <c r="E63" s="48" t="s">
        <v>66</v>
      </c>
    </row>
    <row r="64" spans="1:7">
      <c r="B64" s="1" t="s">
        <v>59</v>
      </c>
      <c r="C64" s="98">
        <f>+C56</f>
        <v>2372.8395061728397</v>
      </c>
      <c r="D64" s="1" t="s">
        <v>32</v>
      </c>
      <c r="E64" s="48" t="s">
        <v>65</v>
      </c>
    </row>
    <row r="65" spans="1:7" ht="13.25" customHeight="1">
      <c r="B65" s="1" t="s">
        <v>118</v>
      </c>
      <c r="C65" s="98">
        <f>+C41</f>
        <v>4469.1358024691353</v>
      </c>
      <c r="D65" s="1" t="s">
        <v>32</v>
      </c>
      <c r="E65" s="48" t="s">
        <v>67</v>
      </c>
    </row>
    <row r="66" spans="1:7" ht="25.25" customHeight="1">
      <c r="B66" s="151" t="s">
        <v>101</v>
      </c>
      <c r="C66" s="47">
        <f>+C64/C65</f>
        <v>0.53093922651933712</v>
      </c>
      <c r="D66" s="48" t="s">
        <v>121</v>
      </c>
      <c r="E66" s="1" t="str">
        <f>CONCATENATE("[ ",ROUND(C64,2)," acres / ",ROUND(C65,2)," acres ]")</f>
        <v>[ 2372.84 acres / 4469.14 acres ]</v>
      </c>
    </row>
    <row r="67" spans="1:7" ht="7.25" customHeight="1"/>
    <row r="68" spans="1:7" ht="42" customHeight="1">
      <c r="A68" s="61"/>
      <c r="B68" s="9" t="s">
        <v>325</v>
      </c>
      <c r="C68" s="101">
        <f>+C63*C66*0.75</f>
        <v>323.99703522099452</v>
      </c>
      <c r="D68" s="1" t="s">
        <v>122</v>
      </c>
      <c r="E68" s="1" t="str">
        <f>CONCATENATE("[ 75% x ",ROUND(C63,2)," pounds x ",ROUND(C66*100,0),"% ]")</f>
        <v>[ 75% x 813.65 pounds x 53% ]</v>
      </c>
    </row>
    <row r="69" spans="1:7" ht="27" thickBot="1">
      <c r="A69" s="61"/>
      <c r="B69" s="152" t="s">
        <v>326</v>
      </c>
      <c r="C69" s="153">
        <f>+C63*0.25</f>
        <v>203.41125</v>
      </c>
      <c r="D69" s="154" t="s">
        <v>122</v>
      </c>
      <c r="E69" s="1" t="str">
        <f>CONCATENATE("[ 25% x ",ROUND(C63,2)," pounds ]")</f>
        <v>[ 25% x 813.65 pounds ]</v>
      </c>
    </row>
    <row r="70" spans="1:7" ht="29" customHeight="1">
      <c r="B70" s="155" t="s">
        <v>97</v>
      </c>
      <c r="C70" s="102">
        <f>+C69+C68</f>
        <v>527.40828522099446</v>
      </c>
      <c r="D70" s="62" t="s">
        <v>50</v>
      </c>
    </row>
    <row r="71" spans="1:7" ht="6.5" customHeight="1"/>
    <row r="72" spans="1:7" ht="8.5" customHeight="1"/>
    <row r="73" spans="1:7" ht="42" customHeight="1">
      <c r="A73" s="459" t="s">
        <v>155</v>
      </c>
      <c r="B73" s="459"/>
      <c r="C73" s="459"/>
      <c r="D73" s="459"/>
      <c r="E73" s="459"/>
      <c r="F73" s="459"/>
      <c r="G73" s="459"/>
    </row>
    <row r="74" spans="1:7" ht="6" customHeight="1"/>
    <row r="75" spans="1:7">
      <c r="B75" s="38" t="s">
        <v>123</v>
      </c>
    </row>
    <row r="76" spans="1:7" ht="12.75" customHeight="1">
      <c r="B76" s="120" t="s">
        <v>52</v>
      </c>
      <c r="C76" s="158">
        <v>0.15</v>
      </c>
    </row>
    <row r="77" spans="1:7">
      <c r="B77" s="149" t="s">
        <v>53</v>
      </c>
      <c r="C77" s="159">
        <v>0.52</v>
      </c>
    </row>
    <row r="78" spans="1:7">
      <c r="B78" s="120" t="s">
        <v>54</v>
      </c>
      <c r="C78" s="158">
        <v>0.87</v>
      </c>
    </row>
    <row r="79" spans="1:7" ht="6" customHeight="1"/>
    <row r="80" spans="1:7" ht="11.5" customHeight="1"/>
    <row r="81" spans="1:7" ht="24.5" customHeight="1">
      <c r="A81" s="459" t="s">
        <v>127</v>
      </c>
      <c r="B81" s="459"/>
      <c r="C81" s="459"/>
      <c r="D81" s="459"/>
      <c r="E81" s="459"/>
      <c r="F81" s="459"/>
      <c r="G81" s="459"/>
    </row>
    <row r="82" spans="1:7" ht="6" customHeight="1"/>
    <row r="83" spans="1:7">
      <c r="B83" s="38" t="s">
        <v>56</v>
      </c>
    </row>
    <row r="84" spans="1:7">
      <c r="B84" s="96" t="s">
        <v>52</v>
      </c>
      <c r="C84" s="160">
        <f>+C53*C76</f>
        <v>300</v>
      </c>
      <c r="D84" s="55" t="s">
        <v>125</v>
      </c>
      <c r="E84" s="179" t="str">
        <f>CONCATENATE(" [ ",ROUND(C53,2)," acres x ",C76*100," percent ]")</f>
        <v xml:space="preserve"> [ 2000 acres x 15 percent ]</v>
      </c>
      <c r="F84" s="55"/>
      <c r="G84" s="37"/>
    </row>
    <row r="85" spans="1:7">
      <c r="B85" s="74" t="s">
        <v>53</v>
      </c>
      <c r="C85" s="161">
        <f>+C54*C77</f>
        <v>152.79012345679013</v>
      </c>
      <c r="D85" s="54" t="s">
        <v>125</v>
      </c>
      <c r="E85" s="180" t="str">
        <f>CONCATENATE(" [ ",ROUND(C54,2)," acres x ",C77*100," percent ]")</f>
        <v xml:space="preserve"> [ 293.83 acres x 52 percent ]</v>
      </c>
      <c r="F85" s="54"/>
      <c r="G85" s="36"/>
    </row>
    <row r="86" spans="1:7" ht="14" thickBot="1">
      <c r="B86" s="163" t="s">
        <v>54</v>
      </c>
      <c r="C86" s="164">
        <f>+C55*C78</f>
        <v>68.740740740740733</v>
      </c>
      <c r="D86" s="181" t="s">
        <v>125</v>
      </c>
      <c r="E86" s="179" t="str">
        <f>CONCATENATE(" [ ",ROUND(C55,2)," acres x ",C78*100," percent ]")</f>
        <v xml:space="preserve"> [ 79.01 acres x 87 percent ]</v>
      </c>
      <c r="F86" s="55"/>
      <c r="G86" s="37"/>
    </row>
    <row r="87" spans="1:7" ht="29" customHeight="1">
      <c r="B87" s="12" t="s">
        <v>126</v>
      </c>
      <c r="C87" s="162">
        <f>+C84+C85+C86</f>
        <v>521.53086419753083</v>
      </c>
      <c r="D87" s="1" t="s">
        <v>32</v>
      </c>
    </row>
    <row r="88" spans="1:7" ht="6" customHeight="1"/>
    <row r="90" spans="1:7">
      <c r="A90" s="1" t="s">
        <v>178</v>
      </c>
    </row>
    <row r="91" spans="1:7" ht="6" customHeight="1"/>
    <row r="92" spans="1:7">
      <c r="A92" s="1" t="str">
        <f>CONCATENATE("Watershed: ",'MMW Output'!$B$3)</f>
        <v>Watershed: User Specified</v>
      </c>
    </row>
    <row r="93" spans="1:7" ht="6" customHeight="1"/>
    <row r="94" spans="1:7">
      <c r="A94" s="1" t="str">
        <f>CONCATENATE("Year: ",'MMW Output'!$C$16)</f>
        <v>Year: User Specified</v>
      </c>
    </row>
    <row r="96" spans="1:7">
      <c r="A96" s="1" t="s">
        <v>128</v>
      </c>
    </row>
    <row r="97" spans="1:7" ht="6" customHeight="1"/>
    <row r="98" spans="1:7">
      <c r="B98" s="38" t="s">
        <v>57</v>
      </c>
    </row>
    <row r="99" spans="1:7">
      <c r="B99" s="120" t="s">
        <v>52</v>
      </c>
      <c r="C99" s="158">
        <f>+C84/(C$84+C$85+C$86)</f>
        <v>0.57522961840734788</v>
      </c>
      <c r="D99" s="165" t="s">
        <v>129</v>
      </c>
      <c r="E99" s="179" t="str">
        <f>CONCATENATE(" [ ",ROUND(C84,2)," acres / ",ROUND(C87,2)," acres ]")</f>
        <v xml:space="preserve"> [ 300 acres / 521.53 acres ]</v>
      </c>
      <c r="F99" s="55"/>
      <c r="G99" s="37"/>
    </row>
    <row r="100" spans="1:7">
      <c r="B100" s="149" t="s">
        <v>53</v>
      </c>
      <c r="C100" s="159">
        <f>+C85/(C$84+C$85+C$86)</f>
        <v>0.29296468137486981</v>
      </c>
      <c r="D100" s="166" t="s">
        <v>129</v>
      </c>
      <c r="E100" s="180" t="str">
        <f>CONCATENATE(" [ ",ROUND(C85,2)," acres / ",ROUND(C87,2)," acres ]")</f>
        <v xml:space="preserve"> [ 152.79 acres / 521.53 acres ]</v>
      </c>
      <c r="F100" s="54"/>
      <c r="G100" s="36"/>
    </row>
    <row r="101" spans="1:7" ht="14" thickBot="1">
      <c r="B101" s="150" t="s">
        <v>54</v>
      </c>
      <c r="C101" s="182">
        <f>+C86/(C$84+C$85+C$86)</f>
        <v>0.1318057002177824</v>
      </c>
      <c r="D101" s="165" t="s">
        <v>129</v>
      </c>
      <c r="E101" s="179" t="str">
        <f>CONCATENATE(" [ ",ROUND(C86,2)," acres / ",ROUND(C87,2)," acres ]")</f>
        <v xml:space="preserve"> [ 68.74 acres / 521.53 acres ]</v>
      </c>
      <c r="F101" s="55"/>
      <c r="G101" s="37"/>
    </row>
    <row r="102" spans="1:7">
      <c r="B102" s="1" t="s">
        <v>55</v>
      </c>
      <c r="C102" s="183">
        <f>+C99+C100+C101</f>
        <v>1</v>
      </c>
    </row>
    <row r="103" spans="1:7" ht="7.25" customHeight="1"/>
    <row r="104" spans="1:7" ht="13.25" customHeight="1"/>
    <row r="105" spans="1:7" ht="24" customHeight="1">
      <c r="A105" s="459" t="s">
        <v>315</v>
      </c>
      <c r="B105" s="459"/>
      <c r="C105" s="459"/>
      <c r="D105" s="459"/>
      <c r="E105" s="459"/>
      <c r="F105" s="459"/>
      <c r="G105" s="459"/>
    </row>
    <row r="106" spans="1:7" ht="6" customHeight="1"/>
    <row r="107" spans="1:7" ht="25.5" customHeight="1">
      <c r="B107" s="230" t="s">
        <v>97</v>
      </c>
      <c r="C107" s="100">
        <f>+C70</f>
        <v>527.40828522099446</v>
      </c>
      <c r="D107" s="1" t="s">
        <v>130</v>
      </c>
      <c r="E107" s="48" t="s">
        <v>88</v>
      </c>
    </row>
    <row r="108" spans="1:7" ht="25.5" customHeight="1">
      <c r="B108" s="236" t="s">
        <v>318</v>
      </c>
      <c r="C108" s="101">
        <f>+C68</f>
        <v>323.99703522099452</v>
      </c>
      <c r="D108" s="1" t="s">
        <v>130</v>
      </c>
      <c r="E108" s="48" t="s">
        <v>88</v>
      </c>
    </row>
    <row r="109" spans="1:7" ht="25.5" customHeight="1">
      <c r="B109" s="236" t="s">
        <v>314</v>
      </c>
      <c r="C109" s="101">
        <f>+C69</f>
        <v>203.41125</v>
      </c>
      <c r="D109" s="1" t="s">
        <v>130</v>
      </c>
      <c r="E109" s="48" t="s">
        <v>88</v>
      </c>
    </row>
    <row r="110" spans="1:7" ht="6" customHeight="1"/>
    <row r="111" spans="1:7" ht="13.25" customHeight="1"/>
    <row r="112" spans="1:7" ht="14" customHeight="1">
      <c r="A112" s="459" t="s">
        <v>145</v>
      </c>
      <c r="B112" s="459"/>
      <c r="C112" s="459"/>
      <c r="D112" s="459"/>
      <c r="E112" s="459"/>
      <c r="F112" s="459"/>
      <c r="G112" s="459"/>
    </row>
    <row r="113" spans="1:7" ht="15" customHeight="1">
      <c r="A113" s="459" t="str">
        <f>CONCATENATE("multiplying the 'Percent of Total Impervious Surfaces' (Step 8) by ",ROUND(C109,2)," pounds (calculated in Step 9):")</f>
        <v>multiplying the 'Percent of Total Impervious Surfaces' (Step 8) by 203.41 pounds (calculated in Step 9):</v>
      </c>
      <c r="B113" s="459"/>
      <c r="C113" s="459"/>
      <c r="D113" s="459"/>
      <c r="E113" s="459"/>
      <c r="F113" s="459"/>
      <c r="G113" s="459"/>
    </row>
    <row r="114" spans="1:7" ht="6" customHeight="1">
      <c r="A114" s="236"/>
      <c r="B114" s="236"/>
      <c r="C114" s="236"/>
      <c r="D114" s="236"/>
      <c r="E114" s="236"/>
      <c r="F114" s="236"/>
      <c r="G114" s="236"/>
    </row>
    <row r="115" spans="1:7" ht="16.25" customHeight="1">
      <c r="B115" s="38" t="s">
        <v>156</v>
      </c>
      <c r="C115" s="12"/>
      <c r="D115" s="12"/>
      <c r="E115" s="12"/>
      <c r="F115" s="9"/>
    </row>
    <row r="116" spans="1:7">
      <c r="B116" s="120" t="s">
        <v>52</v>
      </c>
      <c r="C116" s="83">
        <f>C99*C$108</f>
        <v>186.37269093528474</v>
      </c>
      <c r="D116" s="470" t="str">
        <f>CONCATENATE("=   [ ",ROUND(C99*100,0)," % x ",ROUND(C$109,2)," pounds ]")</f>
        <v>=   [ 58 % x 203.41 pounds ]</v>
      </c>
      <c r="E116" s="471"/>
      <c r="F116" s="471"/>
      <c r="G116" s="471"/>
    </row>
    <row r="117" spans="1:7">
      <c r="B117" s="149" t="s">
        <v>53</v>
      </c>
      <c r="C117" s="84">
        <f>C100*C$108</f>
        <v>94.919688189921132</v>
      </c>
      <c r="D117" s="472" t="str">
        <f>CONCATENATE("=   [ ",ROUND(C100*100,0)," % x ",ROUND(C$109,2)," pounds ]")</f>
        <v>=   [ 29 % x 203.41 pounds ]</v>
      </c>
      <c r="E117" s="473"/>
      <c r="F117" s="473"/>
      <c r="G117" s="473"/>
    </row>
    <row r="118" spans="1:7">
      <c r="B118" s="120" t="s">
        <v>54</v>
      </c>
      <c r="C118" s="83">
        <f>C101*C$108</f>
        <v>42.704656095788692</v>
      </c>
      <c r="D118" s="470" t="str">
        <f>CONCATENATE("=   [ ",ROUND(C101*100,0)," % x ",ROUND(C$109,2)," pounds ]")</f>
        <v>=   [ 13 % x 203.41 pounds ]</v>
      </c>
      <c r="E118" s="471"/>
      <c r="F118" s="471"/>
      <c r="G118" s="471"/>
    </row>
    <row r="119" spans="1:7" ht="6" customHeight="1">
      <c r="C119" s="50"/>
    </row>
    <row r="121" spans="1:7">
      <c r="A121" s="459" t="s">
        <v>133</v>
      </c>
      <c r="B121" s="459"/>
      <c r="C121" s="459"/>
      <c r="D121" s="459"/>
      <c r="E121" s="459"/>
      <c r="F121" s="459"/>
      <c r="G121" s="459"/>
    </row>
    <row r="122" spans="1:7">
      <c r="A122" s="459" t="str">
        <f>CONCATENATE("the 'Percent of Area of Developed Lands' (from Step 4) by ",ROUND(C108,2)," pounds (calculated in Step 9):")</f>
        <v>the 'Percent of Area of Developed Lands' (from Step 4) by 324 pounds (calculated in Step 9):</v>
      </c>
      <c r="B122" s="459"/>
      <c r="C122" s="459"/>
      <c r="D122" s="459"/>
      <c r="E122" s="459"/>
      <c r="F122" s="459"/>
      <c r="G122" s="459"/>
    </row>
    <row r="123" spans="1:7" ht="6" customHeight="1"/>
    <row r="124" spans="1:7" ht="17" customHeight="1">
      <c r="B124" s="38" t="s">
        <v>157</v>
      </c>
      <c r="C124" s="12"/>
      <c r="D124" s="12"/>
      <c r="E124" s="12"/>
    </row>
    <row r="125" spans="1:7">
      <c r="B125" s="120" t="s">
        <v>52</v>
      </c>
      <c r="C125" s="83">
        <f>C53/C$56*C$109</f>
        <v>171.44964880332984</v>
      </c>
      <c r="D125" s="470" t="str">
        <f>CONCATENATE("=   [ ",ROUND(D53*100,0)," % x ",ROUND(C$108,2)," pounds ]")</f>
        <v>=   [ 84 % x 324 pounds ]</v>
      </c>
      <c r="E125" s="471"/>
      <c r="F125" s="471"/>
      <c r="G125" s="471"/>
    </row>
    <row r="126" spans="1:7">
      <c r="B126" s="149" t="s">
        <v>53</v>
      </c>
      <c r="C126" s="84">
        <f>C54/C$56*C$109</f>
        <v>25.188281737773149</v>
      </c>
      <c r="D126" s="472" t="str">
        <f>CONCATENATE("=   [ ",ROUND(D54*100,0)," % x ",ROUND(C$108,2)," pounds ]")</f>
        <v>=   [ 12 % x 324 pounds ]</v>
      </c>
      <c r="E126" s="473"/>
      <c r="F126" s="473"/>
      <c r="G126" s="473"/>
    </row>
    <row r="127" spans="1:7">
      <c r="B127" s="120" t="s">
        <v>54</v>
      </c>
      <c r="C127" s="83">
        <f>C55/C$56*C$109</f>
        <v>6.7733194588969816</v>
      </c>
      <c r="D127" s="470" t="str">
        <f>CONCATENATE("=   [ ",ROUND(D55*100,0)," % x ",ROUND(C$108,2)," pounds ]  ")</f>
        <v xml:space="preserve">=   [ 3 % x 324 pounds ]  </v>
      </c>
      <c r="E127" s="471"/>
      <c r="F127" s="471"/>
      <c r="G127" s="471"/>
    </row>
    <row r="128" spans="1:7" ht="7.25" customHeight="1"/>
    <row r="130" spans="1:13" ht="26.5" customHeight="1">
      <c r="A130" s="459" t="s">
        <v>134</v>
      </c>
      <c r="B130" s="459"/>
      <c r="C130" s="459"/>
      <c r="D130" s="459"/>
      <c r="E130" s="459"/>
      <c r="F130" s="459"/>
      <c r="G130" s="459"/>
    </row>
    <row r="131" spans="1:13" ht="6" customHeight="1"/>
    <row r="132" spans="1:13" ht="16.25" customHeight="1">
      <c r="B132" s="38" t="s">
        <v>158</v>
      </c>
      <c r="C132" s="167"/>
      <c r="D132" s="167"/>
      <c r="E132" s="12"/>
      <c r="F132" s="12"/>
      <c r="G132" s="12"/>
      <c r="H132" s="12"/>
      <c r="I132" s="12"/>
      <c r="J132" s="12"/>
      <c r="K132" s="12"/>
      <c r="L132" s="13"/>
      <c r="M132" s="65"/>
    </row>
    <row r="133" spans="1:13">
      <c r="B133" s="120" t="s">
        <v>52</v>
      </c>
      <c r="C133" s="55">
        <f>+C116+C125</f>
        <v>357.82233973861457</v>
      </c>
      <c r="D133" s="96" t="str">
        <f>CONCATENATE("   =   [ ",ROUND(C116,2)," pounds + ",ROUND(C125,2)," pounds ]")</f>
        <v xml:space="preserve">   =   [ 186.37 pounds + 171.45 pounds ]</v>
      </c>
      <c r="E133" s="37"/>
      <c r="F133" s="55"/>
      <c r="G133" s="37"/>
      <c r="I133" s="46"/>
      <c r="J133" s="46"/>
      <c r="K133" s="49"/>
      <c r="M133" s="51"/>
    </row>
    <row r="134" spans="1:13">
      <c r="B134" s="149" t="s">
        <v>53</v>
      </c>
      <c r="C134" s="54">
        <f>+C117+C126</f>
        <v>120.10796992769428</v>
      </c>
      <c r="D134" s="74" t="str">
        <f>CONCATENATE("   =   [ ",ROUND(C117,2)," pounds + ",ROUND(C126,2)," pounds ]")</f>
        <v xml:space="preserve">   =   [ 94.92 pounds + 25.19 pounds ]</v>
      </c>
      <c r="E134" s="36"/>
      <c r="F134" s="54"/>
      <c r="G134" s="36"/>
      <c r="I134" s="46"/>
      <c r="J134" s="46"/>
      <c r="K134" s="49"/>
      <c r="M134" s="51"/>
    </row>
    <row r="135" spans="1:13">
      <c r="B135" s="120" t="s">
        <v>54</v>
      </c>
      <c r="C135" s="55">
        <f>+C118+C127</f>
        <v>49.477975554685671</v>
      </c>
      <c r="D135" s="96" t="str">
        <f>CONCATENATE("   =   [ ",ROUND(C118,2)," pounds + ",ROUND(C127,2)," pounds ]")</f>
        <v xml:space="preserve">   =   [ 42.7 pounds + 6.77 pounds ]</v>
      </c>
      <c r="E135" s="37"/>
      <c r="F135" s="55"/>
      <c r="G135" s="37"/>
      <c r="I135" s="46"/>
      <c r="J135" s="46"/>
      <c r="K135" s="49"/>
      <c r="M135" s="51"/>
    </row>
    <row r="136" spans="1:13" ht="7.25" customHeight="1">
      <c r="M136" s="50"/>
    </row>
    <row r="139" spans="1:13">
      <c r="A139" s="1" t="s">
        <v>177</v>
      </c>
    </row>
    <row r="140" spans="1:13" ht="6" customHeight="1"/>
    <row r="141" spans="1:13">
      <c r="A141" s="1" t="str">
        <f>CONCATENATE("Watershed: ",'MMW Output'!$B$3)</f>
        <v>Watershed: User Specified</v>
      </c>
    </row>
    <row r="142" spans="1:13" ht="6" customHeight="1"/>
    <row r="143" spans="1:13">
      <c r="A143" s="1" t="str">
        <f>CONCATENATE("Year: ",'MMW Output'!$C$16)</f>
        <v>Year: User Specified</v>
      </c>
    </row>
    <row r="145" spans="1:7" ht="28.25" customHeight="1">
      <c r="A145" s="459" t="s">
        <v>139</v>
      </c>
      <c r="B145" s="459"/>
      <c r="C145" s="459"/>
      <c r="D145" s="459"/>
      <c r="E145" s="459"/>
      <c r="F145" s="459"/>
      <c r="G145" s="459"/>
    </row>
    <row r="146" spans="1:7" ht="8.5" customHeight="1"/>
    <row r="147" spans="1:7" ht="53.5" customHeight="1">
      <c r="A147" s="475" t="s">
        <v>162</v>
      </c>
      <c r="B147" s="475"/>
      <c r="C147" s="231" t="s">
        <v>50</v>
      </c>
      <c r="D147" s="168" t="s">
        <v>70</v>
      </c>
      <c r="E147" s="474" t="s">
        <v>161</v>
      </c>
      <c r="F147" s="474"/>
    </row>
    <row r="148" spans="1:7">
      <c r="B148" s="169" t="s">
        <v>52</v>
      </c>
      <c r="C148" s="55">
        <f>+C133</f>
        <v>357.82233973861457</v>
      </c>
      <c r="D148" s="55">
        <f>+C53</f>
        <v>2000</v>
      </c>
      <c r="E148" s="218">
        <f>+C148/D148</f>
        <v>0.17891116986930727</v>
      </c>
      <c r="F148" s="96" t="str">
        <f>CONCATENATE("= [",ROUND(C148,2)," lbs / ",(ROUND(D148,2))," acres ]")</f>
        <v>= [357.82 lbs / 2000 acres ]</v>
      </c>
      <c r="G148" s="37"/>
    </row>
    <row r="149" spans="1:7">
      <c r="B149" s="170" t="s">
        <v>53</v>
      </c>
      <c r="C149" s="54">
        <f>+C134</f>
        <v>120.10796992769428</v>
      </c>
      <c r="D149" s="54">
        <f>+C54</f>
        <v>293.82716049382714</v>
      </c>
      <c r="E149" s="219">
        <f>+C149/D149</f>
        <v>0.40877082202282511</v>
      </c>
      <c r="F149" s="74" t="str">
        <f>CONCATENATE("= [",ROUND(C149,2)," lbs / ",(ROUND(D149,2))," acres ]")</f>
        <v>= [120.11 lbs / 293.83 acres ]</v>
      </c>
      <c r="G149" s="36"/>
    </row>
    <row r="150" spans="1:7">
      <c r="B150" s="169" t="s">
        <v>54</v>
      </c>
      <c r="C150" s="55">
        <f>+C135</f>
        <v>49.477975554685671</v>
      </c>
      <c r="D150" s="55">
        <f>+C55</f>
        <v>79.012345679012341</v>
      </c>
      <c r="E150" s="218">
        <f>+C150/D150</f>
        <v>0.6262056281139905</v>
      </c>
      <c r="F150" s="96" t="str">
        <f>CONCATENATE("= [",ROUND(C150,2)," lbs / ",(ROUND(D150,2))," acres ]")</f>
        <v>= [49.48 lbs / 79.01 acres ]</v>
      </c>
      <c r="G150" s="37"/>
    </row>
    <row r="151" spans="1:7" ht="6" customHeight="1"/>
    <row r="152" spans="1:7" ht="7.25" customHeight="1"/>
    <row r="154" spans="1:7">
      <c r="A154" s="1" t="s">
        <v>140</v>
      </c>
    </row>
    <row r="155" spans="1:7" ht="6" customHeight="1"/>
    <row r="156" spans="1:7">
      <c r="B156" s="1" t="s">
        <v>60</v>
      </c>
      <c r="C156" s="101">
        <f>+C36</f>
        <v>813.64499999999998</v>
      </c>
      <c r="D156" s="1" t="s">
        <v>130</v>
      </c>
      <c r="E156" s="48" t="s">
        <v>89</v>
      </c>
    </row>
    <row r="157" spans="1:7" ht="29.5" customHeight="1">
      <c r="B157" s="238" t="s">
        <v>159</v>
      </c>
      <c r="C157" s="104">
        <f>+C70</f>
        <v>527.40828522099446</v>
      </c>
      <c r="D157" s="45" t="s">
        <v>130</v>
      </c>
      <c r="E157" s="48" t="s">
        <v>90</v>
      </c>
    </row>
    <row r="158" spans="1:7" ht="26">
      <c r="B158" s="9" t="s">
        <v>61</v>
      </c>
      <c r="C158" s="100">
        <f>+C156-C157</f>
        <v>286.23671477900552</v>
      </c>
      <c r="D158" s="1" t="s">
        <v>130</v>
      </c>
      <c r="E158" s="171" t="str">
        <f>CONCATENATE(" [ ",ROUND(C156,2)," pounds - ",ROUND(C157,2)," pounds ]")</f>
        <v xml:space="preserve"> [ 813.65 pounds - 527.41 pounds ]</v>
      </c>
    </row>
    <row r="159" spans="1:7" ht="8.5" customHeight="1"/>
    <row r="160" spans="1:7">
      <c r="B160" s="1" t="s">
        <v>62</v>
      </c>
      <c r="C160" s="103">
        <f>+C41-C56</f>
        <v>2096.2962962962956</v>
      </c>
      <c r="D160" s="1" t="s">
        <v>137</v>
      </c>
      <c r="E160" s="48" t="s">
        <v>91</v>
      </c>
    </row>
    <row r="161" spans="1:7" ht="9" customHeight="1"/>
    <row r="162" spans="1:7" ht="39">
      <c r="B162" s="68" t="s">
        <v>160</v>
      </c>
      <c r="C162" s="89">
        <f>+C158/C160</f>
        <v>0.13654401588397794</v>
      </c>
      <c r="D162" s="68" t="s">
        <v>63</v>
      </c>
      <c r="E162" s="1" t="str">
        <f>CONCATENATE("=  [ ",ROUND(C158,2)," pounds / ",ROUND(C160,2)," acres ]")</f>
        <v>=  [ 286.24 pounds / 2096.3 acres ]</v>
      </c>
    </row>
    <row r="163" spans="1:7" ht="8" customHeight="1"/>
    <row r="165" spans="1:7" ht="51" customHeight="1">
      <c r="A165" s="459" t="s">
        <v>186</v>
      </c>
      <c r="B165" s="459"/>
      <c r="C165" s="459"/>
      <c r="D165" s="459"/>
      <c r="E165" s="459"/>
      <c r="F165" s="459"/>
      <c r="G165" s="459"/>
    </row>
  </sheetData>
  <mergeCells count="25">
    <mergeCell ref="A165:G165"/>
    <mergeCell ref="D125:G125"/>
    <mergeCell ref="D126:G126"/>
    <mergeCell ref="D127:G127"/>
    <mergeCell ref="A130:G130"/>
    <mergeCell ref="A145:G145"/>
    <mergeCell ref="A147:B147"/>
    <mergeCell ref="E147:F147"/>
    <mergeCell ref="A122:G122"/>
    <mergeCell ref="A39:G39"/>
    <mergeCell ref="A50:G50"/>
    <mergeCell ref="A73:G73"/>
    <mergeCell ref="A81:G81"/>
    <mergeCell ref="A105:G105"/>
    <mergeCell ref="A112:G112"/>
    <mergeCell ref="A113:G113"/>
    <mergeCell ref="D116:G116"/>
    <mergeCell ref="D117:G117"/>
    <mergeCell ref="D118:G118"/>
    <mergeCell ref="A121:G121"/>
    <mergeCell ref="A7:F7"/>
    <mergeCell ref="A8:G8"/>
    <mergeCell ref="A11:G11"/>
    <mergeCell ref="A14:A29"/>
    <mergeCell ref="A33:G33"/>
  </mergeCells>
  <phoneticPr fontId="47" type="noConversion"/>
  <pageMargins left="0.75" right="0.59718749999999998" top="0.5" bottom="0.75" header="0.3" footer="0.3"/>
  <pageSetup fitToWidth="0" fitToHeight="0" orientation="portrait" r:id="rId1"/>
  <headerFooter>
    <oddFooter>&amp;L&amp;"Arial,Regular"&amp;9Section 7: Backup for Stream Bank Total Nitrogen L'ding&amp;C&amp;"Arial,Regular"&amp;9Page &amp;P of &amp;N&amp;R&amp;"Arial,Regular"&amp;9Christina Basin Loading Rates Tool (May 5, 2017)</oddFooter>
  </headerFooter>
  <rowBreaks count="3" manualBreakCount="3">
    <brk id="42" max="16383" man="1"/>
    <brk id="88" max="16383" man="1"/>
    <brk id="137"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65"/>
  <sheetViews>
    <sheetView zoomScale="120" zoomScaleNormal="120" zoomScaleSheetLayoutView="80" workbookViewId="0">
      <selection activeCell="H1" sqref="H1"/>
    </sheetView>
  </sheetViews>
  <sheetFormatPr baseColWidth="10" defaultColWidth="8.83203125" defaultRowHeight="13"/>
  <cols>
    <col min="1" max="1" width="2.6640625" style="1" customWidth="1"/>
    <col min="2" max="2" width="25" style="1" customWidth="1"/>
    <col min="3" max="3" width="16.33203125" style="1" customWidth="1"/>
    <col min="4" max="4" width="9.83203125" style="1" customWidth="1"/>
    <col min="5" max="5" width="9.5" style="1" customWidth="1"/>
    <col min="6" max="6" width="9.83203125" style="1" customWidth="1"/>
    <col min="7" max="7" width="16.5" style="1" customWidth="1"/>
    <col min="8" max="8" width="5" style="1" customWidth="1"/>
    <col min="9" max="9" width="10.5" style="1" customWidth="1"/>
    <col min="10" max="10" width="8.83203125" style="1"/>
    <col min="11" max="11" width="10.1640625" style="1" bestFit="1" customWidth="1"/>
    <col min="12" max="12" width="3.5" style="1" customWidth="1"/>
    <col min="13" max="16384" width="8.83203125" style="1"/>
  </cols>
  <sheetData>
    <row r="1" spans="1:11" ht="14.5" customHeight="1">
      <c r="A1" s="215" t="s">
        <v>231</v>
      </c>
      <c r="B1" s="52"/>
    </row>
    <row r="2" spans="1:11" ht="6" customHeight="1"/>
    <row r="3" spans="1:11" ht="14.5" customHeight="1">
      <c r="A3" s="1" t="str">
        <f>CONCATENATE("Watershed: ",'MMW Output'!$B$3)</f>
        <v>Watershed: User Specified</v>
      </c>
    </row>
    <row r="4" spans="1:11" ht="6" customHeight="1"/>
    <row r="5" spans="1:11" ht="14.5" customHeight="1">
      <c r="A5" s="1" t="str">
        <f>CONCATENATE("Year: ",'MMW Output'!$C$16)</f>
        <v>Year: User Specified</v>
      </c>
    </row>
    <row r="6" spans="1:11" ht="11.5" customHeight="1"/>
    <row r="7" spans="1:11" ht="18.75" customHeight="1">
      <c r="A7" s="462" t="s">
        <v>248</v>
      </c>
      <c r="B7" s="462"/>
      <c r="C7" s="462"/>
      <c r="D7" s="462"/>
      <c r="E7" s="462"/>
      <c r="F7" s="462"/>
    </row>
    <row r="8" spans="1:11" ht="95" customHeight="1">
      <c r="A8" s="459" t="s">
        <v>249</v>
      </c>
      <c r="B8" s="459"/>
      <c r="C8" s="459"/>
      <c r="D8" s="459"/>
      <c r="E8" s="459"/>
      <c r="F8" s="459"/>
      <c r="G8" s="459"/>
    </row>
    <row r="9" spans="1:11" ht="8.5" customHeight="1"/>
    <row r="10" spans="1:11" ht="8.5" customHeight="1"/>
    <row r="11" spans="1:11" ht="27.5" customHeight="1">
      <c r="A11" s="459" t="s">
        <v>149</v>
      </c>
      <c r="B11" s="459"/>
      <c r="C11" s="459"/>
      <c r="D11" s="459"/>
      <c r="E11" s="459"/>
      <c r="F11" s="459"/>
      <c r="G11" s="459"/>
    </row>
    <row r="12" spans="1:11" ht="6" customHeight="1"/>
    <row r="13" spans="1:11">
      <c r="B13" s="57" t="s">
        <v>0</v>
      </c>
      <c r="C13" s="58" t="s">
        <v>51</v>
      </c>
      <c r="E13" s="237"/>
      <c r="F13" s="237"/>
      <c r="G13" s="237"/>
      <c r="K13" s="75"/>
    </row>
    <row r="14" spans="1:11" ht="13.25" customHeight="1">
      <c r="A14" s="485" t="s">
        <v>39</v>
      </c>
      <c r="B14" s="256" t="s">
        <v>71</v>
      </c>
      <c r="C14" s="257">
        <f>+'MMW Output'!C22</f>
        <v>1180.2469135802469</v>
      </c>
    </row>
    <row r="15" spans="1:11" ht="13.25" customHeight="1">
      <c r="A15" s="486"/>
      <c r="B15" s="258" t="s">
        <v>10</v>
      </c>
      <c r="C15" s="259">
        <f>+'MMW Output'!C23</f>
        <v>323.45679012345676</v>
      </c>
    </row>
    <row r="16" spans="1:11" ht="13.25" customHeight="1">
      <c r="A16" s="486"/>
      <c r="B16" s="260" t="s">
        <v>11</v>
      </c>
      <c r="C16" s="261">
        <f>+'MMW Output'!C24</f>
        <v>417.28395061728395</v>
      </c>
    </row>
    <row r="17" spans="1:3" ht="13.25" customHeight="1">
      <c r="A17" s="486"/>
      <c r="B17" s="258" t="s">
        <v>12</v>
      </c>
      <c r="C17" s="259">
        <f>+'MMW Output'!C25</f>
        <v>14.814814814814813</v>
      </c>
    </row>
    <row r="18" spans="1:3" ht="13.25" customHeight="1">
      <c r="A18" s="486"/>
      <c r="B18" s="260" t="s">
        <v>13</v>
      </c>
      <c r="C18" s="261">
        <f>+'MMW Output'!C26</f>
        <v>0</v>
      </c>
    </row>
    <row r="19" spans="1:3" ht="13.25" customHeight="1">
      <c r="A19" s="486"/>
      <c r="B19" s="258" t="s">
        <v>14</v>
      </c>
      <c r="C19" s="259">
        <f>+'MMW Output'!C27</f>
        <v>0</v>
      </c>
    </row>
    <row r="20" spans="1:3" ht="13.25" customHeight="1">
      <c r="A20" s="486"/>
      <c r="B20" s="260" t="s">
        <v>15</v>
      </c>
      <c r="C20" s="261">
        <f>+'MMW Output'!C28</f>
        <v>111.1111111111111</v>
      </c>
    </row>
    <row r="21" spans="1:3" ht="13.25" customHeight="1">
      <c r="A21" s="486"/>
      <c r="B21" s="258" t="s">
        <v>16</v>
      </c>
      <c r="C21" s="259">
        <f>+'MMW Output'!C29</f>
        <v>49.382716049382715</v>
      </c>
    </row>
    <row r="22" spans="1:3" ht="13.25" customHeight="1">
      <c r="A22" s="486"/>
      <c r="B22" s="260" t="s">
        <v>17</v>
      </c>
      <c r="C22" s="261">
        <f>+'MMW Output'!C30</f>
        <v>0</v>
      </c>
    </row>
    <row r="23" spans="1:3" ht="13.25" customHeight="1">
      <c r="A23" s="486"/>
      <c r="B23" s="258" t="s">
        <v>18</v>
      </c>
      <c r="C23" s="259">
        <f>+'MMW Output'!C31</f>
        <v>0</v>
      </c>
    </row>
    <row r="24" spans="1:3" ht="13.25" customHeight="1">
      <c r="A24" s="486"/>
      <c r="B24" s="260" t="s">
        <v>19</v>
      </c>
      <c r="C24" s="261">
        <f>+'MMW Output'!C32</f>
        <v>2000</v>
      </c>
    </row>
    <row r="25" spans="1:3" ht="13.25" customHeight="1">
      <c r="A25" s="486"/>
      <c r="B25" s="258" t="s">
        <v>20</v>
      </c>
      <c r="C25" s="259">
        <f>+'MMW Output'!C33</f>
        <v>293.82716049382714</v>
      </c>
    </row>
    <row r="26" spans="1:3" ht="13.25" customHeight="1">
      <c r="A26" s="486"/>
      <c r="B26" s="260" t="s">
        <v>21</v>
      </c>
      <c r="C26" s="261">
        <f>+'MMW Output'!C34</f>
        <v>79.012345679012341</v>
      </c>
    </row>
    <row r="27" spans="1:3" ht="13.25" customHeight="1">
      <c r="A27" s="486"/>
      <c r="B27" s="258" t="s">
        <v>22</v>
      </c>
      <c r="C27" s="259">
        <f>+'MMW Output'!C35</f>
        <v>0</v>
      </c>
    </row>
    <row r="28" spans="1:3" ht="13.25" customHeight="1">
      <c r="A28" s="486"/>
      <c r="B28" s="260" t="s">
        <v>23</v>
      </c>
      <c r="C28" s="261">
        <f>+'MMW Output'!C36</f>
        <v>0</v>
      </c>
    </row>
    <row r="29" spans="1:3" ht="13.25" customHeight="1">
      <c r="A29" s="487"/>
      <c r="B29" s="262" t="s">
        <v>24</v>
      </c>
      <c r="C29" s="263">
        <f>+'MMW Output'!C37</f>
        <v>0</v>
      </c>
    </row>
    <row r="30" spans="1:3" ht="6" customHeight="1">
      <c r="C30" s="147"/>
    </row>
    <row r="31" spans="1:3" ht="15.5" customHeight="1">
      <c r="B31" s="38" t="s">
        <v>144</v>
      </c>
      <c r="C31" s="148">
        <f>SUM(C14:C30)</f>
        <v>4469.1358024691353</v>
      </c>
    </row>
    <row r="32" spans="1:3" ht="17" customHeight="1"/>
    <row r="33" spans="1:7">
      <c r="A33" s="459" t="s">
        <v>163</v>
      </c>
      <c r="B33" s="459"/>
      <c r="C33" s="459"/>
      <c r="D33" s="459"/>
      <c r="E33" s="459"/>
      <c r="F33" s="459"/>
      <c r="G33" s="459"/>
    </row>
    <row r="34" spans="1:7" ht="6" customHeight="1">
      <c r="B34" s="42"/>
      <c r="C34" s="43"/>
      <c r="D34" s="40"/>
    </row>
    <row r="35" spans="1:7">
      <c r="B35" s="45"/>
      <c r="C35" s="53" t="s">
        <v>164</v>
      </c>
      <c r="D35" s="53"/>
    </row>
    <row r="36" spans="1:7">
      <c r="B36" s="55" t="s">
        <v>28</v>
      </c>
      <c r="C36" s="55">
        <f>+'MMW Output'!F40</f>
        <v>476.28000000000003</v>
      </c>
      <c r="D36" s="55" t="s">
        <v>50</v>
      </c>
    </row>
    <row r="37" spans="1:7" ht="6" customHeight="1">
      <c r="B37" s="42"/>
      <c r="D37" s="40"/>
    </row>
    <row r="38" spans="1:7" ht="17" customHeight="1">
      <c r="B38" s="42"/>
      <c r="C38" s="43"/>
      <c r="D38" s="40"/>
    </row>
    <row r="39" spans="1:7">
      <c r="A39" s="459" t="str">
        <f>CONCATENATE("Step 3. Sum the total acres in the ", 'MMW Output'!C15," watershed.")</f>
        <v>Step 3. Sum the total acres in the User Specified watershed.</v>
      </c>
      <c r="B39" s="459"/>
      <c r="C39" s="459"/>
      <c r="D39" s="459"/>
      <c r="E39" s="459"/>
      <c r="F39" s="459"/>
      <c r="G39" s="459"/>
    </row>
    <row r="40" spans="1:7" ht="6" customHeight="1">
      <c r="A40" s="236"/>
      <c r="B40" s="236"/>
      <c r="C40" s="236"/>
      <c r="D40" s="236"/>
      <c r="E40" s="236"/>
      <c r="F40" s="236"/>
      <c r="G40" s="236"/>
    </row>
    <row r="41" spans="1:7">
      <c r="B41" s="59" t="s">
        <v>118</v>
      </c>
      <c r="C41" s="97">
        <f>SUM(C14:C30)</f>
        <v>4469.1358024691353</v>
      </c>
      <c r="D41" s="56" t="s">
        <v>32</v>
      </c>
    </row>
    <row r="42" spans="1:7" ht="6" customHeight="1">
      <c r="B42" s="42"/>
      <c r="C42" s="43"/>
      <c r="D42" s="40"/>
    </row>
    <row r="43" spans="1:7" ht="4.25" customHeight="1">
      <c r="B43" s="42"/>
      <c r="C43" s="43"/>
      <c r="D43" s="40"/>
    </row>
    <row r="44" spans="1:7" ht="14.5" customHeight="1">
      <c r="A44" s="1" t="s">
        <v>174</v>
      </c>
      <c r="B44" s="42"/>
      <c r="C44" s="43"/>
      <c r="D44" s="40"/>
    </row>
    <row r="45" spans="1:7" ht="6" customHeight="1">
      <c r="B45" s="42"/>
      <c r="C45" s="43"/>
      <c r="D45" s="40"/>
    </row>
    <row r="46" spans="1:7" ht="14" customHeight="1">
      <c r="A46" s="1" t="str">
        <f>CONCATENATE("Watershed: ",'MMW Output'!$B$3)</f>
        <v>Watershed: User Specified</v>
      </c>
      <c r="B46" s="42"/>
      <c r="C46" s="43"/>
      <c r="D46" s="40"/>
    </row>
    <row r="47" spans="1:7" ht="6" customHeight="1">
      <c r="B47" s="42"/>
      <c r="C47" s="43"/>
      <c r="D47" s="40"/>
    </row>
    <row r="48" spans="1:7" ht="14" customHeight="1">
      <c r="A48" s="1" t="str">
        <f>CONCATENATE("Year: ",'MMW Output'!$C$16)</f>
        <v>Year: User Specified</v>
      </c>
      <c r="B48" s="42"/>
      <c r="C48" s="43"/>
      <c r="D48" s="40"/>
    </row>
    <row r="49" spans="1:7" ht="11" customHeight="1">
      <c r="B49" s="42"/>
      <c r="C49" s="43"/>
      <c r="D49" s="40"/>
    </row>
    <row r="50" spans="1:7" ht="51" customHeight="1">
      <c r="A50" s="459" t="s">
        <v>185</v>
      </c>
      <c r="B50" s="459"/>
      <c r="C50" s="459"/>
      <c r="D50" s="459"/>
      <c r="E50" s="459"/>
      <c r="F50" s="459"/>
      <c r="G50" s="459"/>
    </row>
    <row r="51" spans="1:7" ht="6" customHeight="1">
      <c r="C51" s="41"/>
    </row>
    <row r="52" spans="1:7">
      <c r="B52" s="44" t="s">
        <v>68</v>
      </c>
      <c r="C52" s="66" t="s">
        <v>32</v>
      </c>
      <c r="D52" s="66" t="s">
        <v>69</v>
      </c>
    </row>
    <row r="53" spans="1:7">
      <c r="B53" s="120" t="s">
        <v>52</v>
      </c>
      <c r="C53" s="160">
        <f>+C24+C27</f>
        <v>2000</v>
      </c>
      <c r="D53" s="156">
        <f>+C53/C$56</f>
        <v>0.84287200832466169</v>
      </c>
      <c r="E53" s="71" t="s">
        <v>84</v>
      </c>
      <c r="F53" s="55"/>
      <c r="G53" s="37"/>
    </row>
    <row r="54" spans="1:7">
      <c r="B54" s="149" t="s">
        <v>53</v>
      </c>
      <c r="C54" s="161">
        <f>+C25+C28</f>
        <v>293.82716049382714</v>
      </c>
      <c r="D54" s="157">
        <f>+C54/C$56</f>
        <v>0.12382934443288239</v>
      </c>
      <c r="E54" s="73" t="s">
        <v>85</v>
      </c>
      <c r="F54" s="54"/>
      <c r="G54" s="36"/>
    </row>
    <row r="55" spans="1:7" ht="14" thickBot="1">
      <c r="B55" s="150" t="s">
        <v>54</v>
      </c>
      <c r="C55" s="164">
        <f>+C26+C29</f>
        <v>79.012345679012341</v>
      </c>
      <c r="D55" s="177">
        <f>+C55/C$56</f>
        <v>3.3298647242455771E-2</v>
      </c>
      <c r="E55" s="71" t="s">
        <v>86</v>
      </c>
      <c r="F55" s="55"/>
      <c r="G55" s="37"/>
    </row>
    <row r="56" spans="1:7">
      <c r="B56" s="56" t="s">
        <v>55</v>
      </c>
      <c r="C56" s="176">
        <f>+C53+C54+C55</f>
        <v>2372.8395061728397</v>
      </c>
      <c r="D56" s="178">
        <f>+C56/C$56</f>
        <v>1</v>
      </c>
      <c r="E56" s="48" t="s">
        <v>87</v>
      </c>
    </row>
    <row r="57" spans="1:7" ht="6.5" customHeight="1"/>
    <row r="59" spans="1:7">
      <c r="A59" s="1" t="s">
        <v>173</v>
      </c>
    </row>
    <row r="60" spans="1:7">
      <c r="B60" s="1" t="s">
        <v>319</v>
      </c>
    </row>
    <row r="61" spans="1:7">
      <c r="B61" s="1" t="s">
        <v>320</v>
      </c>
    </row>
    <row r="62" spans="1:7" ht="8" customHeight="1"/>
    <row r="63" spans="1:7">
      <c r="B63" s="1" t="s">
        <v>172</v>
      </c>
      <c r="C63" s="99">
        <f>C36</f>
        <v>476.28000000000003</v>
      </c>
      <c r="D63" s="1" t="s">
        <v>50</v>
      </c>
      <c r="E63" s="48" t="s">
        <v>66</v>
      </c>
    </row>
    <row r="64" spans="1:7">
      <c r="B64" s="1" t="s">
        <v>59</v>
      </c>
      <c r="C64" s="98">
        <f>+C56</f>
        <v>2372.8395061728397</v>
      </c>
      <c r="D64" s="1" t="s">
        <v>32</v>
      </c>
      <c r="E64" s="48" t="s">
        <v>65</v>
      </c>
    </row>
    <row r="65" spans="1:7" ht="13.25" customHeight="1">
      <c r="B65" s="1" t="s">
        <v>118</v>
      </c>
      <c r="C65" s="98">
        <f>+C41</f>
        <v>4469.1358024691353</v>
      </c>
      <c r="D65" s="1" t="s">
        <v>32</v>
      </c>
      <c r="E65" s="48" t="s">
        <v>67</v>
      </c>
    </row>
    <row r="66" spans="1:7" ht="25.25" customHeight="1">
      <c r="B66" s="151" t="s">
        <v>101</v>
      </c>
      <c r="C66" s="47">
        <f>+C64/C65</f>
        <v>0.53093922651933712</v>
      </c>
      <c r="D66" s="48" t="s">
        <v>121</v>
      </c>
      <c r="E66" s="1" t="str">
        <f>CONCATENATE("[ ",ROUND(C64,2)," acres / ",ROUND(C65,2)," acres ]")</f>
        <v>[ 2372.84 acres / 4469.14 acres ]</v>
      </c>
    </row>
    <row r="67" spans="1:7" ht="7.25" customHeight="1"/>
    <row r="68" spans="1:7" ht="42" customHeight="1">
      <c r="A68" s="61"/>
      <c r="B68" s="9" t="s">
        <v>327</v>
      </c>
      <c r="C68" s="101">
        <f>+C63*C66*0.75</f>
        <v>189.65680110497243</v>
      </c>
      <c r="D68" s="1" t="s">
        <v>122</v>
      </c>
      <c r="E68" s="1" t="str">
        <f>CONCATENATE("[ 75% x ",ROUND(C63,2)," pounds x ",ROUND(C66*100,0),"% ]")</f>
        <v>[ 75% x 476.28 pounds x 53% ]</v>
      </c>
    </row>
    <row r="69" spans="1:7" ht="27" thickBot="1">
      <c r="A69" s="61"/>
      <c r="B69" s="152" t="s">
        <v>328</v>
      </c>
      <c r="C69" s="153">
        <f>+C63*0.25</f>
        <v>119.07000000000001</v>
      </c>
      <c r="D69" s="154" t="s">
        <v>122</v>
      </c>
      <c r="E69" s="1" t="str">
        <f>CONCATENATE("[ 25% x ",ROUND(C63,2)," pounds ]")</f>
        <v>[ 25% x 476.28 pounds ]</v>
      </c>
    </row>
    <row r="70" spans="1:7" ht="29" customHeight="1">
      <c r="B70" s="155" t="s">
        <v>97</v>
      </c>
      <c r="C70" s="102">
        <f>+C69+C68</f>
        <v>308.72680110497242</v>
      </c>
      <c r="D70" s="62" t="s">
        <v>50</v>
      </c>
    </row>
    <row r="71" spans="1:7" ht="6.5" customHeight="1"/>
    <row r="72" spans="1:7" ht="8.5" customHeight="1"/>
    <row r="73" spans="1:7" ht="42" customHeight="1">
      <c r="A73" s="459" t="s">
        <v>165</v>
      </c>
      <c r="B73" s="459"/>
      <c r="C73" s="459"/>
      <c r="D73" s="459"/>
      <c r="E73" s="459"/>
      <c r="F73" s="459"/>
      <c r="G73" s="459"/>
    </row>
    <row r="74" spans="1:7" ht="6" customHeight="1"/>
    <row r="75" spans="1:7">
      <c r="B75" s="38" t="s">
        <v>123</v>
      </c>
    </row>
    <row r="76" spans="1:7" ht="12.75" customHeight="1">
      <c r="B76" s="120" t="s">
        <v>52</v>
      </c>
      <c r="C76" s="158">
        <v>0.15</v>
      </c>
    </row>
    <row r="77" spans="1:7">
      <c r="B77" s="149" t="s">
        <v>53</v>
      </c>
      <c r="C77" s="159">
        <v>0.52</v>
      </c>
    </row>
    <row r="78" spans="1:7">
      <c r="B78" s="120" t="s">
        <v>54</v>
      </c>
      <c r="C78" s="158">
        <v>0.87</v>
      </c>
    </row>
    <row r="79" spans="1:7" ht="6" customHeight="1"/>
    <row r="80" spans="1:7" ht="11.5" customHeight="1"/>
    <row r="81" spans="1:7" ht="24.5" customHeight="1">
      <c r="A81" s="459" t="s">
        <v>127</v>
      </c>
      <c r="B81" s="459"/>
      <c r="C81" s="459"/>
      <c r="D81" s="459"/>
      <c r="E81" s="459"/>
      <c r="F81" s="459"/>
      <c r="G81" s="459"/>
    </row>
    <row r="82" spans="1:7" ht="6" customHeight="1"/>
    <row r="83" spans="1:7">
      <c r="B83" s="38" t="s">
        <v>56</v>
      </c>
    </row>
    <row r="84" spans="1:7">
      <c r="B84" s="96" t="s">
        <v>52</v>
      </c>
      <c r="C84" s="160">
        <f>+C53*C76</f>
        <v>300</v>
      </c>
      <c r="D84" s="55" t="s">
        <v>125</v>
      </c>
      <c r="E84" s="179" t="str">
        <f>CONCATENATE(" [ ",ROUND(C53,2)," acres x ",C76*100," percent ]")</f>
        <v xml:space="preserve"> [ 2000 acres x 15 percent ]</v>
      </c>
      <c r="F84" s="55"/>
      <c r="G84" s="37"/>
    </row>
    <row r="85" spans="1:7">
      <c r="B85" s="74" t="s">
        <v>53</v>
      </c>
      <c r="C85" s="161">
        <f>+C54*C77</f>
        <v>152.79012345679013</v>
      </c>
      <c r="D85" s="54" t="s">
        <v>125</v>
      </c>
      <c r="E85" s="180" t="str">
        <f>CONCATENATE(" [ ",ROUND(C54,2)," acres x ",C77*100," percent ]")</f>
        <v xml:space="preserve"> [ 293.83 acres x 52 percent ]</v>
      </c>
      <c r="F85" s="54"/>
      <c r="G85" s="36"/>
    </row>
    <row r="86" spans="1:7" ht="14" thickBot="1">
      <c r="B86" s="163" t="s">
        <v>54</v>
      </c>
      <c r="C86" s="164">
        <f>+C55*C78</f>
        <v>68.740740740740733</v>
      </c>
      <c r="D86" s="181" t="s">
        <v>125</v>
      </c>
      <c r="E86" s="179" t="str">
        <f>CONCATENATE(" [ ",ROUND(C55,2)," acres x ",C78*100," percent ]")</f>
        <v xml:space="preserve"> [ 79.01 acres x 87 percent ]</v>
      </c>
      <c r="F86" s="55"/>
      <c r="G86" s="37"/>
    </row>
    <row r="87" spans="1:7" ht="29" customHeight="1">
      <c r="B87" s="12" t="s">
        <v>126</v>
      </c>
      <c r="C87" s="162">
        <f>+C84+C85+C86</f>
        <v>521.53086419753083</v>
      </c>
      <c r="D87" s="1" t="s">
        <v>32</v>
      </c>
    </row>
    <row r="88" spans="1:7" ht="6" customHeight="1"/>
    <row r="90" spans="1:7">
      <c r="A90" s="1" t="s">
        <v>175</v>
      </c>
    </row>
    <row r="91" spans="1:7" ht="6" customHeight="1"/>
    <row r="92" spans="1:7">
      <c r="A92" s="1" t="str">
        <f>CONCATENATE("Watershed: ",'MMW Output'!$B$3)</f>
        <v>Watershed: User Specified</v>
      </c>
    </row>
    <row r="93" spans="1:7" ht="6" customHeight="1"/>
    <row r="94" spans="1:7">
      <c r="A94" s="1" t="str">
        <f>CONCATENATE("Year: ",'MMW Output'!$C$16)</f>
        <v>Year: User Specified</v>
      </c>
    </row>
    <row r="96" spans="1:7">
      <c r="A96" s="1" t="s">
        <v>128</v>
      </c>
    </row>
    <row r="97" spans="1:7" ht="6" customHeight="1"/>
    <row r="98" spans="1:7">
      <c r="B98" s="38" t="s">
        <v>57</v>
      </c>
    </row>
    <row r="99" spans="1:7">
      <c r="B99" s="120" t="s">
        <v>52</v>
      </c>
      <c r="C99" s="158">
        <f>+C84/(C$84+C$85+C$86)</f>
        <v>0.57522961840734788</v>
      </c>
      <c r="D99" s="165" t="s">
        <v>129</v>
      </c>
      <c r="E99" s="179" t="str">
        <f>CONCATENATE(" [ ",ROUND(C84,2)," acres / ",ROUND(C87,2)," acres ]")</f>
        <v xml:space="preserve"> [ 300 acres / 521.53 acres ]</v>
      </c>
      <c r="F99" s="55"/>
      <c r="G99" s="37"/>
    </row>
    <row r="100" spans="1:7">
      <c r="B100" s="149" t="s">
        <v>53</v>
      </c>
      <c r="C100" s="159">
        <f>+C85/(C$84+C$85+C$86)</f>
        <v>0.29296468137486981</v>
      </c>
      <c r="D100" s="166" t="s">
        <v>129</v>
      </c>
      <c r="E100" s="180" t="str">
        <f>CONCATENATE(" [ ",ROUND(C85,2)," acres / ",ROUND(C87,2)," acres ]")</f>
        <v xml:space="preserve"> [ 152.79 acres / 521.53 acres ]</v>
      </c>
      <c r="F100" s="54"/>
      <c r="G100" s="36"/>
    </row>
    <row r="101" spans="1:7" ht="14" thickBot="1">
      <c r="B101" s="150" t="s">
        <v>54</v>
      </c>
      <c r="C101" s="182">
        <f>+C86/(C$84+C$85+C$86)</f>
        <v>0.1318057002177824</v>
      </c>
      <c r="D101" s="165" t="s">
        <v>129</v>
      </c>
      <c r="E101" s="179" t="str">
        <f>CONCATENATE(" [ ",ROUND(C86,2)," acres / ",ROUND(C87,2)," acres ]")</f>
        <v xml:space="preserve"> [ 68.74 acres / 521.53 acres ]</v>
      </c>
      <c r="F101" s="55"/>
      <c r="G101" s="37"/>
    </row>
    <row r="102" spans="1:7">
      <c r="B102" s="1" t="s">
        <v>55</v>
      </c>
      <c r="C102" s="183">
        <f>+C99+C100+C101</f>
        <v>1</v>
      </c>
    </row>
    <row r="103" spans="1:7" ht="7.25" customHeight="1"/>
    <row r="104" spans="1:7" ht="13.25" customHeight="1"/>
    <row r="105" spans="1:7" ht="24" customHeight="1">
      <c r="A105" s="459" t="s">
        <v>321</v>
      </c>
      <c r="B105" s="459"/>
      <c r="C105" s="459"/>
      <c r="D105" s="459"/>
      <c r="E105" s="459"/>
      <c r="F105" s="459"/>
      <c r="G105" s="459"/>
    </row>
    <row r="106" spans="1:7" ht="6" customHeight="1"/>
    <row r="107" spans="1:7" ht="25.5" customHeight="1">
      <c r="B107" s="230" t="s">
        <v>97</v>
      </c>
      <c r="C107" s="100">
        <f>+C70</f>
        <v>308.72680110497242</v>
      </c>
      <c r="D107" s="1" t="s">
        <v>130</v>
      </c>
      <c r="E107" s="48" t="s">
        <v>88</v>
      </c>
    </row>
    <row r="108" spans="1:7" ht="25.5" customHeight="1">
      <c r="B108" s="236" t="s">
        <v>310</v>
      </c>
      <c r="C108" s="101">
        <f>+C68</f>
        <v>189.65680110497243</v>
      </c>
      <c r="D108" s="1" t="s">
        <v>130</v>
      </c>
      <c r="E108" s="48" t="s">
        <v>88</v>
      </c>
    </row>
    <row r="109" spans="1:7" ht="25.5" customHeight="1">
      <c r="B109" s="236" t="s">
        <v>322</v>
      </c>
      <c r="C109" s="101">
        <f>+C69</f>
        <v>119.07000000000001</v>
      </c>
      <c r="D109" s="1" t="s">
        <v>130</v>
      </c>
      <c r="E109" s="48" t="s">
        <v>88</v>
      </c>
    </row>
    <row r="110" spans="1:7" ht="6" customHeight="1"/>
    <row r="111" spans="1:7" ht="13.25" customHeight="1"/>
    <row r="112" spans="1:7" ht="14" customHeight="1">
      <c r="A112" s="459" t="s">
        <v>145</v>
      </c>
      <c r="B112" s="459"/>
      <c r="C112" s="459"/>
      <c r="D112" s="459"/>
      <c r="E112" s="459"/>
      <c r="F112" s="459"/>
      <c r="G112" s="459"/>
    </row>
    <row r="113" spans="1:7" ht="15" customHeight="1">
      <c r="A113" s="459" t="str">
        <f>CONCATENATE("multiplying the 'Percent of Total Impervious Surfaces' (Step 8) by ",ROUND(C109,2)," pounds (calculated in Step 9):")</f>
        <v>multiplying the 'Percent of Total Impervious Surfaces' (Step 8) by 119.07 pounds (calculated in Step 9):</v>
      </c>
      <c r="B113" s="459"/>
      <c r="C113" s="459"/>
      <c r="D113" s="459"/>
      <c r="E113" s="459"/>
      <c r="F113" s="459"/>
      <c r="G113" s="459"/>
    </row>
    <row r="114" spans="1:7" ht="6" customHeight="1">
      <c r="A114" s="236"/>
      <c r="B114" s="236"/>
      <c r="C114" s="236"/>
      <c r="D114" s="236"/>
      <c r="E114" s="236"/>
      <c r="F114" s="236"/>
      <c r="G114" s="236"/>
    </row>
    <row r="115" spans="1:7" ht="16.25" customHeight="1">
      <c r="B115" s="38" t="s">
        <v>166</v>
      </c>
      <c r="C115" s="12"/>
      <c r="D115" s="12"/>
      <c r="E115" s="12"/>
      <c r="F115" s="9"/>
    </row>
    <row r="116" spans="1:7">
      <c r="B116" s="120" t="s">
        <v>52</v>
      </c>
      <c r="C116" s="83">
        <f>C99*C$109</f>
        <v>68.492590663762911</v>
      </c>
      <c r="D116" s="470" t="str">
        <f>CONCATENATE("=   [ ",ROUND(C99*100,0)," % x ",ROUND(C$109,2)," pounds ]")</f>
        <v>=   [ 58 % x 119.07 pounds ]</v>
      </c>
      <c r="E116" s="471"/>
      <c r="F116" s="471"/>
      <c r="G116" s="471"/>
    </row>
    <row r="117" spans="1:7">
      <c r="B117" s="149" t="s">
        <v>53</v>
      </c>
      <c r="C117" s="84">
        <f>C100*C$109</f>
        <v>34.883304611305753</v>
      </c>
      <c r="D117" s="472" t="str">
        <f>CONCATENATE("=   [ ",ROUND(C100*100,0)," % x ",ROUND(C$109,2)," pounds ]")</f>
        <v>=   [ 29 % x 119.07 pounds ]</v>
      </c>
      <c r="E117" s="473"/>
      <c r="F117" s="473"/>
      <c r="G117" s="473"/>
    </row>
    <row r="118" spans="1:7">
      <c r="B118" s="120" t="s">
        <v>54</v>
      </c>
      <c r="C118" s="83">
        <f>C101*C$109</f>
        <v>15.694104724931352</v>
      </c>
      <c r="D118" s="470" t="str">
        <f>CONCATENATE("=   [ ",ROUND(C101*100,0)," % x ",ROUND(C$109,2)," pounds ]")</f>
        <v>=   [ 13 % x 119.07 pounds ]</v>
      </c>
      <c r="E118" s="471"/>
      <c r="F118" s="471"/>
      <c r="G118" s="471"/>
    </row>
    <row r="119" spans="1:7" ht="6" customHeight="1">
      <c r="C119" s="50"/>
    </row>
    <row r="121" spans="1:7">
      <c r="A121" s="459" t="s">
        <v>133</v>
      </c>
      <c r="B121" s="459"/>
      <c r="C121" s="459"/>
      <c r="D121" s="459"/>
      <c r="E121" s="459"/>
      <c r="F121" s="459"/>
      <c r="G121" s="459"/>
    </row>
    <row r="122" spans="1:7">
      <c r="A122" s="459" t="str">
        <f>CONCATENATE("the 'Percent of Area of Developed Lands' (from Step 4) by ",ROUND(C108,2)," pounds (calculated in Step 9):")</f>
        <v>the 'Percent of Area of Developed Lands' (from Step 4) by 189.66 pounds (calculated in Step 9):</v>
      </c>
      <c r="B122" s="459"/>
      <c r="C122" s="459"/>
      <c r="D122" s="459"/>
      <c r="E122" s="459"/>
      <c r="F122" s="459"/>
      <c r="G122" s="459"/>
    </row>
    <row r="123" spans="1:7" ht="6" customHeight="1"/>
    <row r="124" spans="1:7" ht="17" customHeight="1">
      <c r="B124" s="38" t="s">
        <v>167</v>
      </c>
      <c r="C124" s="12"/>
      <c r="D124" s="12"/>
      <c r="E124" s="12"/>
    </row>
    <row r="125" spans="1:7">
      <c r="B125" s="120" t="s">
        <v>52</v>
      </c>
      <c r="C125" s="83">
        <f>C53/C$56*C$108</f>
        <v>159.85640883977902</v>
      </c>
      <c r="D125" s="470" t="str">
        <f>CONCATENATE("=   [ ",ROUND(D53*100,0)," % x ",ROUND(C$108,2)," pounds ]")</f>
        <v>=   [ 84 % x 189.66 pounds ]</v>
      </c>
      <c r="E125" s="471"/>
      <c r="F125" s="471"/>
      <c r="G125" s="471"/>
    </row>
    <row r="126" spans="1:7">
      <c r="B126" s="149" t="s">
        <v>53</v>
      </c>
      <c r="C126" s="84">
        <f>C54/C$56*C$108</f>
        <v>23.485077348066302</v>
      </c>
      <c r="D126" s="472" t="str">
        <f>CONCATENATE("=   [ ",ROUND(D54*100,0)," % x ",ROUND(C$108,2)," pounds ]")</f>
        <v>=   [ 12 % x 189.66 pounds ]</v>
      </c>
      <c r="E126" s="473"/>
      <c r="F126" s="473"/>
      <c r="G126" s="473"/>
    </row>
    <row r="127" spans="1:7">
      <c r="B127" s="120" t="s">
        <v>54</v>
      </c>
      <c r="C127" s="83">
        <f>C55/C$56*C$108</f>
        <v>6.3153149171270728</v>
      </c>
      <c r="D127" s="470" t="str">
        <f>CONCATENATE("=   [ ",ROUND(D55*100,0)," % x ",ROUND(C$108,2)," pounds ]  ")</f>
        <v xml:space="preserve">=   [ 3 % x 189.66 pounds ]  </v>
      </c>
      <c r="E127" s="471"/>
      <c r="F127" s="471"/>
      <c r="G127" s="471"/>
    </row>
    <row r="128" spans="1:7" ht="7.25" customHeight="1"/>
    <row r="130" spans="1:13" ht="26.5" customHeight="1">
      <c r="A130" s="459" t="s">
        <v>134</v>
      </c>
      <c r="B130" s="459"/>
      <c r="C130" s="459"/>
      <c r="D130" s="459"/>
      <c r="E130" s="459"/>
      <c r="F130" s="459"/>
      <c r="G130" s="459"/>
    </row>
    <row r="131" spans="1:13" ht="6" customHeight="1"/>
    <row r="132" spans="1:13" ht="16.25" customHeight="1">
      <c r="B132" s="38" t="s">
        <v>168</v>
      </c>
      <c r="C132" s="167"/>
      <c r="D132" s="167"/>
      <c r="E132" s="12"/>
      <c r="F132" s="12"/>
      <c r="G132" s="12"/>
      <c r="H132" s="12"/>
      <c r="I132" s="12"/>
      <c r="J132" s="12"/>
      <c r="K132" s="12"/>
      <c r="L132" s="13"/>
      <c r="M132" s="65"/>
    </row>
    <row r="133" spans="1:13">
      <c r="B133" s="120" t="s">
        <v>52</v>
      </c>
      <c r="C133" s="55">
        <f>+C116+C125</f>
        <v>228.34899950354193</v>
      </c>
      <c r="D133" s="96" t="str">
        <f>CONCATENATE("   =   [ ",ROUND(C116,2)," pounds + ",ROUND(C125,2)," pounds ]")</f>
        <v xml:space="preserve">   =   [ 68.49 pounds + 159.86 pounds ]</v>
      </c>
      <c r="E133" s="37"/>
      <c r="F133" s="55"/>
      <c r="G133" s="37"/>
      <c r="I133" s="46"/>
      <c r="J133" s="46"/>
      <c r="K133" s="49"/>
      <c r="M133" s="51"/>
    </row>
    <row r="134" spans="1:13">
      <c r="B134" s="149" t="s">
        <v>53</v>
      </c>
      <c r="C134" s="54">
        <f>+C117+C126</f>
        <v>58.368381959372059</v>
      </c>
      <c r="D134" s="74" t="str">
        <f>CONCATENATE("   =   [ ",ROUND(C117,2)," pounds + ",ROUND(C126,2)," pounds ]")</f>
        <v xml:space="preserve">   =   [ 34.88 pounds + 23.49 pounds ]</v>
      </c>
      <c r="E134" s="36"/>
      <c r="F134" s="54"/>
      <c r="G134" s="36"/>
      <c r="I134" s="46"/>
      <c r="J134" s="46"/>
      <c r="K134" s="49"/>
      <c r="M134" s="51"/>
    </row>
    <row r="135" spans="1:13">
      <c r="B135" s="120" t="s">
        <v>54</v>
      </c>
      <c r="C135" s="55">
        <f>+C118+C127</f>
        <v>22.009419642058425</v>
      </c>
      <c r="D135" s="96" t="str">
        <f>CONCATENATE("   =   [ ",ROUND(C118,2)," pounds + ",ROUND(C127,2)," pounds ]")</f>
        <v xml:space="preserve">   =   [ 15.69 pounds + 6.32 pounds ]</v>
      </c>
      <c r="E135" s="37"/>
      <c r="F135" s="55"/>
      <c r="G135" s="37"/>
      <c r="I135" s="46"/>
      <c r="J135" s="46"/>
      <c r="K135" s="49"/>
      <c r="M135" s="51"/>
    </row>
    <row r="136" spans="1:13" ht="7.25" customHeight="1">
      <c r="M136" s="50"/>
    </row>
    <row r="139" spans="1:13">
      <c r="A139" s="1" t="s">
        <v>176</v>
      </c>
    </row>
    <row r="140" spans="1:13" ht="6" customHeight="1"/>
    <row r="141" spans="1:13">
      <c r="A141" s="1" t="str">
        <f>CONCATENATE("Watershed: ",'MMW Output'!$B$3)</f>
        <v>Watershed: User Specified</v>
      </c>
    </row>
    <row r="142" spans="1:13" ht="6" customHeight="1"/>
    <row r="143" spans="1:13">
      <c r="A143" s="1" t="str">
        <f>CONCATENATE("Year: ",'MMW Output'!$C$16)</f>
        <v>Year: User Specified</v>
      </c>
    </row>
    <row r="145" spans="1:7" ht="28.25" customHeight="1">
      <c r="A145" s="459" t="s">
        <v>139</v>
      </c>
      <c r="B145" s="459"/>
      <c r="C145" s="459"/>
      <c r="D145" s="459"/>
      <c r="E145" s="459"/>
      <c r="F145" s="459"/>
      <c r="G145" s="459"/>
    </row>
    <row r="146" spans="1:7" ht="8.5" customHeight="1"/>
    <row r="147" spans="1:7" ht="53.5" customHeight="1">
      <c r="A147" s="475" t="s">
        <v>169</v>
      </c>
      <c r="B147" s="475"/>
      <c r="C147" s="231" t="s">
        <v>50</v>
      </c>
      <c r="D147" s="168" t="s">
        <v>70</v>
      </c>
      <c r="E147" s="474" t="s">
        <v>170</v>
      </c>
      <c r="F147" s="474"/>
    </row>
    <row r="148" spans="1:7">
      <c r="B148" s="169" t="s">
        <v>52</v>
      </c>
      <c r="C148" s="55">
        <f>+C133</f>
        <v>228.34899950354193</v>
      </c>
      <c r="D148" s="55">
        <f>+C53</f>
        <v>2000</v>
      </c>
      <c r="E148" s="218">
        <f>+C148/D148</f>
        <v>0.11417449975177096</v>
      </c>
      <c r="F148" s="96" t="str">
        <f>CONCATENATE("= [",ROUND(C148,2)," lbs / ",(ROUND(D148,2))," acres ]")</f>
        <v>= [228.35 lbs / 2000 acres ]</v>
      </c>
      <c r="G148" s="37"/>
    </row>
    <row r="149" spans="1:7">
      <c r="B149" s="170" t="s">
        <v>53</v>
      </c>
      <c r="C149" s="54">
        <f>+C134</f>
        <v>58.368381959372059</v>
      </c>
      <c r="D149" s="54">
        <f>+C54</f>
        <v>293.82716049382714</v>
      </c>
      <c r="E149" s="219">
        <f>+C149/D149</f>
        <v>0.19864869490374526</v>
      </c>
      <c r="F149" s="74" t="str">
        <f>CONCATENATE("= [",ROUND(C149,2)," lbs / ",(ROUND(D149,2))," acres ]")</f>
        <v>= [58.37 lbs / 293.83 acres ]</v>
      </c>
      <c r="G149" s="36"/>
    </row>
    <row r="150" spans="1:7">
      <c r="B150" s="169" t="s">
        <v>54</v>
      </c>
      <c r="C150" s="55">
        <f>+C135</f>
        <v>22.009419642058425</v>
      </c>
      <c r="D150" s="55">
        <f>+C55</f>
        <v>79.012345679012341</v>
      </c>
      <c r="E150" s="218">
        <f>+C150/D150</f>
        <v>0.27855671734480197</v>
      </c>
      <c r="F150" s="96" t="str">
        <f>CONCATENATE("= [",ROUND(C150,2)," lbs / ",(ROUND(D150,2))," acres ]")</f>
        <v>= [22.01 lbs / 79.01 acres ]</v>
      </c>
      <c r="G150" s="37"/>
    </row>
    <row r="151" spans="1:7" ht="6" customHeight="1"/>
    <row r="152" spans="1:7" ht="7.25" customHeight="1"/>
    <row r="154" spans="1:7">
      <c r="A154" s="1" t="s">
        <v>140</v>
      </c>
    </row>
    <row r="155" spans="1:7" ht="6" customHeight="1"/>
    <row r="156" spans="1:7">
      <c r="B156" s="1" t="s">
        <v>60</v>
      </c>
      <c r="C156" s="101">
        <f>+C36</f>
        <v>476.28000000000003</v>
      </c>
      <c r="D156" s="1" t="s">
        <v>130</v>
      </c>
      <c r="E156" s="48" t="s">
        <v>89</v>
      </c>
    </row>
    <row r="157" spans="1:7" ht="29.5" customHeight="1">
      <c r="B157" s="238" t="s">
        <v>159</v>
      </c>
      <c r="C157" s="104">
        <f>+C70</f>
        <v>308.72680110497242</v>
      </c>
      <c r="D157" s="45" t="s">
        <v>130</v>
      </c>
      <c r="E157" s="48" t="s">
        <v>90</v>
      </c>
    </row>
    <row r="158" spans="1:7" ht="26">
      <c r="B158" s="9" t="s">
        <v>61</v>
      </c>
      <c r="C158" s="100">
        <f>+C156-C157</f>
        <v>167.55319889502761</v>
      </c>
      <c r="D158" s="1" t="s">
        <v>130</v>
      </c>
      <c r="E158" s="171" t="str">
        <f>CONCATENATE(" [ ",ROUND(C156,2)," pounds - ",ROUND(C157,2)," pounds ]")</f>
        <v xml:space="preserve"> [ 476.28 pounds - 308.73 pounds ]</v>
      </c>
    </row>
    <row r="159" spans="1:7" ht="8.5" customHeight="1"/>
    <row r="160" spans="1:7">
      <c r="B160" s="1" t="s">
        <v>62</v>
      </c>
      <c r="C160" s="103">
        <f>+C41-C56</f>
        <v>2096.2962962962956</v>
      </c>
      <c r="D160" s="1" t="s">
        <v>137</v>
      </c>
      <c r="E160" s="48" t="s">
        <v>91</v>
      </c>
    </row>
    <row r="161" spans="1:7" ht="9" customHeight="1"/>
    <row r="162" spans="1:7" ht="39">
      <c r="B162" s="68" t="s">
        <v>171</v>
      </c>
      <c r="C162" s="89">
        <f>+C158/C160</f>
        <v>7.9928204419889515E-2</v>
      </c>
      <c r="D162" s="68" t="s">
        <v>63</v>
      </c>
      <c r="E162" s="1" t="str">
        <f>CONCATENATE("=  [ ",ROUND(C158,2)," pounds / ",ROUND(C160,2)," acres ]")</f>
        <v>=  [ 167.55 pounds / 2096.3 acres ]</v>
      </c>
    </row>
    <row r="163" spans="1:7" ht="8" customHeight="1"/>
    <row r="165" spans="1:7" ht="51" customHeight="1">
      <c r="A165" s="459" t="s">
        <v>187</v>
      </c>
      <c r="B165" s="459"/>
      <c r="C165" s="459"/>
      <c r="D165" s="459"/>
      <c r="E165" s="459"/>
      <c r="F165" s="459"/>
      <c r="G165" s="459"/>
    </row>
  </sheetData>
  <mergeCells count="25">
    <mergeCell ref="A165:G165"/>
    <mergeCell ref="D126:G126"/>
    <mergeCell ref="D127:G127"/>
    <mergeCell ref="A130:G130"/>
    <mergeCell ref="A145:G145"/>
    <mergeCell ref="A147:B147"/>
    <mergeCell ref="E147:F147"/>
    <mergeCell ref="D125:G125"/>
    <mergeCell ref="A50:G50"/>
    <mergeCell ref="A73:G73"/>
    <mergeCell ref="A81:G81"/>
    <mergeCell ref="A105:G105"/>
    <mergeCell ref="A112:G112"/>
    <mergeCell ref="A113:G113"/>
    <mergeCell ref="D116:G116"/>
    <mergeCell ref="D117:G117"/>
    <mergeCell ref="D118:G118"/>
    <mergeCell ref="A121:G121"/>
    <mergeCell ref="A122:G122"/>
    <mergeCell ref="A39:G39"/>
    <mergeCell ref="A7:F7"/>
    <mergeCell ref="A8:G8"/>
    <mergeCell ref="A11:G11"/>
    <mergeCell ref="A14:A29"/>
    <mergeCell ref="A33:G33"/>
  </mergeCells>
  <phoneticPr fontId="47" type="noConversion"/>
  <pageMargins left="0.75" right="0.59718749999999998" top="0.5" bottom="0.75" header="0.3" footer="0.3"/>
  <pageSetup fitToWidth="0" fitToHeight="0" orientation="portrait" r:id="rId1"/>
  <headerFooter>
    <oddFooter>&amp;L&amp;"Arial,Regular"&amp;9Section 8: Backup for Stream Bank Total Phos. Loading&amp;C&amp;"Arial,Regular"&amp;9Page &amp;P of &amp;N&amp;R&amp;"Arial,Regular"&amp;9Christina Basin Loading Rates Tool (May 5, 2017)</oddFooter>
  </headerFooter>
  <rowBreaks count="3" manualBreakCount="3">
    <brk id="42" max="16383" man="1"/>
    <brk id="88" max="16383" man="1"/>
    <brk id="13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12"/>
  <sheetViews>
    <sheetView zoomScale="110" zoomScaleNormal="110" workbookViewId="0">
      <selection activeCell="L50" sqref="L50"/>
    </sheetView>
  </sheetViews>
  <sheetFormatPr baseColWidth="10" defaultColWidth="9.1640625" defaultRowHeight="15"/>
  <cols>
    <col min="1" max="13" width="9.1640625" style="308"/>
    <col min="14" max="14" width="10.33203125" style="267" customWidth="1"/>
    <col min="15" max="20" width="10.1640625" style="267" customWidth="1"/>
    <col min="21" max="25" width="9.1640625" style="308"/>
    <col min="26" max="26" width="24.83203125" style="308" customWidth="1"/>
    <col min="27" max="16384" width="9.1640625" style="308"/>
  </cols>
  <sheetData>
    <row r="1" spans="1:23" ht="25.5" customHeight="1">
      <c r="A1" s="307" t="s">
        <v>258</v>
      </c>
    </row>
    <row r="2" spans="1:23" ht="36" customHeight="1">
      <c r="A2" s="488" t="s">
        <v>251</v>
      </c>
      <c r="B2" s="488"/>
      <c r="C2" s="488"/>
      <c r="D2" s="488"/>
      <c r="E2" s="488"/>
      <c r="F2" s="488"/>
      <c r="G2" s="488"/>
      <c r="H2" s="488"/>
      <c r="I2" s="488"/>
      <c r="J2" s="488"/>
      <c r="K2" s="488"/>
      <c r="L2" s="488"/>
      <c r="M2" s="488"/>
      <c r="N2" s="488"/>
      <c r="O2" s="488"/>
      <c r="P2" s="388"/>
      <c r="Q2" s="224"/>
      <c r="R2" s="224"/>
      <c r="S2" s="224"/>
      <c r="T2" s="224"/>
      <c r="U2" s="309"/>
      <c r="V2" s="309"/>
      <c r="W2" s="309"/>
    </row>
    <row r="3" spans="1:23" ht="16">
      <c r="A3" s="310" t="s">
        <v>252</v>
      </c>
      <c r="C3" s="309"/>
      <c r="D3" s="309"/>
      <c r="E3" s="309"/>
      <c r="F3" s="309"/>
      <c r="G3" s="309"/>
      <c r="H3" s="309"/>
      <c r="I3" s="309"/>
      <c r="J3" s="309"/>
      <c r="K3" s="309"/>
      <c r="L3" s="309"/>
      <c r="M3" s="309"/>
      <c r="N3" s="224"/>
      <c r="Q3" s="224"/>
      <c r="R3" s="224"/>
      <c r="S3" s="224"/>
      <c r="T3" s="224"/>
      <c r="U3" s="309"/>
      <c r="V3" s="309"/>
      <c r="W3" s="309"/>
    </row>
    <row r="4" spans="1:23">
      <c r="P4" s="389"/>
      <c r="Q4" s="389"/>
      <c r="R4" s="389"/>
      <c r="S4" s="389"/>
      <c r="T4" s="389"/>
    </row>
    <row r="36" spans="1:20" ht="46.5" customHeight="1"/>
    <row r="37" spans="1:20" ht="69.75" customHeight="1"/>
    <row r="38" spans="1:20" s="267" customFormat="1">
      <c r="A38" s="390" t="s">
        <v>253</v>
      </c>
      <c r="B38" s="391" t="s">
        <v>380</v>
      </c>
      <c r="C38" s="390"/>
      <c r="D38" s="390"/>
      <c r="E38" s="390"/>
      <c r="F38" s="390"/>
      <c r="G38" s="390"/>
      <c r="H38" s="390"/>
      <c r="I38" s="390"/>
      <c r="J38" s="390"/>
      <c r="K38" s="390"/>
      <c r="L38" s="390"/>
      <c r="M38" s="390"/>
    </row>
    <row r="39" spans="1:20" s="267" customFormat="1">
      <c r="A39" s="368" t="s">
        <v>254</v>
      </c>
      <c r="B39" s="390"/>
      <c r="C39" s="390"/>
      <c r="D39" s="390"/>
      <c r="E39" s="390"/>
      <c r="F39" s="390"/>
      <c r="G39" s="390"/>
      <c r="H39" s="390"/>
      <c r="I39" s="390"/>
      <c r="J39" s="390"/>
      <c r="K39" s="390"/>
      <c r="L39" s="390"/>
      <c r="M39" s="390"/>
    </row>
    <row r="40" spans="1:20">
      <c r="A40" s="308" t="s">
        <v>255</v>
      </c>
      <c r="N40" s="390"/>
    </row>
    <row r="41" spans="1:20">
      <c r="A41" s="308" t="s">
        <v>256</v>
      </c>
      <c r="N41" s="390"/>
    </row>
    <row r="42" spans="1:20">
      <c r="A42" s="308" t="s">
        <v>257</v>
      </c>
      <c r="N42" s="390"/>
    </row>
    <row r="43" spans="1:20">
      <c r="N43" s="390"/>
    </row>
    <row r="44" spans="1:20">
      <c r="A44" s="309" t="s">
        <v>389</v>
      </c>
      <c r="N44" s="390"/>
    </row>
    <row r="45" spans="1:20">
      <c r="A45" s="394" t="s">
        <v>390</v>
      </c>
      <c r="N45" s="391" t="s">
        <v>380</v>
      </c>
    </row>
    <row r="46" spans="1:20">
      <c r="N46" s="391" t="s">
        <v>381</v>
      </c>
    </row>
    <row r="47" spans="1:20" ht="45">
      <c r="N47" s="386" t="s">
        <v>382</v>
      </c>
      <c r="O47" s="386" t="s">
        <v>383</v>
      </c>
      <c r="P47" s="386" t="s">
        <v>384</v>
      </c>
      <c r="Q47" s="386" t="s">
        <v>385</v>
      </c>
      <c r="R47" s="386" t="s">
        <v>386</v>
      </c>
      <c r="S47" s="386" t="s">
        <v>387</v>
      </c>
      <c r="T47" s="386" t="s">
        <v>388</v>
      </c>
    </row>
    <row r="48" spans="1:20">
      <c r="N48" s="369">
        <v>0.05</v>
      </c>
      <c r="O48" s="392">
        <f>0.0304*$N48^5  -0.2619*$N48^4 +0.9161*$N48^3 -1.6837*$N48^2  +1.7072*$N48-0.0091</f>
        <v>7.2163635125000014E-2</v>
      </c>
      <c r="P48" s="392">
        <f>0.0239*$N48^5  -0.2058*$N48^4 +0.7198*$N48^3 -1.3229*$N48^2  +1.3414*$N48-0.0072</f>
        <v>5.6651446218750012E-2</v>
      </c>
      <c r="Q48" s="392">
        <f>0.0308*$N48^5  -0.2562*$N48^4 +0.8634*$N48^3 -1.5285*$N48^2  +1.501*$N48-0.013</f>
        <v>5.8335083375000013E-2</v>
      </c>
      <c r="R48" s="392">
        <f>0.0152*$N48^5
-0.131*$N48^4
+0.4581*$N48^3
-0.8418*$N48^2
+0.8536*$N48
-0.0046</f>
        <v>3.6031948500000001E-2</v>
      </c>
      <c r="S48" s="392">
        <f>0.0326*$N48^5
-0.2806*$N48^4
+0.9816*$N48^3
-1.8039*$N48^2
+1.8292*$N48
-0.0098</f>
        <v>7.727120643749999E-2</v>
      </c>
      <c r="T48" s="392">
        <f>0.0304*$N48^5  -0.2619*$N48^4 +0.9161*$N48^3 -1.6837*$N48^2  +1.7072*$N48-0.0091</f>
        <v>7.2163635125000014E-2</v>
      </c>
    </row>
    <row r="49" spans="14:20">
      <c r="N49" s="393">
        <v>0.1</v>
      </c>
      <c r="O49" s="392">
        <f t="shared" ref="O49:O68" si="0">0.0304*$N49^5  -0.2619*$N49^4 +0.9161*$N49^3 -1.6837*$N49^2  +1.7072*$N49-0.0091</f>
        <v>0.145673214</v>
      </c>
      <c r="P49" s="392">
        <f t="shared" ref="P49:P68" si="1">0.0239*$N49^5  -0.2058*$N49^4 +0.7198*$N49^3 -1.3229*$N49^2  +1.3414*$N49-0.0072</f>
        <v>0.11441045900000001</v>
      </c>
      <c r="Q49" s="392">
        <f t="shared" ref="Q49:Q68" si="2">0.0308*$N49^5  -0.2562*$N49^4 +0.8634*$N49^3 -1.5285*$N49^2  +1.501*$N49-0.013</f>
        <v>0.12265308800000001</v>
      </c>
      <c r="R49" s="392">
        <f t="shared" ref="R49:R68" si="3">0.0152*$N49^5
-0.131*$N49^4
+0.4581*$N49^3
-0.8418*$N49^2
+0.8536*$N49
-0.0046</f>
        <v>7.2787151999999994E-2</v>
      </c>
      <c r="S49" s="392">
        <f t="shared" ref="S49:S68" si="4">0.0326*$N49^5
-0.2806*$N49^4
+0.9816*$N49^3
-1.8039*$N49^2
+1.8292*$N49
-0.0098</f>
        <v>0.15603486599999999</v>
      </c>
      <c r="T49" s="392">
        <f t="shared" ref="T49:T68" si="5">0.0304*$N49^5  -0.2619*$N49^4 +0.9161*$N49^3 -1.6837*$N49^2  +1.7072*$N49-0.0091</f>
        <v>0.145673214</v>
      </c>
    </row>
    <row r="50" spans="14:20">
      <c r="N50" s="393">
        <v>0.2</v>
      </c>
      <c r="O50" s="392">
        <f t="shared" si="0"/>
        <v>0.27191148799999998</v>
      </c>
      <c r="P50" s="392">
        <f t="shared" si="1"/>
        <v>0.213600768</v>
      </c>
      <c r="Q50" s="392">
        <f t="shared" si="2"/>
        <v>0.23256713600000001</v>
      </c>
      <c r="R50" s="392">
        <f t="shared" si="3"/>
        <v>0.13590806400000002</v>
      </c>
      <c r="S50" s="392">
        <f t="shared" si="4"/>
        <v>0.29129827200000002</v>
      </c>
      <c r="T50" s="392">
        <f t="shared" si="5"/>
        <v>0.27191148799999998</v>
      </c>
    </row>
    <row r="51" spans="14:20">
      <c r="N51" s="393">
        <v>0.3</v>
      </c>
      <c r="O51" s="392">
        <f t="shared" si="0"/>
        <v>0.37421418199999995</v>
      </c>
      <c r="P51" s="392">
        <f t="shared" si="1"/>
        <v>0.29398469699999996</v>
      </c>
      <c r="Q51" s="392">
        <f t="shared" si="2"/>
        <v>0.32104642399999994</v>
      </c>
      <c r="R51" s="392">
        <f t="shared" si="3"/>
        <v>0.187062536</v>
      </c>
      <c r="S51" s="392">
        <f t="shared" si="4"/>
        <v>0.40091855799999992</v>
      </c>
      <c r="T51" s="392">
        <f t="shared" si="5"/>
        <v>0.37421418199999995</v>
      </c>
    </row>
    <row r="52" spans="14:20">
      <c r="N52" s="393">
        <v>0.4</v>
      </c>
      <c r="O52" s="392">
        <f t="shared" si="0"/>
        <v>0.45662505599999997</v>
      </c>
      <c r="P52" s="392">
        <f t="shared" si="1"/>
        <v>0.35873945600000001</v>
      </c>
      <c r="Q52" s="392">
        <f t="shared" si="2"/>
        <v>0.391854272</v>
      </c>
      <c r="R52" s="392">
        <f t="shared" si="3"/>
        <v>0.22827244800000002</v>
      </c>
      <c r="S52" s="392">
        <f t="shared" si="4"/>
        <v>0.48922886399999999</v>
      </c>
      <c r="T52" s="392">
        <f t="shared" si="5"/>
        <v>0.45662505599999997</v>
      </c>
    </row>
    <row r="53" spans="14:20">
      <c r="N53" s="393">
        <v>0.5</v>
      </c>
      <c r="O53" s="392">
        <f t="shared" si="0"/>
        <v>0.52266875000000002</v>
      </c>
      <c r="P53" s="392">
        <f t="shared" si="1"/>
        <v>0.410634375</v>
      </c>
      <c r="Q53" s="392">
        <f t="shared" si="2"/>
        <v>0.44824999999999993</v>
      </c>
      <c r="R53" s="392">
        <f t="shared" si="3"/>
        <v>0.26130000000000003</v>
      </c>
      <c r="S53" s="392">
        <f t="shared" si="4"/>
        <v>0.56000624999999993</v>
      </c>
      <c r="T53" s="392">
        <f t="shared" si="5"/>
        <v>0.52266875000000002</v>
      </c>
    </row>
    <row r="54" spans="14:20">
      <c r="N54" s="393">
        <v>0.6</v>
      </c>
      <c r="O54" s="392">
        <f t="shared" si="0"/>
        <v>0.57538726399999984</v>
      </c>
      <c r="P54" s="392">
        <f t="shared" si="1"/>
        <v>0.45205958399999996</v>
      </c>
      <c r="Q54" s="392">
        <f t="shared" si="2"/>
        <v>0.49302588799999991</v>
      </c>
      <c r="R54" s="392">
        <f t="shared" si="3"/>
        <v>0.28766595199999995</v>
      </c>
      <c r="S54" s="392">
        <f t="shared" si="4"/>
        <v>0.61651081599999979</v>
      </c>
      <c r="T54" s="392">
        <f t="shared" si="5"/>
        <v>0.57538726399999984</v>
      </c>
    </row>
    <row r="55" spans="14:20">
      <c r="N55" s="393">
        <v>0.7</v>
      </c>
      <c r="O55" s="392">
        <f t="shared" si="0"/>
        <v>0.61737643799999997</v>
      </c>
      <c r="P55" s="392">
        <f t="shared" si="1"/>
        <v>0.48505469299999993</v>
      </c>
      <c r="Q55" s="392">
        <f t="shared" si="2"/>
        <v>0.52854413599999972</v>
      </c>
      <c r="R55" s="392">
        <f t="shared" si="3"/>
        <v>0.30866786399999996</v>
      </c>
      <c r="S55" s="392">
        <f t="shared" si="4"/>
        <v>0.66152482199999985</v>
      </c>
      <c r="T55" s="392">
        <f t="shared" si="5"/>
        <v>0.61737643799999997</v>
      </c>
    </row>
    <row r="56" spans="14:20">
      <c r="N56" s="393">
        <v>0.8</v>
      </c>
      <c r="O56" s="392">
        <f t="shared" si="0"/>
        <v>0.6508224319999999</v>
      </c>
      <c r="P56" s="392">
        <f t="shared" si="1"/>
        <v>0.51133747200000002</v>
      </c>
      <c r="Q56" s="392">
        <f t="shared" si="2"/>
        <v>0.55677382399999986</v>
      </c>
      <c r="R56" s="392">
        <f t="shared" si="3"/>
        <v>0.32539833599999995</v>
      </c>
      <c r="S56" s="392">
        <f t="shared" si="4"/>
        <v>0.69739180799999989</v>
      </c>
      <c r="T56" s="392">
        <f t="shared" si="5"/>
        <v>0.6508224319999999</v>
      </c>
    </row>
    <row r="57" spans="14:20">
      <c r="N57" s="393">
        <v>0.9</v>
      </c>
      <c r="O57" s="392">
        <f t="shared" si="0"/>
        <v>0.67753820599999992</v>
      </c>
      <c r="P57" s="392">
        <f t="shared" si="1"/>
        <v>0.53233253099999989</v>
      </c>
      <c r="Q57" s="392">
        <f t="shared" si="2"/>
        <v>0.57932787199999991</v>
      </c>
      <c r="R57" s="392">
        <f t="shared" si="3"/>
        <v>0.33876324800000002</v>
      </c>
      <c r="S57" s="392">
        <f t="shared" si="4"/>
        <v>0.72605571399999991</v>
      </c>
      <c r="T57" s="392">
        <f t="shared" si="5"/>
        <v>0.67753820599999992</v>
      </c>
    </row>
    <row r="58" spans="14:20">
      <c r="N58" s="393">
        <v>1</v>
      </c>
      <c r="O58" s="392">
        <f t="shared" si="0"/>
        <v>0.69900000000000007</v>
      </c>
      <c r="P58" s="392">
        <f t="shared" si="1"/>
        <v>0.54920000000000002</v>
      </c>
      <c r="Q58" s="392">
        <f t="shared" si="2"/>
        <v>0.59749999999999981</v>
      </c>
      <c r="R58" s="392">
        <f t="shared" si="3"/>
        <v>0.34950000000000003</v>
      </c>
      <c r="S58" s="392">
        <f t="shared" si="4"/>
        <v>0.74909999999999988</v>
      </c>
      <c r="T58" s="392">
        <f t="shared" si="5"/>
        <v>0.69900000000000007</v>
      </c>
    </row>
    <row r="59" spans="14:20">
      <c r="N59" s="393">
        <v>1.2</v>
      </c>
      <c r="O59" s="392">
        <f t="shared" si="0"/>
        <v>0.73060188799999992</v>
      </c>
      <c r="P59" s="392">
        <f t="shared" si="1"/>
        <v>0.57404236800000008</v>
      </c>
      <c r="Q59" s="392">
        <f t="shared" si="2"/>
        <v>0.62449913599999973</v>
      </c>
      <c r="R59" s="392">
        <f t="shared" si="3"/>
        <v>0.36530566400000003</v>
      </c>
      <c r="S59" s="392">
        <f t="shared" si="4"/>
        <v>0.78309587199999986</v>
      </c>
      <c r="T59" s="392">
        <f t="shared" si="5"/>
        <v>0.73060188799999992</v>
      </c>
    </row>
    <row r="60" spans="14:20">
      <c r="N60" s="393">
        <v>1.4</v>
      </c>
      <c r="O60" s="392">
        <f t="shared" si="0"/>
        <v>0.75208985599999989</v>
      </c>
      <c r="P60" s="392">
        <f t="shared" si="1"/>
        <v>0.59094585599999971</v>
      </c>
      <c r="Q60" s="392">
        <f t="shared" si="2"/>
        <v>0.6431414719999996</v>
      </c>
      <c r="R60" s="392">
        <f t="shared" si="3"/>
        <v>0.3760380479999999</v>
      </c>
      <c r="S60" s="392">
        <f t="shared" si="4"/>
        <v>0.80632406399999978</v>
      </c>
      <c r="T60" s="392">
        <f t="shared" si="5"/>
        <v>0.75208985599999989</v>
      </c>
    </row>
    <row r="61" spans="14:20">
      <c r="N61" s="393">
        <v>1.6</v>
      </c>
      <c r="O61" s="392">
        <f t="shared" si="0"/>
        <v>0.76687286399999899</v>
      </c>
      <c r="P61" s="392">
        <f t="shared" si="1"/>
        <v>0.60259558399999957</v>
      </c>
      <c r="Q61" s="392">
        <f t="shared" si="2"/>
        <v>0.65605548799999969</v>
      </c>
      <c r="R61" s="392">
        <f t="shared" si="3"/>
        <v>0.38339155199999969</v>
      </c>
      <c r="S61" s="392">
        <f t="shared" si="4"/>
        <v>0.82246521599999922</v>
      </c>
      <c r="T61" s="392">
        <f t="shared" si="5"/>
        <v>0.76687286399999899</v>
      </c>
    </row>
    <row r="62" spans="14:20">
      <c r="N62" s="393">
        <v>1.8</v>
      </c>
      <c r="O62" s="392">
        <f t="shared" si="0"/>
        <v>0.77647443199999977</v>
      </c>
      <c r="P62" s="392">
        <f t="shared" si="1"/>
        <v>0.61019827199999954</v>
      </c>
      <c r="Q62" s="392">
        <f t="shared" si="2"/>
        <v>0.66431062399999952</v>
      </c>
      <c r="R62" s="392">
        <f t="shared" si="3"/>
        <v>0.38811593600000011</v>
      </c>
      <c r="S62" s="392">
        <f t="shared" si="4"/>
        <v>0.83318780799999925</v>
      </c>
      <c r="T62" s="392">
        <f t="shared" si="5"/>
        <v>0.77647443199999977</v>
      </c>
    </row>
    <row r="63" spans="14:20">
      <c r="N63" s="393">
        <v>2</v>
      </c>
      <c r="O63" s="392">
        <f t="shared" si="0"/>
        <v>0.78170000000000039</v>
      </c>
      <c r="P63" s="392">
        <f t="shared" si="1"/>
        <v>0.61439999999999995</v>
      </c>
      <c r="Q63" s="392">
        <f t="shared" si="2"/>
        <v>0.66859999999999953</v>
      </c>
      <c r="R63" s="392">
        <f t="shared" si="3"/>
        <v>0.39060000000000022</v>
      </c>
      <c r="S63" s="392">
        <f t="shared" si="4"/>
        <v>0.83939999999999926</v>
      </c>
      <c r="T63" s="392">
        <f t="shared" si="5"/>
        <v>0.78170000000000039</v>
      </c>
    </row>
    <row r="64" spans="14:20">
      <c r="N64" s="393">
        <v>2.2000000000000002</v>
      </c>
      <c r="O64" s="392">
        <f t="shared" si="0"/>
        <v>0.78380428800000035</v>
      </c>
      <c r="P64" s="392">
        <f t="shared" si="1"/>
        <v>0.61620396800000077</v>
      </c>
      <c r="Q64" s="392">
        <f t="shared" si="2"/>
        <v>0.67042313600000092</v>
      </c>
      <c r="R64" s="392">
        <f t="shared" si="3"/>
        <v>0.39145526400000036</v>
      </c>
      <c r="S64" s="392">
        <f t="shared" si="4"/>
        <v>0.8425014719999997</v>
      </c>
      <c r="T64" s="392">
        <f t="shared" si="5"/>
        <v>0.78380428800000035</v>
      </c>
    </row>
    <row r="65" spans="14:20">
      <c r="N65" s="393">
        <v>2.2999999999999998</v>
      </c>
      <c r="O65" s="392">
        <f t="shared" si="0"/>
        <v>0.78448818200000014</v>
      </c>
      <c r="P65" s="392">
        <f t="shared" si="1"/>
        <v>0.61684379699999881</v>
      </c>
      <c r="Q65" s="392">
        <f t="shared" si="2"/>
        <v>0.67139002399999981</v>
      </c>
      <c r="R65" s="392">
        <f t="shared" si="3"/>
        <v>0.39166773599999932</v>
      </c>
      <c r="S65" s="392">
        <f t="shared" si="4"/>
        <v>0.84376555799999964</v>
      </c>
      <c r="T65" s="392">
        <f t="shared" si="5"/>
        <v>0.78448818200000014</v>
      </c>
    </row>
    <row r="66" spans="14:20">
      <c r="N66" s="393">
        <v>2.5</v>
      </c>
      <c r="O66" s="392">
        <f t="shared" si="0"/>
        <v>0.78811874999999987</v>
      </c>
      <c r="P66" s="392">
        <f t="shared" si="1"/>
        <v>0.61997187499999973</v>
      </c>
      <c r="Q66" s="392">
        <f t="shared" si="2"/>
        <v>0.67699999999999949</v>
      </c>
      <c r="R66" s="392">
        <f t="shared" si="3"/>
        <v>0.39315000000000072</v>
      </c>
      <c r="S66" s="392">
        <f t="shared" si="4"/>
        <v>0.84898124999999891</v>
      </c>
      <c r="T66" s="392">
        <f t="shared" si="5"/>
        <v>0.78811874999999987</v>
      </c>
    </row>
    <row r="67" spans="14:20">
      <c r="N67" s="393">
        <v>2.8</v>
      </c>
      <c r="O67" s="392">
        <f t="shared" si="0"/>
        <v>0.81519043199999885</v>
      </c>
      <c r="P67" s="392">
        <f t="shared" si="1"/>
        <v>0.64189107199999917</v>
      </c>
      <c r="Q67" s="392">
        <f t="shared" si="2"/>
        <v>0.71302342400000007</v>
      </c>
      <c r="R67" s="392">
        <f t="shared" si="3"/>
        <v>0.4059615359999999</v>
      </c>
      <c r="S67" s="392">
        <f t="shared" si="4"/>
        <v>0.88079980800000013</v>
      </c>
      <c r="T67" s="392">
        <f t="shared" si="5"/>
        <v>0.81519043199999885</v>
      </c>
    </row>
    <row r="68" spans="14:20">
      <c r="N68" s="393">
        <v>3</v>
      </c>
      <c r="O68" s="392">
        <f t="shared" si="0"/>
        <v>0.86719999999999786</v>
      </c>
      <c r="P68" s="392">
        <f t="shared" si="1"/>
        <v>0.68339999999999723</v>
      </c>
      <c r="Q68" s="392">
        <f t="shared" si="2"/>
        <v>0.77750000000000152</v>
      </c>
      <c r="R68" s="392">
        <f t="shared" si="3"/>
        <v>0.43129999999999974</v>
      </c>
      <c r="S68" s="392">
        <f t="shared" si="4"/>
        <v>0.93909999999999916</v>
      </c>
      <c r="T68" s="392">
        <f t="shared" si="5"/>
        <v>0.86719999999999786</v>
      </c>
    </row>
    <row r="108" spans="1:1">
      <c r="A108" s="308" t="s">
        <v>253</v>
      </c>
    </row>
    <row r="109" spans="1:1">
      <c r="A109" s="311" t="s">
        <v>254</v>
      </c>
    </row>
    <row r="110" spans="1:1" ht="16.5" customHeight="1">
      <c r="A110" s="308" t="s">
        <v>255</v>
      </c>
    </row>
    <row r="111" spans="1:1">
      <c r="A111" s="308" t="s">
        <v>256</v>
      </c>
    </row>
    <row r="112" spans="1:1">
      <c r="A112" s="308" t="s">
        <v>257</v>
      </c>
    </row>
  </sheetData>
  <mergeCells count="1">
    <mergeCell ref="A2:O2"/>
  </mergeCells>
  <hyperlinks>
    <hyperlink ref="B38" r:id="rId1" xr:uid="{40A30BFD-7B96-084E-BD2D-A1C14F64D741}"/>
    <hyperlink ref="N45" r:id="rId2" xr:uid="{17669E74-BF0A-4B46-BDA4-89A36A3BA0DA}"/>
    <hyperlink ref="N46" r:id="rId3" xr:uid="{76F27AAC-1846-5549-B784-4BA4F55415D4}"/>
  </hyperlinks>
  <pageMargins left="0.7" right="0.7" top="0.75" bottom="0.75" header="0.3" footer="0.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AAE0-B5E0-C241-BEB6-5743C6C9A838}">
  <sheetPr>
    <pageSetUpPr fitToPage="1"/>
  </sheetPr>
  <dimension ref="A1:W72"/>
  <sheetViews>
    <sheetView tabSelected="1" topLeftCell="A3" zoomScale="130" zoomScaleNormal="130" workbookViewId="0">
      <selection activeCell="D15" sqref="D15"/>
    </sheetView>
  </sheetViews>
  <sheetFormatPr baseColWidth="10" defaultColWidth="8.83203125" defaultRowHeight="15"/>
  <cols>
    <col min="1" max="1" width="33" style="267" customWidth="1"/>
    <col min="2" max="2" width="18.33203125" style="267" bestFit="1" customWidth="1"/>
    <col min="3" max="3" width="13.33203125" style="267" bestFit="1" customWidth="1"/>
    <col min="4" max="4" width="20.5" style="267" customWidth="1"/>
    <col min="5" max="5" width="13.6640625" style="267" customWidth="1"/>
    <col min="6" max="6" width="16.5" style="267" customWidth="1"/>
    <col min="7" max="8" width="21.6640625" style="267" customWidth="1"/>
    <col min="9" max="9" width="15.5" style="267" customWidth="1"/>
    <col min="10" max="10" width="16.33203125" style="267" customWidth="1"/>
    <col min="11" max="11" width="26.6640625" style="267" customWidth="1"/>
    <col min="12" max="12" width="19.6640625" style="267" customWidth="1"/>
    <col min="13" max="16" width="11.6640625" style="267" customWidth="1"/>
    <col min="17" max="18" width="12.5" style="267" bestFit="1" customWidth="1"/>
    <col min="19" max="19" width="11.33203125" style="267" customWidth="1"/>
    <col min="20" max="20" width="18.6640625" style="267" customWidth="1"/>
    <col min="21" max="21" width="12.5" style="267" customWidth="1"/>
    <col min="22" max="23" width="18.6640625" style="267" customWidth="1"/>
    <col min="24" max="24" width="23.5" style="267" customWidth="1"/>
    <col min="25" max="34" width="23.1640625" style="267" customWidth="1"/>
    <col min="35" max="16384" width="8.83203125" style="267"/>
  </cols>
  <sheetData>
    <row r="1" spans="1:23" ht="23.25" customHeight="1">
      <c r="A1" s="395" t="s">
        <v>391</v>
      </c>
      <c r="N1" s="395" t="s">
        <v>391</v>
      </c>
    </row>
    <row r="2" spans="1:23" ht="18.75" customHeight="1">
      <c r="A2" s="489" t="s">
        <v>392</v>
      </c>
      <c r="B2" s="490"/>
      <c r="C2" s="490"/>
      <c r="D2" s="490"/>
      <c r="E2" s="490"/>
      <c r="F2" s="490"/>
      <c r="G2" s="490"/>
      <c r="H2" s="490"/>
      <c r="I2" s="389"/>
      <c r="J2" s="389"/>
      <c r="K2" s="389"/>
      <c r="L2" s="389"/>
      <c r="M2" s="389"/>
      <c r="N2" s="389"/>
      <c r="O2" s="389"/>
      <c r="P2" s="389"/>
    </row>
    <row r="3" spans="1:23" ht="36" customHeight="1">
      <c r="A3" s="489" t="s">
        <v>393</v>
      </c>
      <c r="B3" s="490"/>
      <c r="C3" s="490"/>
      <c r="D3" s="490"/>
      <c r="E3" s="490"/>
      <c r="F3" s="490"/>
      <c r="G3" s="490"/>
      <c r="H3" s="490"/>
      <c r="I3" s="389"/>
      <c r="J3" s="389"/>
      <c r="K3" s="389"/>
      <c r="L3" s="389"/>
      <c r="M3" s="389"/>
      <c r="N3" s="389"/>
      <c r="O3" s="389"/>
      <c r="P3" s="389"/>
    </row>
    <row r="4" spans="1:23" ht="37.5" customHeight="1">
      <c r="A4" s="491" t="s">
        <v>394</v>
      </c>
      <c r="B4" s="492"/>
      <c r="C4" s="492"/>
      <c r="D4" s="492"/>
      <c r="E4" s="492"/>
      <c r="F4" s="492"/>
      <c r="G4" s="492"/>
      <c r="H4" s="492"/>
      <c r="I4" s="389"/>
      <c r="J4" s="389"/>
      <c r="K4" s="389"/>
      <c r="L4" s="389"/>
      <c r="M4" s="389"/>
      <c r="N4" s="389"/>
      <c r="O4" s="389"/>
      <c r="P4" s="389"/>
    </row>
    <row r="5" spans="1:23" s="397" customFormat="1" ht="33.75" customHeight="1">
      <c r="A5" s="491" t="s">
        <v>395</v>
      </c>
      <c r="B5" s="492"/>
      <c r="C5" s="492"/>
      <c r="D5" s="492"/>
      <c r="E5" s="492"/>
      <c r="F5" s="492"/>
      <c r="G5" s="492"/>
      <c r="H5" s="492"/>
      <c r="I5" s="396"/>
      <c r="J5" s="396"/>
      <c r="K5" s="396"/>
      <c r="L5" s="396"/>
      <c r="M5" s="396"/>
      <c r="N5" s="396"/>
      <c r="O5" s="396"/>
      <c r="P5" s="396"/>
    </row>
    <row r="6" spans="1:23">
      <c r="A6" s="432" t="s">
        <v>463</v>
      </c>
      <c r="B6" s="432"/>
      <c r="C6" s="432"/>
      <c r="E6" s="389"/>
      <c r="G6" s="389"/>
      <c r="H6" s="389"/>
      <c r="I6" s="389"/>
      <c r="J6" s="389"/>
      <c r="K6" s="389"/>
      <c r="L6" s="389"/>
      <c r="M6" s="389"/>
      <c r="N6" s="389"/>
      <c r="O6" s="389"/>
      <c r="P6" s="389"/>
    </row>
    <row r="7" spans="1:23">
      <c r="A7" s="433" t="s">
        <v>464</v>
      </c>
      <c r="B7" s="389"/>
      <c r="C7" s="389"/>
      <c r="E7" s="389"/>
      <c r="F7" s="434"/>
      <c r="G7" s="389"/>
      <c r="H7" s="389"/>
      <c r="I7" s="389"/>
      <c r="J7" s="389"/>
      <c r="K7" s="389"/>
      <c r="L7" s="389"/>
      <c r="M7" s="389"/>
      <c r="N7" s="389"/>
      <c r="O7" s="389"/>
      <c r="P7" s="389"/>
    </row>
    <row r="8" spans="1:23">
      <c r="A8" s="433" t="s">
        <v>465</v>
      </c>
      <c r="B8" s="389"/>
      <c r="C8" s="389"/>
      <c r="E8" s="389"/>
      <c r="F8" s="434"/>
      <c r="G8" s="389"/>
      <c r="H8" s="389"/>
      <c r="I8" s="389"/>
      <c r="J8" s="389"/>
      <c r="K8" s="389"/>
      <c r="L8" s="389"/>
      <c r="M8" s="389"/>
      <c r="N8" s="389"/>
      <c r="O8" s="389"/>
      <c r="P8" s="389"/>
    </row>
    <row r="9" spans="1:23">
      <c r="A9" s="267" t="s">
        <v>466</v>
      </c>
    </row>
    <row r="10" spans="1:23">
      <c r="A10" s="267" t="s">
        <v>467</v>
      </c>
      <c r="Q10" s="389"/>
      <c r="R10" s="389"/>
      <c r="S10" s="389"/>
      <c r="T10" s="389"/>
      <c r="U10" s="389"/>
    </row>
    <row r="11" spans="1:23" ht="45">
      <c r="A11" s="398" t="s">
        <v>440</v>
      </c>
      <c r="B11" s="399" t="s">
        <v>441</v>
      </c>
      <c r="C11" s="398" t="s">
        <v>442</v>
      </c>
      <c r="D11" s="399" t="s">
        <v>443</v>
      </c>
      <c r="E11" s="399" t="s">
        <v>444</v>
      </c>
      <c r="F11" s="399" t="s">
        <v>445</v>
      </c>
      <c r="G11" s="399" t="s">
        <v>446</v>
      </c>
      <c r="H11" s="399" t="s">
        <v>447</v>
      </c>
      <c r="I11" s="399" t="s">
        <v>448</v>
      </c>
      <c r="J11" s="399" t="s">
        <v>449</v>
      </c>
      <c r="K11" s="399" t="s">
        <v>450</v>
      </c>
      <c r="L11" s="399" t="s">
        <v>451</v>
      </c>
      <c r="M11" s="399" t="s">
        <v>452</v>
      </c>
      <c r="N11" s="399" t="s">
        <v>453</v>
      </c>
      <c r="O11" s="399" t="s">
        <v>454</v>
      </c>
      <c r="P11" s="399" t="s">
        <v>455</v>
      </c>
      <c r="Q11" s="399" t="s">
        <v>456</v>
      </c>
      <c r="R11" s="399" t="s">
        <v>457</v>
      </c>
      <c r="S11" s="399" t="s">
        <v>458</v>
      </c>
      <c r="T11" s="399" t="s">
        <v>459</v>
      </c>
      <c r="U11" s="399" t="s">
        <v>460</v>
      </c>
      <c r="V11" s="399" t="s">
        <v>461</v>
      </c>
      <c r="W11" s="399" t="s">
        <v>462</v>
      </c>
    </row>
    <row r="12" spans="1:23">
      <c r="A12" s="400" t="s">
        <v>419</v>
      </c>
      <c r="B12" s="400" t="s">
        <v>420</v>
      </c>
      <c r="C12" s="401">
        <v>2009</v>
      </c>
      <c r="D12" s="400" t="s">
        <v>19</v>
      </c>
      <c r="E12" s="402">
        <v>1</v>
      </c>
      <c r="F12" s="403">
        <v>2</v>
      </c>
      <c r="G12" s="404"/>
      <c r="H12" s="404"/>
      <c r="I12" s="405">
        <f>ExistingBMPs[[#This Row],[Drainage Area (ac)]]*ExistingBMPs[[#This Row],[Impervious (%)]]</f>
        <v>0.15</v>
      </c>
      <c r="J12" s="405">
        <f>IFERROR(MIN(ExistingBMPs[[#This Row],[Treatment Depth (in)]]*ExistingBMPs[[#This Row],[Drainage Area (ac)]]/ExistingBMPs[[#This Row],[Impervious Area (ac)]],2.5),NA())</f>
        <v>2.5</v>
      </c>
      <c r="K12" s="403"/>
      <c r="L12" s="405">
        <f>IF(ExistingBMPs[[#This Row],[Treatment Depth (in/imp. ac) Manual Override - use if no impervious area]]&gt;0,ExistingBMPs[[#This Row],[Treatment Depth (in/imp. ac) Manual Override - use if no impervious area]],ExistingBMPs[[#This Row],[Treatment Depth (in/imp. ac)]])</f>
        <v>2.5</v>
      </c>
      <c r="M12" s="406">
        <f>IF(ExistingBMPs[[#This Row],[BMP Type]]="Stream Restoration",NA(),IFERROR(INDEX([1]!Impervious[#All],MATCH(ExistingBMPs[[#This Row],[MapShed Land Cover of Drainage Area]],[1]!Impervious[[#All],[Source]],0),4),0))</f>
        <v>0.15</v>
      </c>
      <c r="N12" s="407">
        <f>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f>
        <v>923.9</v>
      </c>
      <c r="O12" s="407">
        <f>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f>
        <v>0.5</v>
      </c>
      <c r="P12" s="407">
        <f>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f>
        <v>5</v>
      </c>
      <c r="Q12" s="406">
        <f>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f>
        <v>0.84898124999999891</v>
      </c>
      <c r="R12" s="406">
        <f>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f>
        <v>0.78811874999999987</v>
      </c>
      <c r="S12" s="406">
        <f>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f>
        <v>0.67699999999999949</v>
      </c>
      <c r="T12" s="407">
        <f>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f>
        <v>784.37377687499895</v>
      </c>
      <c r="U12" s="407">
        <f>ExistingBMPs[[#This Row],[TSS Reduction (lbs/yr)]]/2000</f>
        <v>0.39218688843749949</v>
      </c>
      <c r="V12" s="407">
        <f>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f>
        <v>0.39405937499999993</v>
      </c>
      <c r="W12" s="407">
        <f>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f>
        <v>3.3849999999999976</v>
      </c>
    </row>
    <row r="13" spans="1:23">
      <c r="A13" s="400" t="s">
        <v>421</v>
      </c>
      <c r="B13" s="400" t="s">
        <v>422</v>
      </c>
      <c r="C13" s="401">
        <v>2015</v>
      </c>
      <c r="D13" s="400" t="s">
        <v>20</v>
      </c>
      <c r="E13" s="402">
        <v>32</v>
      </c>
      <c r="F13" s="403">
        <v>2</v>
      </c>
      <c r="G13" s="404"/>
      <c r="H13" s="404"/>
      <c r="I13" s="405">
        <f>ExistingBMPs[[#This Row],[Drainage Area (ac)]]*ExistingBMPs[[#This Row],[Impervious (%)]]</f>
        <v>16.64</v>
      </c>
      <c r="J13" s="405">
        <f>IFERROR(MIN(ExistingBMPs[[#This Row],[Treatment Depth (in)]]*ExistingBMPs[[#This Row],[Drainage Area (ac)]]/ExistingBMPs[[#This Row],[Impervious Area (ac)]],2.5),NA())</f>
        <v>2.5</v>
      </c>
      <c r="K13" s="403"/>
      <c r="L13" s="405">
        <f>IF(ExistingBMPs[[#This Row],[Treatment Depth (in/imp. ac) Manual Override - use if no impervious area]]&gt;0,ExistingBMPs[[#This Row],[Treatment Depth (in/imp. ac) Manual Override - use if no impervious area]],ExistingBMPs[[#This Row],[Treatment Depth (in/imp. ac)]])</f>
        <v>2.5</v>
      </c>
      <c r="M13" s="406">
        <f>IF(ExistingBMPs[[#This Row],[BMP Type]]="Stream Restoration",NA(),IFERROR(INDEX([1]!Impervious[#All],MATCH(ExistingBMPs[[#This Row],[MapShed Land Cover of Drainage Area]],[1]!Impervious[[#All],[Source]],0),4),0))</f>
        <v>0.52</v>
      </c>
      <c r="N13" s="407">
        <f>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f>
        <v>53840</v>
      </c>
      <c r="O13" s="407">
        <f>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f>
        <v>16</v>
      </c>
      <c r="P13" s="407">
        <f>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f>
        <v>160</v>
      </c>
      <c r="Q13" s="406">
        <f>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f>
        <v>0.78811874999999987</v>
      </c>
      <c r="R13" s="406">
        <f>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f>
        <v>0.61997187499999973</v>
      </c>
      <c r="S13" s="406">
        <f>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f>
        <v>0.39315000000000072</v>
      </c>
      <c r="T13" s="407">
        <f>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f>
        <v>42432.313499999989</v>
      </c>
      <c r="U13" s="407">
        <f>ExistingBMPs[[#This Row],[TSS Reduction (lbs/yr)]]/2000</f>
        <v>21.216156749999996</v>
      </c>
      <c r="V13" s="407">
        <f>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f>
        <v>9.9195499999999956</v>
      </c>
      <c r="W13" s="407">
        <f>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f>
        <v>62.904000000000117</v>
      </c>
    </row>
    <row r="14" spans="1:23">
      <c r="A14" s="400" t="s">
        <v>423</v>
      </c>
      <c r="B14" s="400" t="s">
        <v>420</v>
      </c>
      <c r="C14" s="401">
        <v>2010</v>
      </c>
      <c r="D14" s="400" t="s">
        <v>21</v>
      </c>
      <c r="E14" s="402">
        <v>6</v>
      </c>
      <c r="F14" s="403">
        <v>2</v>
      </c>
      <c r="G14" s="404"/>
      <c r="H14" s="404"/>
      <c r="I14" s="405">
        <f>ExistingBMPs[[#This Row],[Drainage Area (ac)]]*ExistingBMPs[[#This Row],[Impervious (%)]]</f>
        <v>5.22</v>
      </c>
      <c r="J14" s="405">
        <f>IFERROR(MIN(ExistingBMPs[[#This Row],[Treatment Depth (in)]]*ExistingBMPs[[#This Row],[Drainage Area (ac)]]/ExistingBMPs[[#This Row],[Impervious Area (ac)]],2.5),NA())</f>
        <v>2.298850574712644</v>
      </c>
      <c r="K14" s="403"/>
      <c r="L14" s="405">
        <f>IF(ExistingBMPs[[#This Row],[Treatment Depth (in/imp. ac) Manual Override - use if no impervious area]]&gt;0,ExistingBMPs[[#This Row],[Treatment Depth (in/imp. ac) Manual Override - use if no impervious area]],ExistingBMPs[[#This Row],[Treatment Depth (in/imp. ac)]])</f>
        <v>2.298850574712644</v>
      </c>
      <c r="M14" s="406">
        <f>IF(ExistingBMPs[[#This Row],[BMP Type]]="Stream Restoration",NA(),IFERROR(INDEX([1]!Impervious[#All],MATCH(ExistingBMPs[[#This Row],[MapShed Land Cover of Drainage Area]],[1]!Impervious[[#All],[Source]],0),4),0))</f>
        <v>0.87</v>
      </c>
      <c r="N14" s="407">
        <f>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f>
        <v>14217</v>
      </c>
      <c r="O14" s="407">
        <f>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f>
        <v>3</v>
      </c>
      <c r="P14" s="407">
        <f>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f>
        <v>30</v>
      </c>
      <c r="Q14" s="406">
        <f>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f>
        <v>0.84374902243371985</v>
      </c>
      <c r="R14" s="406">
        <f>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f>
        <v>0.78447887832736918</v>
      </c>
      <c r="S14" s="406">
        <f>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f>
        <v>0.67137529215454383</v>
      </c>
      <c r="T14" s="407">
        <f>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f>
        <v>11995.579851940196</v>
      </c>
      <c r="U14" s="407">
        <f>ExistingBMPs[[#This Row],[TSS Reduction (lbs/yr)]]/2000</f>
        <v>5.997789925970098</v>
      </c>
      <c r="V14" s="407">
        <f>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f>
        <v>2.3534366349821076</v>
      </c>
      <c r="W14" s="407">
        <f>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f>
        <v>20.141258764636316</v>
      </c>
    </row>
    <row r="15" spans="1:23">
      <c r="A15" s="400" t="s">
        <v>424</v>
      </c>
      <c r="B15" s="400" t="s">
        <v>420</v>
      </c>
      <c r="C15" s="401">
        <v>2010</v>
      </c>
      <c r="D15" s="400" t="s">
        <v>10</v>
      </c>
      <c r="E15" s="402">
        <v>3</v>
      </c>
      <c r="F15" s="403">
        <v>1</v>
      </c>
      <c r="G15" s="404"/>
      <c r="H15" s="404"/>
      <c r="I15" s="405">
        <f>ExistingBMPs[[#This Row],[Drainage Area (ac)]]*ExistingBMPs[[#This Row],[Impervious (%)]]</f>
        <v>0</v>
      </c>
      <c r="J15" s="405" t="e">
        <f>IFERROR(MIN(ExistingBMPs[[#This Row],[Treatment Depth (in)]]*ExistingBMPs[[#This Row],[Drainage Area (ac)]]/ExistingBMPs[[#This Row],[Impervious Area (ac)]],2.5),NA())</f>
        <v>#N/A</v>
      </c>
      <c r="K15" s="403"/>
      <c r="L15" s="405" t="e">
        <f>IF(ExistingBMPs[[#This Row],[Treatment Depth (in/imp. ac) Manual Override - use if no impervious area]]&gt;0,ExistingBMPs[[#This Row],[Treatment Depth (in/imp. ac) Manual Override - use if no impervious area]],ExistingBMPs[[#This Row],[Treatment Depth (in/imp. ac)]])</f>
        <v>#N/A</v>
      </c>
      <c r="M15" s="406">
        <f>IF(ExistingBMPs[[#This Row],[BMP Type]]="Stream Restoration",NA(),IFERROR(INDEX([1]!Impervious[#All],MATCH(ExistingBMPs[[#This Row],[MapShed Land Cover of Drainage Area]],[1]!Impervious[[#All],[Source]],0),4),0))</f>
        <v>0</v>
      </c>
      <c r="N15" s="407">
        <f>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f>
        <v>3350.1000000000004</v>
      </c>
      <c r="O15" s="407">
        <f>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f>
        <v>0</v>
      </c>
      <c r="P15" s="407">
        <f>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f>
        <v>0</v>
      </c>
      <c r="Q15" s="406" t="e">
        <f>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f>
        <v>#N/A</v>
      </c>
      <c r="R15" s="406" t="e">
        <f>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f>
        <v>#N/A</v>
      </c>
      <c r="S15" s="406" t="e">
        <f>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f>
        <v>#N/A</v>
      </c>
      <c r="T15" s="407" t="e">
        <f>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f>
        <v>#N/A</v>
      </c>
      <c r="U15" s="407" t="e">
        <f>ExistingBMPs[[#This Row],[TSS Reduction (lbs/yr)]]/2000</f>
        <v>#N/A</v>
      </c>
      <c r="V15" s="407" t="e">
        <f>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f>
        <v>#N/A</v>
      </c>
      <c r="W15" s="407" t="e">
        <f>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f>
        <v>#N/A</v>
      </c>
    </row>
    <row r="16" spans="1:23">
      <c r="A16" s="400" t="s">
        <v>425</v>
      </c>
      <c r="B16" s="400" t="s">
        <v>420</v>
      </c>
      <c r="C16" s="401">
        <v>2010</v>
      </c>
      <c r="D16" s="400" t="s">
        <v>9</v>
      </c>
      <c r="E16" s="402">
        <v>1.5</v>
      </c>
      <c r="F16" s="403">
        <v>1</v>
      </c>
      <c r="G16" s="404"/>
      <c r="H16" s="404"/>
      <c r="I16" s="405">
        <f>ExistingBMPs[[#This Row],[Drainage Area (ac)]]*ExistingBMPs[[#This Row],[Impervious (%)]]</f>
        <v>0</v>
      </c>
      <c r="J16" s="405" t="e">
        <f>IFERROR(MIN(ExistingBMPs[[#This Row],[Treatment Depth (in)]]*ExistingBMPs[[#This Row],[Drainage Area (ac)]]/ExistingBMPs[[#This Row],[Impervious Area (ac)]],2.5),NA())</f>
        <v>#N/A</v>
      </c>
      <c r="K16" s="403">
        <v>1.92</v>
      </c>
      <c r="L16" s="405">
        <f>IF(ExistingBMPs[[#This Row],[Treatment Depth (in/imp. ac) Manual Override - use if no impervious area]]&gt;0,ExistingBMPs[[#This Row],[Treatment Depth (in/imp. ac) Manual Override - use if no impervious area]],ExistingBMPs[[#This Row],[Treatment Depth (in/imp. ac)]])</f>
        <v>1.92</v>
      </c>
      <c r="M16" s="406">
        <f>IF(ExistingBMPs[[#This Row],[BMP Type]]="Stream Restoration",NA(),IFERROR(INDEX([1]!Impervious[#All],MATCH(ExistingBMPs[[#This Row],[MapShed Land Cover of Drainage Area]],[1]!Impervious[[#All],[Source]],0),4),0))</f>
        <v>0</v>
      </c>
      <c r="N16" s="407">
        <f>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f>
        <v>624</v>
      </c>
      <c r="O16" s="407">
        <f>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f>
        <v>0.75</v>
      </c>
      <c r="P16" s="407">
        <f>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f>
        <v>0.75</v>
      </c>
      <c r="Q16" s="406">
        <f>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f>
        <v>0.83739238316031916</v>
      </c>
      <c r="R16" s="406">
        <f>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f>
        <v>0.78007825200128</v>
      </c>
      <c r="S16" s="406">
        <f>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f>
        <v>0.66729601120255999</v>
      </c>
      <c r="T16" s="407">
        <f>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f>
        <v>522.53284709203911</v>
      </c>
      <c r="U16" s="407">
        <f>ExistingBMPs[[#This Row],[TSS Reduction (lbs/yr)]]/2000</f>
        <v>0.26126642354601953</v>
      </c>
      <c r="V16" s="407">
        <f>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f>
        <v>0.58505868900096003</v>
      </c>
      <c r="W16" s="407">
        <f>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f>
        <v>0.50047200840191997</v>
      </c>
    </row>
    <row r="17" spans="1:23">
      <c r="A17" s="400" t="s">
        <v>426</v>
      </c>
      <c r="B17" s="400" t="s">
        <v>427</v>
      </c>
      <c r="C17" s="401">
        <v>2014</v>
      </c>
      <c r="D17" s="400"/>
      <c r="E17" s="402"/>
      <c r="F17" s="403"/>
      <c r="G17" s="404">
        <v>500</v>
      </c>
      <c r="H17" s="404"/>
      <c r="I17" s="405" t="e">
        <f>ExistingBMPs[[#This Row],[Drainage Area (ac)]]*ExistingBMPs[[#This Row],[Impervious (%)]]</f>
        <v>#N/A</v>
      </c>
      <c r="J17" s="405" t="e">
        <f>IFERROR(MIN(ExistingBMPs[[#This Row],[Treatment Depth (in)]]*ExistingBMPs[[#This Row],[Drainage Area (ac)]]/ExistingBMPs[[#This Row],[Impervious Area (ac)]],2.5),NA())</f>
        <v>#N/A</v>
      </c>
      <c r="K17" s="403"/>
      <c r="L17" s="405" t="e">
        <f>IF(ExistingBMPs[[#This Row],[Treatment Depth (in/imp. ac) Manual Override - use if no impervious area]]&gt;0,ExistingBMPs[[#This Row],[Treatment Depth (in/imp. ac) Manual Override - use if no impervious area]],ExistingBMPs[[#This Row],[Treatment Depth (in/imp. ac)]])</f>
        <v>#N/A</v>
      </c>
      <c r="M17" s="406" t="e">
        <f>IF(ExistingBMPs[[#This Row],[BMP Type]]="Stream Restoration",NA(),IFERROR(INDEX([1]!Impervious[#All],MATCH(ExistingBMPs[[#This Row],[MapShed Land Cover of Drainage Area]],[1]!Impervious[[#All],[Source]],0),4),0))</f>
        <v>#N/A</v>
      </c>
      <c r="N17" s="407" t="e">
        <f>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f>
        <v>#N/A</v>
      </c>
      <c r="O17" s="407" t="e">
        <f>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f>
        <v>#N/A</v>
      </c>
      <c r="P17" s="407" t="e">
        <f>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f>
        <v>#N/A</v>
      </c>
      <c r="Q17" s="406">
        <f>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f>
        <v>0</v>
      </c>
      <c r="R17" s="406">
        <f>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f>
        <v>0</v>
      </c>
      <c r="S17" s="406">
        <f>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f>
        <v>0</v>
      </c>
      <c r="T17" s="407">
        <f>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f>
        <v>57500</v>
      </c>
      <c r="U17" s="407">
        <f>ExistingBMPs[[#This Row],[TSS Reduction (lbs/yr)]]/2000</f>
        <v>28.75</v>
      </c>
      <c r="V17" s="407">
        <f>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f>
        <v>87</v>
      </c>
      <c r="W17" s="407">
        <f>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f>
        <v>96</v>
      </c>
    </row>
    <row r="18" spans="1:23">
      <c r="A18" s="400" t="s">
        <v>428</v>
      </c>
      <c r="B18" s="400" t="s">
        <v>429</v>
      </c>
      <c r="C18" s="401">
        <v>2012</v>
      </c>
      <c r="D18" s="400" t="s">
        <v>430</v>
      </c>
      <c r="E18" s="402"/>
      <c r="F18" s="403"/>
      <c r="G18" s="404"/>
      <c r="H18" s="404">
        <v>2000</v>
      </c>
      <c r="I18" s="405">
        <f>ExistingBMPs[[#This Row],[Drainage Area (ac)]]*ExistingBMPs[[#This Row],[Impervious (%)]]</f>
        <v>0</v>
      </c>
      <c r="J18" s="405" t="e">
        <f>IFERROR(MIN(ExistingBMPs[[#This Row],[Treatment Depth (in)]]*ExistingBMPs[[#This Row],[Drainage Area (ac)]]/ExistingBMPs[[#This Row],[Impervious Area (ac)]],2.5),NA())</f>
        <v>#N/A</v>
      </c>
      <c r="K18" s="403"/>
      <c r="L18" s="405" t="e">
        <f>IF(ExistingBMPs[[#This Row],[Treatment Depth (in/imp. ac) Manual Override - use if no impervious area]]&gt;0,ExistingBMPs[[#This Row],[Treatment Depth (in/imp. ac) Manual Override - use if no impervious area]],ExistingBMPs[[#This Row],[Treatment Depth (in/imp. ac)]])</f>
        <v>#N/A</v>
      </c>
      <c r="M18" s="406">
        <f>IF(ExistingBMPs[[#This Row],[BMP Type]]="Stream Restoration",NA(),IFERROR(INDEX([1]!Impervious[#All],MATCH(ExistingBMPs[[#This Row],[MapShed Land Cover of Drainage Area]],[1]!Impervious[[#All],[Source]],0),4),0))</f>
        <v>0.15</v>
      </c>
      <c r="N18" s="407">
        <f>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f>
        <v>1.2603305785123966</v>
      </c>
      <c r="O18" s="407">
        <f>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f>
        <v>6.8870523415977963E-3</v>
      </c>
      <c r="P18" s="407">
        <f>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f>
        <v>6.8870523415977963E-2</v>
      </c>
      <c r="Q18" s="406">
        <f>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f>
        <v>0.1</v>
      </c>
      <c r="R18" s="406">
        <f>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f>
        <v>0.1</v>
      </c>
      <c r="S18" s="406">
        <f>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f>
        <v>0.1</v>
      </c>
      <c r="T18" s="407">
        <f>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f>
        <v>0.12603305785123967</v>
      </c>
      <c r="U18" s="407">
        <f>ExistingBMPs[[#This Row],[TSS Reduction (lbs/yr)]]/2000</f>
        <v>6.3016528925619836E-5</v>
      </c>
      <c r="V18" s="407">
        <f>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f>
        <v>6.8870523415977963E-4</v>
      </c>
      <c r="W18" s="407">
        <f>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f>
        <v>6.8870523415977963E-3</v>
      </c>
    </row>
    <row r="19" spans="1:23">
      <c r="A19" s="400" t="s">
        <v>431</v>
      </c>
      <c r="B19" s="400" t="s">
        <v>429</v>
      </c>
      <c r="C19" s="401">
        <v>2015</v>
      </c>
      <c r="D19" s="401" t="s">
        <v>432</v>
      </c>
      <c r="E19" s="402"/>
      <c r="F19" s="403"/>
      <c r="G19" s="404"/>
      <c r="H19" s="404">
        <v>20000</v>
      </c>
      <c r="I19" s="405">
        <f>ExistingBMPs[[#This Row],[Drainage Area (ac)]]*ExistingBMPs[[#This Row],[Impervious (%)]]</f>
        <v>0</v>
      </c>
      <c r="J19" s="405" t="e">
        <f>IFERROR(MIN(ExistingBMPs[[#This Row],[Treatment Depth (in)]]*ExistingBMPs[[#This Row],[Drainage Area (ac)]]/ExistingBMPs[[#This Row],[Impervious Area (ac)]],2.5),NA())</f>
        <v>#N/A</v>
      </c>
      <c r="K19" s="403"/>
      <c r="L19" s="405" t="e">
        <f>IF(ExistingBMPs[[#This Row],[Treatment Depth (in/imp. ac) Manual Override - use if no impervious area]]&gt;0,ExistingBMPs[[#This Row],[Treatment Depth (in/imp. ac) Manual Override - use if no impervious area]],ExistingBMPs[[#This Row],[Treatment Depth (in/imp. ac)]])</f>
        <v>#N/A</v>
      </c>
      <c r="M19" s="406">
        <f>IF(ExistingBMPs[[#This Row],[BMP Type]]="Stream Restoration",NA(),IFERROR(INDEX([1]!Impervious[#All],MATCH(ExistingBMPs[[#This Row],[MapShed Land Cover of Drainage Area]],[1]!Impervious[[#All],[Source]],0),4),0))</f>
        <v>0.87</v>
      </c>
      <c r="N19" s="407">
        <f>IF(ExistingBMPs[[#This Row],[BMP Type]]="Street Sweeping",ExistingBMPs[[#This Row],[Street Sweeping* Road Length Swept (ft) - Qualified projects only]]*[1]!Street_Sweeping[Road Width (ft)]/43560*INDEX([1]!Loading_Rates[#All],MATCH(ExistingBMPs[[#This Row],[MapShed Land Cover of Drainage Area]],[1]!Loading_Rates[[#All],[Source]],0),2)*ExistingBMPs[[#This Row],[Impervious (%)]],IF(ExistingBMPs[[#This Row],[BMP Type]]="Stream Restoration",NA(),INDEX([1]!Loading_Rates[#All],MATCH(ExistingBMPs[[#This Row],[MapShed Land Cover of Drainage Area]],[1]!Loading_Rates[[#All],[Source]],0),2)*ExistingBMPs[[#This Row],[Drainage Area (ac)]]))</f>
        <v>330.90358126721759</v>
      </c>
      <c r="O19" s="407">
        <f>IF(ExistingBMPs[[#This Row],[BMP Type]]="Street Sweeping",ExistingBMPs[[#This Row],[Street Sweeping* Road Length Swept (ft) - Qualified projects only]]*[1]!Street_Sweeping[Road Width (ft)]/43560*INDEX([1]!Loading_Rates[#All],MATCH(ExistingBMPs[[#This Row],[MapShed Land Cover of Drainage Area]],[1]!Loading_Rates[[#All],[Source]],0),3)*ExistingBMPs[[#This Row],[Impervious (%)]],IF(ExistingBMPs[[#This Row],[BMP Type]]="Stream Restoration",NA(),INDEX([1]!Loading_Rates[#All],MATCH(ExistingBMPs[[#This Row],[MapShed Land Cover of Drainage Area]],[1]!Loading_Rates[[#All],[Source]],0),3)*ExistingBMPs[[#This Row],[Drainage Area (ac)]]))</f>
        <v>0.39944903581267216</v>
      </c>
      <c r="P19" s="407">
        <f>IF(ExistingBMPs[[#This Row],[BMP Type]]="Street Sweeping",ExistingBMPs[[#This Row],[Street Sweeping* Road Length Swept (ft) - Qualified projects only]]*[1]!Street_Sweeping[Road Width (ft)]/43560*INDEX([1]!Loading_Rates[#All],MATCH(ExistingBMPs[[#This Row],[MapShed Land Cover of Drainage Area]],[1]!Loading_Rates[[#All],[Source]],0),4)*ExistingBMPs[[#This Row],[Impervious (%)]],IF(ExistingBMPs[[#This Row],[BMP Type]]="Stream Restoration",NA(),INDEX([1]!Loading_Rates[#All],MATCH(ExistingBMPs[[#This Row],[MapShed Land Cover of Drainage Area]],[1]!Loading_Rates[[#All],[Source]],0),4)*ExistingBMPs[[#This Row],[Drainage Area (ac)]]))</f>
        <v>3.9944903581267215</v>
      </c>
      <c r="Q19" s="406">
        <f>IF(ExistingBMPs[[#This Row],[BMP Type]]="RR",0.0326*ExistingBMPs[[#This Row],[Effective Treatment Depth (in/imp. ac)]]^5-0.2806*ExistingBMPs[[#This Row],[Effective Treatment Depth (in/imp. ac)]]^4+0.9816*ExistingBMPs[[#This Row],[Effective Treatment Depth (in/imp. ac)]]^3-1.8039*ExistingBMPs[[#This Row],[Effective Treatment Depth (in/imp. ac)]]^2+1.8292*ExistingBMPs[[#This Row],[Effective Treatment Depth (in/imp. ac)]]-0.0098,IF(ExistingBMPs[[#This Row],[BMP Type]]="ST",0.0304*ExistingBMPs[[#This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Type]]="Street Sweeping",[1]!Street_Sweeping[TSS Reduction (%)],IF(OR(ExistingBMPs[[#This Row],[BMP Type]]="Other",ExistingBMPs[[#This Row],[BMP Type]]="Stream Restoration"),0,1))))</f>
        <v>0.1</v>
      </c>
      <c r="R19" s="406">
        <f>IF(ExistingBMPs[[#This Row],[BMP Type]]="RR",0.0304*ExistingBMPs[[#This Row],[Effective Treatment Depth (in/imp. ac)]]^5-0.2619*ExistingBMPs[[#This Row],[Effective Treatment Depth (in/imp. ac)]]^4+0.9161*ExistingBMPs[[#This Row],[Effective Treatment Depth (in/imp. ac)]]^3-1.6837*ExistingBMPs[[#This Row],[Effective Treatment Depth (in/imp. ac)]]^2+1.7072*ExistingBMPs[[#This Row],[Effective Treatment Depth (in/imp. ac)]]-0.0091,IF(ExistingBMPs[[#This Row],[BMP Type]]="ST",0.0239*ExistingBMPs[[#This Row],[Effective Treatment Depth (in/imp. ac)]]^5-0.2058*ExistingBMPs[[#This Row],[Effective Treatment Depth (in/imp. ac)]]^4+0.7198*ExistingBMPs[[#This Row],[Effective Treatment Depth (in/imp. ac)]]^3-1.3229*ExistingBMPs[[#This Row],[Effective Treatment Depth (in/imp. ac)]]^2+1.3414*ExistingBMPs[[#This Row],[Effective Treatment Depth (in/imp. ac)]]-0.0072,IF(ExistingBMPs[[#This Row],[BMP Type]]="Street Sweeping",[1]!Street_Sweeping[TP Reduction (%)],IF(OR(ExistingBMPs[[#This Row],[BMP Type]]="Other",ExistingBMPs[[#This Row],[BMP Type]]="Stream Restoration"),0,1))))</f>
        <v>0.1</v>
      </c>
      <c r="S19" s="406">
        <f>IF(ExistingBMPs[[#This Row],[BMP Type]]="RR",0.0308*ExistingBMPs[[#This Row],[Effective Treatment Depth (in/imp. ac)]]^5-0.2562*ExistingBMPs[[#This Row],[Effective Treatment Depth (in/imp. ac)]]^4+0.8634*ExistingBMPs[[#This Row],[Effective Treatment Depth (in/imp. ac)]]^3-1.5285*ExistingBMPs[[#This Row],[Effective Treatment Depth (in/imp. ac)]]^2+1.501*ExistingBMPs[[#This Row],[Effective Treatment Depth (in/imp. ac)]]-0.013,IF(ExistingBMPs[[#This Row],[BMP Type]]="ST",0.0152*ExistingBMPs[[#This Row],[Effective Treatment Depth (in/imp. ac)]]^5-0.131*ExistingBMPs[[#This Row],[Effective Treatment Depth (in/imp. ac)]]^4+0.4581*ExistingBMPs[[#This Row],[Effective Treatment Depth (in/imp. ac)]]^3-0.8418*ExistingBMPs[[#This Row],[Effective Treatment Depth (in/imp. ac)]]^2+0.8536*ExistingBMPs[[#This Row],[Effective Treatment Depth (in/imp. ac)]]-0.0046,IF(ExistingBMPs[[#This Row],[BMP Type]]="Street Sweeping",[1]!Street_Sweeping[TN Reduction (%)],IF(OR(ExistingBMPs[[#This Row],[BMP Type]]="Other",ExistingBMPs[[#This Row],[BMP Type]]="Stream Restoration"),0,1))))</f>
        <v>0.1</v>
      </c>
      <c r="T19" s="407">
        <f>IF(ExistingBMPs[[#This Row],[TSS Reduction (%)]]&gt;0,IF(ExistingBMPs[[#This Row],[BMP Type]]="Street Sweeping",ExistingBMPs[[#This Row],[TSS Load (lbs/yr)]]*ExistingBMPs[[#This Row],[TSS Reduction (%)]],INDEX([1]!Loading_Rates[#All],MATCH(ExistingBMPs[[#This Row],[MapShed Land Cover of Drainage Area]],[1]!Loading_Rates[[#All],[Source]],0),2)*ExistingBMPs[[#This Row],[Drainage Area (ac)]]*ExistingBMPs[[#This Row],[TSS Reduction (%)]]),IF(ExistingBMPs[[#This Row],[BMP Type]]="Stream Restoration",[1]!Stream_Nutrients[TSS (lbs/ft/yr)]*ExistingBMPs[[#This Row],[Stream Restoration* Length (ft) - Qualified projects only]],0))</f>
        <v>33.09035812672176</v>
      </c>
      <c r="U19" s="407">
        <f>ExistingBMPs[[#This Row],[TSS Reduction (lbs/yr)]]/2000</f>
        <v>1.6545179063360879E-2</v>
      </c>
      <c r="V19" s="407">
        <f>IF(ExistingBMPs[[#This Row],[TP Reduction (%)]]&gt;0,IF(ExistingBMPs[[#This Row],[BMP Type]]="Street Sweeping",ExistingBMPs[[#This Row],[TP Load (lbs/yr)]]*ExistingBMPs[[#This Row],[TP Reduction (%)]],INDEX([1]!Loading_Rates[#All],MATCH(ExistingBMPs[[#This Row],[MapShed Land Cover of Drainage Area]],[1]!Loading_Rates[[#All],[Source]],0),3)*ExistingBMPs[[#This Row],[Drainage Area (ac)]]*ExistingBMPs[[#This Row],[TP Reduction (%)]]),IF(ExistingBMPs[[#This Row],[BMP Type]]="Stream Restoration",[1]!Stream_Nutrients[TP (lbs/ft/yr)]*ExistingBMPs[[#This Row],[Stream Restoration* Length (ft) - Qualified projects only]],0))</f>
        <v>3.9944903581267219E-2</v>
      </c>
      <c r="W19" s="407">
        <f>IF(ExistingBMPs[[#This Row],[TN Reduction (%)]]&gt;0,IF(ExistingBMPs[[#This Row],[BMP Type]]="Street Sweeping",ExistingBMPs[[#This Row],[TN Load (lbs/yr)]]*ExistingBMPs[[#This Row],[TN Reduction (%)]],INDEX([1]!Loading_Rates[#All],MATCH(ExistingBMPs[[#This Row],[MapShed Land Cover of Drainage Area]],[1]!Loading_Rates[[#All],[Source]],0),4)*ExistingBMPs[[#This Row],[Drainage Area (ac)]]*ExistingBMPs[[#This Row],[TN Reduction (%)]]),IF(ExistingBMPs[[#This Row],[BMP Type]]="Stream Restoration",[1]!Stream_Nutrients[TN (lbs/ft/yr)]*ExistingBMPs[[#This Row],[Stream Restoration* Length (ft) - Qualified projects only]],0))</f>
        <v>0.39944903581267216</v>
      </c>
    </row>
    <row r="20" spans="1:23" ht="21">
      <c r="A20" s="398" t="s">
        <v>55</v>
      </c>
      <c r="B20" s="398"/>
      <c r="C20" s="398"/>
      <c r="D20" s="398"/>
      <c r="E20" s="398"/>
      <c r="F20" s="398"/>
      <c r="G20" s="398"/>
      <c r="H20" s="398"/>
      <c r="I20" s="398"/>
      <c r="J20" s="398"/>
      <c r="K20" s="398"/>
      <c r="L20" s="398"/>
      <c r="M20" s="398"/>
      <c r="N20" s="398"/>
      <c r="O20" s="398"/>
      <c r="P20" s="398"/>
      <c r="Q20" s="398"/>
      <c r="R20" s="398"/>
      <c r="S20" s="398"/>
      <c r="T20" s="435">
        <f>_xlfn.AGGREGATE(9,7,ExistingBMPs[TSS Reduction (lbs/yr)])</f>
        <v>113268.0163670918</v>
      </c>
      <c r="U20" s="407">
        <f>_xlfn.AGGREGATE(9,7,ExistingBMPs[TSS Reduction (tons/yr)])</f>
        <v>56.634008183545902</v>
      </c>
      <c r="V20" s="435">
        <f>_xlfn.AGGREGATE(9,7,ExistingBMPs[TP Reduction (lbs/yr)])</f>
        <v>100.29273830779849</v>
      </c>
      <c r="W20" s="435">
        <f>_xlfn.AGGREGATE(9,7,ExistingBMPs[TN Reduction (lbs/yr)])</f>
        <v>183.33706686119262</v>
      </c>
    </row>
    <row r="21" spans="1:23">
      <c r="A21" s="389"/>
      <c r="B21" s="389"/>
      <c r="C21" s="389"/>
      <c r="D21" s="389"/>
      <c r="E21" s="389"/>
      <c r="F21" s="389"/>
    </row>
    <row r="22" spans="1:23">
      <c r="A22" s="224" t="s">
        <v>468</v>
      </c>
      <c r="Q22" s="389"/>
      <c r="R22" s="389"/>
      <c r="S22" s="389"/>
      <c r="T22" s="389"/>
      <c r="U22" s="389"/>
    </row>
    <row r="23" spans="1:23" ht="45">
      <c r="A23" s="398" t="s">
        <v>396</v>
      </c>
      <c r="B23" s="399" t="s">
        <v>397</v>
      </c>
      <c r="C23" s="398" t="s">
        <v>398</v>
      </c>
      <c r="D23" s="399" t="s">
        <v>399</v>
      </c>
      <c r="E23" s="399" t="s">
        <v>400</v>
      </c>
      <c r="F23" s="399" t="s">
        <v>401</v>
      </c>
      <c r="G23" s="399" t="s">
        <v>402</v>
      </c>
      <c r="H23" s="399" t="s">
        <v>403</v>
      </c>
      <c r="I23" s="399" t="s">
        <v>404</v>
      </c>
      <c r="J23" s="399" t="s">
        <v>405</v>
      </c>
      <c r="K23" s="399" t="s">
        <v>406</v>
      </c>
      <c r="L23" s="399" t="s">
        <v>407</v>
      </c>
      <c r="M23" s="399" t="s">
        <v>408</v>
      </c>
      <c r="N23" s="399" t="s">
        <v>409</v>
      </c>
      <c r="O23" s="399" t="s">
        <v>410</v>
      </c>
      <c r="P23" s="399" t="s">
        <v>411</v>
      </c>
      <c r="Q23" s="399" t="s">
        <v>412</v>
      </c>
      <c r="R23" s="399" t="s">
        <v>413</v>
      </c>
      <c r="S23" s="399" t="s">
        <v>414</v>
      </c>
      <c r="T23" s="399" t="s">
        <v>415</v>
      </c>
      <c r="U23" s="399" t="s">
        <v>416</v>
      </c>
      <c r="V23" s="399" t="s">
        <v>417</v>
      </c>
      <c r="W23" s="399" t="s">
        <v>418</v>
      </c>
    </row>
    <row r="24" spans="1:23">
      <c r="A24" s="400" t="s">
        <v>419</v>
      </c>
      <c r="B24" s="400" t="s">
        <v>420</v>
      </c>
      <c r="C24" s="401">
        <v>2009</v>
      </c>
      <c r="D24" s="400" t="s">
        <v>19</v>
      </c>
      <c r="E24" s="402">
        <v>1</v>
      </c>
      <c r="F24" s="403">
        <v>2</v>
      </c>
      <c r="G24" s="404"/>
      <c r="H24" s="404"/>
      <c r="I24" s="405">
        <f>ExistingBMPs5[[#This Row],[drainageArea_ac]]*ExistingBMPs5[[#This Row],[impervFraction_percent]]</f>
        <v>0.15</v>
      </c>
      <c r="J24" s="405">
        <f>IFERROR(MIN(ExistingBMPs5[[#This Row],[treatmentDepth_in]]*ExistingBMPs5[[#This Row],[drainageArea_ac]]/ExistingBMPs5[[#This Row],[impervArea_ac]],2.5),NA())</f>
        <v>2.5</v>
      </c>
      <c r="K24" s="403"/>
      <c r="L24" s="405">
        <f>IF(ExistingBMPs5[[#This Row],[treatmentDepthNormalizedManual_inPerImpervAc]]&gt;0,ExistingBMPs5[[#This Row],[treatmentDepthNormalizedManual_inPerImpervAc]],ExistingBMPs5[[#This Row],[treatmentDepthNormalized_inPerImpervAc]])</f>
        <v>2.5</v>
      </c>
      <c r="M24" s="406">
        <f>IF(ExistingBMPs5[[#This Row],[BMP_type]]="Stream Restoration",NA(),IFERROR(INDEX([1]!Impervious[#All],MATCH(ExistingBMPs5[[#This Row],[drainageLandCoverClass]],[1]!Impervious[[#All],[Source]],0),4),0))</f>
        <v>0.15</v>
      </c>
      <c r="N24" s="407">
        <f>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f>
        <v>923.9</v>
      </c>
      <c r="O24" s="407">
        <f>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f>
        <v>0.5</v>
      </c>
      <c r="P24" s="407">
        <f>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f>
        <v>5</v>
      </c>
      <c r="Q24" s="406">
        <f>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f>
        <v>0.84898124999999891</v>
      </c>
      <c r="R24" s="406">
        <f>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f>
        <v>0.78811874999999987</v>
      </c>
      <c r="S24" s="406">
        <f>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f>
        <v>0.67699999999999949</v>
      </c>
      <c r="T24" s="407">
        <f>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f>
        <v>784.37377687499895</v>
      </c>
      <c r="U24" s="407">
        <f>ExistingBMPs5[[#This Row],[TSS_Reduction_lbPerY]]/2000</f>
        <v>0.39218688843749949</v>
      </c>
      <c r="V24" s="407">
        <f>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f>
        <v>0.39405937499999993</v>
      </c>
      <c r="W24" s="407">
        <f>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f>
        <v>3.3849999999999976</v>
      </c>
    </row>
    <row r="25" spans="1:23">
      <c r="A25" s="400" t="s">
        <v>421</v>
      </c>
      <c r="B25" s="400" t="s">
        <v>422</v>
      </c>
      <c r="C25" s="401">
        <v>2015</v>
      </c>
      <c r="D25" s="400" t="s">
        <v>20</v>
      </c>
      <c r="E25" s="402">
        <v>32</v>
      </c>
      <c r="F25" s="403">
        <v>2</v>
      </c>
      <c r="G25" s="404"/>
      <c r="H25" s="404"/>
      <c r="I25" s="405">
        <f>ExistingBMPs5[[#This Row],[drainageArea_ac]]*ExistingBMPs5[[#This Row],[impervFraction_percent]]</f>
        <v>16.64</v>
      </c>
      <c r="J25" s="405">
        <f>IFERROR(MIN(ExistingBMPs5[[#This Row],[treatmentDepth_in]]*ExistingBMPs5[[#This Row],[drainageArea_ac]]/ExistingBMPs5[[#This Row],[impervArea_ac]],2.5),NA())</f>
        <v>2.5</v>
      </c>
      <c r="K25" s="403"/>
      <c r="L25" s="405">
        <f>IF(ExistingBMPs5[[#This Row],[treatmentDepthNormalizedManual_inPerImpervAc]]&gt;0,ExistingBMPs5[[#This Row],[treatmentDepthNormalizedManual_inPerImpervAc]],ExistingBMPs5[[#This Row],[treatmentDepthNormalized_inPerImpervAc]])</f>
        <v>2.5</v>
      </c>
      <c r="M25" s="406">
        <f>IF(ExistingBMPs5[[#This Row],[BMP_type]]="Stream Restoration",NA(),IFERROR(INDEX([1]!Impervious[#All],MATCH(ExistingBMPs5[[#This Row],[drainageLandCoverClass]],[1]!Impervious[[#All],[Source]],0),4),0))</f>
        <v>0.52</v>
      </c>
      <c r="N25" s="407">
        <f>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f>
        <v>53840</v>
      </c>
      <c r="O25" s="407">
        <f>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f>
        <v>16</v>
      </c>
      <c r="P25" s="407">
        <f>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f>
        <v>160</v>
      </c>
      <c r="Q25" s="406">
        <f>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f>
        <v>0.78811874999999987</v>
      </c>
      <c r="R25" s="406">
        <f>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f>
        <v>0.61997187499999973</v>
      </c>
      <c r="S25" s="406">
        <f>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f>
        <v>0.39315000000000072</v>
      </c>
      <c r="T25" s="407">
        <f>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f>
        <v>42432.313499999989</v>
      </c>
      <c r="U25" s="407">
        <f>ExistingBMPs5[[#This Row],[TSS_Reduction_lbPerY]]/2000</f>
        <v>21.216156749999996</v>
      </c>
      <c r="V25" s="407">
        <f>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f>
        <v>9.9195499999999956</v>
      </c>
      <c r="W25" s="407">
        <f>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f>
        <v>62.904000000000117</v>
      </c>
    </row>
    <row r="26" spans="1:23">
      <c r="A26" s="400" t="s">
        <v>423</v>
      </c>
      <c r="B26" s="400" t="s">
        <v>420</v>
      </c>
      <c r="C26" s="401">
        <v>2010</v>
      </c>
      <c r="D26" s="400" t="s">
        <v>21</v>
      </c>
      <c r="E26" s="402">
        <v>6</v>
      </c>
      <c r="F26" s="403">
        <v>2</v>
      </c>
      <c r="G26" s="404"/>
      <c r="H26" s="404"/>
      <c r="I26" s="405">
        <f>ExistingBMPs5[[#This Row],[drainageArea_ac]]*ExistingBMPs5[[#This Row],[impervFraction_percent]]</f>
        <v>5.22</v>
      </c>
      <c r="J26" s="405">
        <f>IFERROR(MIN(ExistingBMPs5[[#This Row],[treatmentDepth_in]]*ExistingBMPs5[[#This Row],[drainageArea_ac]]/ExistingBMPs5[[#This Row],[impervArea_ac]],2.5),NA())</f>
        <v>2.298850574712644</v>
      </c>
      <c r="K26" s="403"/>
      <c r="L26" s="405">
        <f>IF(ExistingBMPs5[[#This Row],[treatmentDepthNormalizedManual_inPerImpervAc]]&gt;0,ExistingBMPs5[[#This Row],[treatmentDepthNormalizedManual_inPerImpervAc]],ExistingBMPs5[[#This Row],[treatmentDepthNormalized_inPerImpervAc]])</f>
        <v>2.298850574712644</v>
      </c>
      <c r="M26" s="406">
        <f>IF(ExistingBMPs5[[#This Row],[BMP_type]]="Stream Restoration",NA(),IFERROR(INDEX([1]!Impervious[#All],MATCH(ExistingBMPs5[[#This Row],[drainageLandCoverClass]],[1]!Impervious[[#All],[Source]],0),4),0))</f>
        <v>0.87</v>
      </c>
      <c r="N26" s="407">
        <f>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f>
        <v>14217</v>
      </c>
      <c r="O26" s="407">
        <f>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f>
        <v>3</v>
      </c>
      <c r="P26" s="407">
        <f>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f>
        <v>30</v>
      </c>
      <c r="Q26" s="406">
        <f>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f>
        <v>0.84374902243371985</v>
      </c>
      <c r="R26" s="406">
        <f>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f>
        <v>0.78447887832736918</v>
      </c>
      <c r="S26" s="406">
        <f>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f>
        <v>0.67137529215454383</v>
      </c>
      <c r="T26" s="407">
        <f>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f>
        <v>11995.579851940196</v>
      </c>
      <c r="U26" s="407">
        <f>ExistingBMPs5[[#This Row],[TSS_Reduction_lbPerY]]/2000</f>
        <v>5.997789925970098</v>
      </c>
      <c r="V26" s="407">
        <f>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f>
        <v>2.3534366349821076</v>
      </c>
      <c r="W26" s="407">
        <f>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f>
        <v>20.141258764636316</v>
      </c>
    </row>
    <row r="27" spans="1:23">
      <c r="A27" s="400" t="s">
        <v>424</v>
      </c>
      <c r="B27" s="400" t="s">
        <v>420</v>
      </c>
      <c r="C27" s="401">
        <v>2010</v>
      </c>
      <c r="D27" s="400" t="s">
        <v>10</v>
      </c>
      <c r="E27" s="402">
        <v>3</v>
      </c>
      <c r="F27" s="403">
        <v>1</v>
      </c>
      <c r="G27" s="404"/>
      <c r="H27" s="404"/>
      <c r="I27" s="405">
        <f>ExistingBMPs5[[#This Row],[drainageArea_ac]]*ExistingBMPs5[[#This Row],[impervFraction_percent]]</f>
        <v>0</v>
      </c>
      <c r="J27" s="405" t="e">
        <f>IFERROR(MIN(ExistingBMPs5[[#This Row],[treatmentDepth_in]]*ExistingBMPs5[[#This Row],[drainageArea_ac]]/ExistingBMPs5[[#This Row],[impervArea_ac]],2.5),NA())</f>
        <v>#N/A</v>
      </c>
      <c r="K27" s="403"/>
      <c r="L27" s="405" t="e">
        <f>IF(ExistingBMPs5[[#This Row],[treatmentDepthNormalizedManual_inPerImpervAc]]&gt;0,ExistingBMPs5[[#This Row],[treatmentDepthNormalizedManual_inPerImpervAc]],ExistingBMPs5[[#This Row],[treatmentDepthNormalized_inPerImpervAc]])</f>
        <v>#N/A</v>
      </c>
      <c r="M27" s="406">
        <f>IF(ExistingBMPs5[[#This Row],[BMP_type]]="Stream Restoration",NA(),IFERROR(INDEX([1]!Impervious[#All],MATCH(ExistingBMPs5[[#This Row],[drainageLandCoverClass]],[1]!Impervious[[#All],[Source]],0),4),0))</f>
        <v>0</v>
      </c>
      <c r="N27" s="407">
        <f>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f>
        <v>3350.1000000000004</v>
      </c>
      <c r="O27" s="407">
        <f>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f>
        <v>0</v>
      </c>
      <c r="P27" s="407">
        <f>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f>
        <v>0</v>
      </c>
      <c r="Q27" s="406" t="e">
        <f>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f>
        <v>#N/A</v>
      </c>
      <c r="R27" s="406" t="e">
        <f>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f>
        <v>#N/A</v>
      </c>
      <c r="S27" s="406" t="e">
        <f>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f>
        <v>#N/A</v>
      </c>
      <c r="T27" s="407" t="e">
        <f>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f>
        <v>#N/A</v>
      </c>
      <c r="U27" s="407" t="e">
        <f>ExistingBMPs5[[#This Row],[TSS_Reduction_lbPerY]]/2000</f>
        <v>#N/A</v>
      </c>
      <c r="V27" s="407" t="e">
        <f>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f>
        <v>#N/A</v>
      </c>
      <c r="W27" s="407" t="e">
        <f>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f>
        <v>#N/A</v>
      </c>
    </row>
    <row r="28" spans="1:23">
      <c r="A28" s="400" t="s">
        <v>425</v>
      </c>
      <c r="B28" s="400" t="s">
        <v>420</v>
      </c>
      <c r="C28" s="401">
        <v>2010</v>
      </c>
      <c r="D28" s="400" t="s">
        <v>9</v>
      </c>
      <c r="E28" s="402">
        <v>1.5</v>
      </c>
      <c r="F28" s="403">
        <v>1</v>
      </c>
      <c r="G28" s="404"/>
      <c r="H28" s="404"/>
      <c r="I28" s="405">
        <f>ExistingBMPs5[[#This Row],[drainageArea_ac]]*ExistingBMPs5[[#This Row],[impervFraction_percent]]</f>
        <v>0</v>
      </c>
      <c r="J28" s="405" t="e">
        <f>IFERROR(MIN(ExistingBMPs5[[#This Row],[treatmentDepth_in]]*ExistingBMPs5[[#This Row],[drainageArea_ac]]/ExistingBMPs5[[#This Row],[impervArea_ac]],2.5),NA())</f>
        <v>#N/A</v>
      </c>
      <c r="K28" s="403">
        <v>1.92</v>
      </c>
      <c r="L28" s="405">
        <f>IF(ExistingBMPs5[[#This Row],[treatmentDepthNormalizedManual_inPerImpervAc]]&gt;0,ExistingBMPs5[[#This Row],[treatmentDepthNormalizedManual_inPerImpervAc]],ExistingBMPs5[[#This Row],[treatmentDepthNormalized_inPerImpervAc]])</f>
        <v>1.92</v>
      </c>
      <c r="M28" s="406">
        <f>IF(ExistingBMPs5[[#This Row],[BMP_type]]="Stream Restoration",NA(),IFERROR(INDEX([1]!Impervious[#All],MATCH(ExistingBMPs5[[#This Row],[drainageLandCoverClass]],[1]!Impervious[[#All],[Source]],0),4),0))</f>
        <v>0</v>
      </c>
      <c r="N28" s="407">
        <f>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f>
        <v>624</v>
      </c>
      <c r="O28" s="407">
        <f>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f>
        <v>0.75</v>
      </c>
      <c r="P28" s="407">
        <f>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f>
        <v>0.75</v>
      </c>
      <c r="Q28" s="406">
        <f>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f>
        <v>0.83739238316031916</v>
      </c>
      <c r="R28" s="406">
        <f>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f>
        <v>0.78007825200128</v>
      </c>
      <c r="S28" s="406">
        <f>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f>
        <v>0.66729601120255999</v>
      </c>
      <c r="T28" s="407">
        <f>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f>
        <v>522.53284709203911</v>
      </c>
      <c r="U28" s="407">
        <f>ExistingBMPs5[[#This Row],[TSS_Reduction_lbPerY]]/2000</f>
        <v>0.26126642354601953</v>
      </c>
      <c r="V28" s="407">
        <f>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f>
        <v>0.58505868900096003</v>
      </c>
      <c r="W28" s="407">
        <f>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f>
        <v>0.50047200840191997</v>
      </c>
    </row>
    <row r="29" spans="1:23">
      <c r="A29" s="400" t="s">
        <v>426</v>
      </c>
      <c r="B29" s="400" t="s">
        <v>427</v>
      </c>
      <c r="C29" s="401">
        <v>2014</v>
      </c>
      <c r="D29" s="400"/>
      <c r="E29" s="402"/>
      <c r="F29" s="403"/>
      <c r="G29" s="404">
        <v>500</v>
      </c>
      <c r="H29" s="404"/>
      <c r="I29" s="405" t="e">
        <f>ExistingBMPs5[[#This Row],[drainageArea_ac]]*ExistingBMPs5[[#This Row],[impervFraction_percent]]</f>
        <v>#N/A</v>
      </c>
      <c r="J29" s="405" t="e">
        <f>IFERROR(MIN(ExistingBMPs5[[#This Row],[treatmentDepth_in]]*ExistingBMPs5[[#This Row],[drainageArea_ac]]/ExistingBMPs5[[#This Row],[impervArea_ac]],2.5),NA())</f>
        <v>#N/A</v>
      </c>
      <c r="K29" s="403"/>
      <c r="L29" s="405" t="e">
        <f>IF(ExistingBMPs5[[#This Row],[treatmentDepthNormalizedManual_inPerImpervAc]]&gt;0,ExistingBMPs5[[#This Row],[treatmentDepthNormalizedManual_inPerImpervAc]],ExistingBMPs5[[#This Row],[treatmentDepthNormalized_inPerImpervAc]])</f>
        <v>#N/A</v>
      </c>
      <c r="M29" s="406" t="e">
        <f>IF(ExistingBMPs5[[#This Row],[BMP_type]]="Stream Restoration",NA(),IFERROR(INDEX([1]!Impervious[#All],MATCH(ExistingBMPs5[[#This Row],[drainageLandCoverClass]],[1]!Impervious[[#All],[Source]],0),4),0))</f>
        <v>#N/A</v>
      </c>
      <c r="N29" s="407" t="e">
        <f>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f>
        <v>#N/A</v>
      </c>
      <c r="O29" s="407" t="e">
        <f>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f>
        <v>#N/A</v>
      </c>
      <c r="P29" s="407" t="e">
        <f>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f>
        <v>#N/A</v>
      </c>
      <c r="Q29" s="406">
        <f>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f>
        <v>0</v>
      </c>
      <c r="R29" s="406">
        <f>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f>
        <v>0</v>
      </c>
      <c r="S29" s="406">
        <f>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f>
        <v>0</v>
      </c>
      <c r="T29" s="407">
        <f>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f>
        <v>57500</v>
      </c>
      <c r="U29" s="407">
        <f>ExistingBMPs5[[#This Row],[TSS_Reduction_lbPerY]]/2000</f>
        <v>28.75</v>
      </c>
      <c r="V29" s="407">
        <f>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f>
        <v>87</v>
      </c>
      <c r="W29" s="407">
        <f>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f>
        <v>96</v>
      </c>
    </row>
    <row r="30" spans="1:23">
      <c r="A30" s="400" t="s">
        <v>428</v>
      </c>
      <c r="B30" s="400" t="s">
        <v>429</v>
      </c>
      <c r="C30" s="401">
        <v>2012</v>
      </c>
      <c r="D30" s="400" t="s">
        <v>430</v>
      </c>
      <c r="E30" s="402"/>
      <c r="F30" s="403"/>
      <c r="G30" s="404"/>
      <c r="H30" s="404">
        <v>2000</v>
      </c>
      <c r="I30" s="405">
        <f>ExistingBMPs5[[#This Row],[drainageArea_ac]]*ExistingBMPs5[[#This Row],[impervFraction_percent]]</f>
        <v>0</v>
      </c>
      <c r="J30" s="405" t="e">
        <f>IFERROR(MIN(ExistingBMPs5[[#This Row],[treatmentDepth_in]]*ExistingBMPs5[[#This Row],[drainageArea_ac]]/ExistingBMPs5[[#This Row],[impervArea_ac]],2.5),NA())</f>
        <v>#N/A</v>
      </c>
      <c r="K30" s="403"/>
      <c r="L30" s="405" t="e">
        <f>IF(ExistingBMPs5[[#This Row],[treatmentDepthNormalizedManual_inPerImpervAc]]&gt;0,ExistingBMPs5[[#This Row],[treatmentDepthNormalizedManual_inPerImpervAc]],ExistingBMPs5[[#This Row],[treatmentDepthNormalized_inPerImpervAc]])</f>
        <v>#N/A</v>
      </c>
      <c r="M30" s="406">
        <f>IF(ExistingBMPs5[[#This Row],[BMP_type]]="Stream Restoration",NA(),IFERROR(INDEX([1]!Impervious[#All],MATCH(ExistingBMPs5[[#This Row],[drainageLandCoverClass]],[1]!Impervious[[#All],[Source]],0),4),0))</f>
        <v>0.15</v>
      </c>
      <c r="N30" s="407">
        <f>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f>
        <v>1.2603305785123966</v>
      </c>
      <c r="O30" s="407">
        <f>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f>
        <v>6.8870523415977963E-3</v>
      </c>
      <c r="P30" s="407">
        <f>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f>
        <v>6.8870523415977963E-2</v>
      </c>
      <c r="Q30" s="406">
        <f>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f>
        <v>0.1</v>
      </c>
      <c r="R30" s="406">
        <f>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f>
        <v>0.1</v>
      </c>
      <c r="S30" s="406">
        <f>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f>
        <v>0.1</v>
      </c>
      <c r="T30" s="407">
        <f>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f>
        <v>0.12603305785123967</v>
      </c>
      <c r="U30" s="407">
        <f>ExistingBMPs5[[#This Row],[TSS_Reduction_lbPerY]]/2000</f>
        <v>6.3016528925619836E-5</v>
      </c>
      <c r="V30" s="407">
        <f>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f>
        <v>6.8870523415977963E-4</v>
      </c>
      <c r="W30" s="407">
        <f>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f>
        <v>6.8870523415977963E-3</v>
      </c>
    </row>
    <row r="31" spans="1:23">
      <c r="A31" s="400" t="s">
        <v>431</v>
      </c>
      <c r="B31" s="400" t="s">
        <v>429</v>
      </c>
      <c r="C31" s="401">
        <v>2015</v>
      </c>
      <c r="D31" s="401" t="s">
        <v>432</v>
      </c>
      <c r="E31" s="402"/>
      <c r="F31" s="403"/>
      <c r="G31" s="404"/>
      <c r="H31" s="404">
        <v>20000</v>
      </c>
      <c r="I31" s="405">
        <f>ExistingBMPs5[[#This Row],[drainageArea_ac]]*ExistingBMPs5[[#This Row],[impervFraction_percent]]</f>
        <v>0</v>
      </c>
      <c r="J31" s="405" t="e">
        <f>IFERROR(MIN(ExistingBMPs5[[#This Row],[treatmentDepth_in]]*ExistingBMPs5[[#This Row],[drainageArea_ac]]/ExistingBMPs5[[#This Row],[impervArea_ac]],2.5),NA())</f>
        <v>#N/A</v>
      </c>
      <c r="K31" s="403"/>
      <c r="L31" s="405" t="e">
        <f>IF(ExistingBMPs5[[#This Row],[treatmentDepthNormalizedManual_inPerImpervAc]]&gt;0,ExistingBMPs5[[#This Row],[treatmentDepthNormalizedManual_inPerImpervAc]],ExistingBMPs5[[#This Row],[treatmentDepthNormalized_inPerImpervAc]])</f>
        <v>#N/A</v>
      </c>
      <c r="M31" s="406">
        <f>IF(ExistingBMPs5[[#This Row],[BMP_type]]="Stream Restoration",NA(),IFERROR(INDEX([1]!Impervious[#All],MATCH(ExistingBMPs5[[#This Row],[drainageLandCoverClass]],[1]!Impervious[[#All],[Source]],0),4),0))</f>
        <v>0.87</v>
      </c>
      <c r="N31" s="407">
        <f>IF(ExistingBMPs5[[#This Row],[BMP_type]]="Street Sweeping",ExistingBMPs5[[#This Row],[lengthTreatedRoad_ft2]]*[1]!Street_Sweeping[Road Width (ft)]/43560*INDEX([1]!Loading_Rates[#All],MATCH(ExistingBMPs5[[#This Row],[drainageLandCoverClass]],[1]!Loading_Rates[[#All],[Source]],0),2)*ExistingBMPs5[[#This Row],[impervFraction_percent]],IF(ExistingBMPs5[[#This Row],[BMP_type]]="Stream Restoration",NA(),INDEX([1]!Loading_Rates[#All],MATCH(ExistingBMPs5[[#This Row],[drainageLandCoverClass]],[1]!Loading_Rates[[#All],[Source]],0),2)*ExistingBMPs5[[#This Row],[drainageArea_ac]]))</f>
        <v>330.90358126721759</v>
      </c>
      <c r="O31" s="407">
        <f>IF(ExistingBMPs5[[#This Row],[BMP_type]]="Street Sweeping",ExistingBMPs5[[#This Row],[lengthTreatedRoad_ft2]]*[1]!Street_Sweeping[Road Width (ft)]/43560*INDEX([1]!Loading_Rates[#All],MATCH(ExistingBMPs5[[#This Row],[drainageLandCoverClass]],[1]!Loading_Rates[[#All],[Source]],0),3)*ExistingBMPs5[[#This Row],[impervFraction_percent]],IF(ExistingBMPs5[[#This Row],[BMP_type]]="Stream Restoration",NA(),INDEX([1]!Loading_Rates[#All],MATCH(ExistingBMPs5[[#This Row],[drainageLandCoverClass]],[1]!Loading_Rates[[#All],[Source]],0),3)*ExistingBMPs5[[#This Row],[drainageArea_ac]]))</f>
        <v>0.39944903581267216</v>
      </c>
      <c r="P31" s="407">
        <f>IF(ExistingBMPs5[[#This Row],[BMP_type]]="Street Sweeping",ExistingBMPs5[[#This Row],[lengthTreatedRoad_ft2]]*[1]!Street_Sweeping[Road Width (ft)]/43560*INDEX([1]!Loading_Rates[#All],MATCH(ExistingBMPs5[[#This Row],[drainageLandCoverClass]],[1]!Loading_Rates[[#All],[Source]],0),4)*ExistingBMPs5[[#This Row],[impervFraction_percent]],IF(ExistingBMPs5[[#This Row],[BMP_type]]="Stream Restoration",NA(),INDEX([1]!Loading_Rates[#All],MATCH(ExistingBMPs5[[#This Row],[drainageLandCoverClass]],[1]!Loading_Rates[[#All],[Source]],0),4)*ExistingBMPs5[[#This Row],[drainageArea_ac]]))</f>
        <v>3.9944903581267215</v>
      </c>
      <c r="Q31" s="406">
        <f>IF(ExistingBMPs5[[#This Row],[BMP_type]]="RR",0.0326*ExistingBMPs5[[#This Row],[treatmentDepthNormalizedEffective_inPerImpervAc]]^5-0.2806*ExistingBMPs5[[#This Row],[treatmentDepthNormalizedEffective_inPerImpervAc]]^4+0.9816*ExistingBMPs5[[#This Row],[treatmentDepthNormalizedEffective_inPerImpervAc]]^3-1.8039*ExistingBMPs5[[#This Row],[treatmentDepthNormalizedEffective_inPerImpervAc]]^2+1.8292*ExistingBMPs5[[#This Row],[treatmentDepthNormalizedEffective_inPerImpervAc]]-0.0098,
IF(ExistingBMPs5[[#This Row],[BMP_type]]="ST",0.0304*ExistingBMPs5[[#This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Row],[BMP_type]]="Street Sweeping",[1]!Street_Sweeping[TSS Reduction (%)],
IF(OR(ExistingBMPs5[[#This Row],[BMP_type]]="Other",ExistingBMPs5[[#This Row],[BMP_type]]="Stream Restoration"),0,1))))</f>
        <v>0.1</v>
      </c>
      <c r="R31" s="406">
        <f>IF(ExistingBMPs5[[#This Row],[BMP_type]]="RR",0.0304*ExistingBMPs5[[#This Row],[treatmentDepthNormalizedEffective_inPerImpervAc]]^5-0.2619*ExistingBMPs5[[#This Row],[treatmentDepthNormalizedEffective_inPerImpervAc]]^4+0.9161*ExistingBMPs5[[#This Row],[treatmentDepthNormalizedEffective_inPerImpervAc]]^3-1.6837*ExistingBMPs5[[#This Row],[treatmentDepthNormalizedEffective_inPerImpervAc]]^2+1.7072*ExistingBMPs5[[#This Row],[treatmentDepthNormalizedEffective_inPerImpervAc]]-0.0091,
IF(ExistingBMPs5[[#This Row],[BMP_type]]="ST",0.0239*ExistingBMPs5[[#This Row],[treatmentDepthNormalizedEffective_inPerImpervAc]]^5-0.2058*ExistingBMPs5[[#This Row],[treatmentDepthNormalizedEffective_inPerImpervAc]]^4+0.7198*ExistingBMPs5[[#This Row],[treatmentDepthNormalizedEffective_inPerImpervAc]]^3-1.3229*ExistingBMPs5[[#This Row],[treatmentDepthNormalizedEffective_inPerImpervAc]]^2+1.3414*ExistingBMPs5[[#This Row],[treatmentDepthNormalizedEffective_inPerImpervAc]]-0.0072,
IF(ExistingBMPs5[[#This Row],[BMP_type]]="Street Sweeping",[1]!Street_Sweeping[TP Reduction (%)],
IF(OR(ExistingBMPs5[[#This Row],[BMP_type]]="Other",ExistingBMPs5[[#This Row],[BMP_type]]="Stream Restoration"),0,1))))</f>
        <v>0.1</v>
      </c>
      <c r="S31" s="406">
        <f>IF(ExistingBMPs5[[#This Row],[BMP_type]]="RR",0.0308*ExistingBMPs5[[#This Row],[treatmentDepthNormalizedEffective_inPerImpervAc]]^5-0.2562*ExistingBMPs5[[#This Row],[treatmentDepthNormalizedEffective_inPerImpervAc]]^4+0.8634*ExistingBMPs5[[#This Row],[treatmentDepthNormalizedEffective_inPerImpervAc]]^3-1.5285*ExistingBMPs5[[#This Row],[treatmentDepthNormalizedEffective_inPerImpervAc]]^2+1.501*ExistingBMPs5[[#This Row],[treatmentDepthNormalizedEffective_inPerImpervAc]]-0.013,IF(ExistingBMPs5[[#This Row],[BMP_type]]="ST",0.0152*ExistingBMPs5[[#This Row],[treatmentDepthNormalizedEffective_inPerImpervAc]]^5-0.131*ExistingBMPs5[[#This Row],[treatmentDepthNormalizedEffective_inPerImpervAc]]^4+0.4581*ExistingBMPs5[[#This Row],[treatmentDepthNormalizedEffective_inPerImpervAc]]^3-0.8418*ExistingBMPs5[[#This Row],[treatmentDepthNormalizedEffective_inPerImpervAc]]^2+0.8536*ExistingBMPs5[[#This Row],[treatmentDepthNormalizedEffective_inPerImpervAc]]-0.0046,IF(ExistingBMPs5[[#This Row],[BMP_type]]="Street Sweeping",[1]!Street_Sweeping[TN Reduction (%)],IF(OR(ExistingBMPs5[[#This Row],[BMP_type]]="Other",ExistingBMPs5[[#This Row],[BMP_type]]="Stream Restoration"),0,1))))</f>
        <v>0.1</v>
      </c>
      <c r="T31" s="407">
        <f>IF(ExistingBMPs5[[#This Row],[TSS_ReductionEfficiency_percent]]&gt;0,IF(ExistingBMPs5[[#This Row],[BMP_type]]="Street Sweeping",ExistingBMPs5[[#This Row],[TSS_Load_lbPerY]]*ExistingBMPs5[[#This Row],[TSS_ReductionEfficiency_percent]],INDEX([1]!Loading_Rates[#All],MATCH(ExistingBMPs5[[#This Row],[drainageLandCoverClass]],[1]!Loading_Rates[[#All],[Source]],0),2)*ExistingBMPs5[[#This Row],[drainageArea_ac]]*ExistingBMPs5[[#This Row],[TSS_ReductionEfficiency_percent]]),IF(ExistingBMPs5[[#This Row],[BMP_type]]="Stream Restoration",[1]!Stream_Nutrients[TSS (lbs/ft/yr)]*ExistingBMPs5[[#This Row],[lengthTreatedStream_ft]],0))</f>
        <v>33.09035812672176</v>
      </c>
      <c r="U31" s="407">
        <f>ExistingBMPs5[[#This Row],[TSS_Reduction_lbPerY]]/2000</f>
        <v>1.6545179063360879E-2</v>
      </c>
      <c r="V31" s="407">
        <f>IF(ExistingBMPs5[[#This Row],[TP_ReductionEfficiency_percent]]&gt;0,IF(ExistingBMPs5[[#This Row],[BMP_type]]="Street Sweeping",ExistingBMPs5[[#This Row],[TP_Load_lbPerY]]*ExistingBMPs5[[#This Row],[TP_ReductionEfficiency_percent]],INDEX([1]!Loading_Rates[#All],MATCH(ExistingBMPs5[[#This Row],[drainageLandCoverClass]],[1]!Loading_Rates[[#All],[Source]],0),3)*ExistingBMPs5[[#This Row],[drainageArea_ac]]*ExistingBMPs5[[#This Row],[TP_ReductionEfficiency_percent]]),IF(ExistingBMPs5[[#This Row],[BMP_type]]="Stream Restoration",[1]!Stream_Nutrients[TP (lbs/ft/yr)]*ExistingBMPs5[[#This Row],[lengthTreatedStream_ft]],0))</f>
        <v>3.9944903581267219E-2</v>
      </c>
      <c r="W31" s="407">
        <f>IF(ExistingBMPs5[[#This Row],[TN_ReductionEfficiency_percent]]&gt;0,IF(ExistingBMPs5[[#This Row],[BMP_type]]="Street Sweeping",ExistingBMPs5[[#This Row],[TN_Load_lbPerY]]*ExistingBMPs5[[#This Row],[TN_ReductionEfficiency_percent]],INDEX([1]!Loading_Rates[#All],MATCH(ExistingBMPs5[[#This Row],[drainageLandCoverClass]],[1]!Loading_Rates[[#All],[Source]],0),4)*ExistingBMPs5[[#This Row],[drainageArea_ac]]*ExistingBMPs5[[#This Row],[TN_ReductionEfficiency_percent]]),IF(ExistingBMPs5[[#This Row],[BMP_type]]="Stream Restoration",[1]!Stream_Nutrients[TN (lbs/ft/yr)]*ExistingBMPs5[[#This Row],[lengthTreatedStream_ft]],0))</f>
        <v>0.39944903581267216</v>
      </c>
    </row>
    <row r="32" spans="1:23" ht="21">
      <c r="A32" s="398" t="s">
        <v>55</v>
      </c>
      <c r="B32" s="398"/>
      <c r="C32" s="398"/>
      <c r="D32" s="398"/>
      <c r="E32" s="398"/>
      <c r="F32" s="398"/>
      <c r="G32" s="398"/>
      <c r="H32" s="398"/>
      <c r="I32" s="398"/>
      <c r="J32" s="398"/>
      <c r="K32" s="398"/>
      <c r="L32" s="398"/>
      <c r="M32" s="398"/>
      <c r="N32" s="398"/>
      <c r="O32" s="398"/>
      <c r="P32" s="398"/>
      <c r="Q32" s="398"/>
      <c r="R32" s="398"/>
      <c r="S32" s="398"/>
      <c r="T32" s="435">
        <f>_xlfn.AGGREGATE(9,7,ExistingBMPs5[TSS_Reduction_lbPerY])</f>
        <v>113268.0163670918</v>
      </c>
      <c r="U32" s="407">
        <f>_xlfn.AGGREGATE(9,7,ExistingBMPs5[TSS_Reduction_tonPerY])</f>
        <v>56.634008183545902</v>
      </c>
      <c r="V32" s="435">
        <f>_xlfn.AGGREGATE(9,7,ExistingBMPs5[TP_Reduction_lbPerY])</f>
        <v>100.29273830779849</v>
      </c>
      <c r="W32" s="435">
        <f>_xlfn.AGGREGATE(9,7,ExistingBMPs5[TN_Reduction_lbPerY])</f>
        <v>183.33706686119262</v>
      </c>
    </row>
    <row r="34" spans="1:23">
      <c r="A34" s="267" t="s">
        <v>469</v>
      </c>
    </row>
    <row r="35" spans="1:23" ht="45">
      <c r="A35" s="398" t="s">
        <v>440</v>
      </c>
      <c r="B35" s="399" t="s">
        <v>441</v>
      </c>
      <c r="C35" s="398" t="s">
        <v>442</v>
      </c>
      <c r="D35" s="399" t="s">
        <v>443</v>
      </c>
      <c r="E35" s="399" t="s">
        <v>444</v>
      </c>
      <c r="F35" s="399" t="s">
        <v>445</v>
      </c>
      <c r="G35" s="399" t="s">
        <v>446</v>
      </c>
      <c r="H35" s="399" t="s">
        <v>447</v>
      </c>
      <c r="I35" s="399" t="s">
        <v>448</v>
      </c>
      <c r="J35" s="399" t="s">
        <v>449</v>
      </c>
      <c r="K35" s="399" t="s">
        <v>450</v>
      </c>
      <c r="L35" s="399" t="s">
        <v>451</v>
      </c>
      <c r="M35" s="399" t="s">
        <v>452</v>
      </c>
      <c r="N35" s="399" t="s">
        <v>453</v>
      </c>
      <c r="O35" s="399" t="s">
        <v>454</v>
      </c>
      <c r="P35" s="399" t="s">
        <v>455</v>
      </c>
      <c r="Q35" s="399" t="s">
        <v>456</v>
      </c>
      <c r="R35" s="399" t="s">
        <v>457</v>
      </c>
      <c r="S35" s="399" t="s">
        <v>458</v>
      </c>
      <c r="T35" s="399" t="s">
        <v>459</v>
      </c>
      <c r="U35" s="399" t="s">
        <v>460</v>
      </c>
      <c r="V35" s="399" t="s">
        <v>461</v>
      </c>
      <c r="W35" s="399" t="s">
        <v>462</v>
      </c>
    </row>
    <row r="36" spans="1:23">
      <c r="A36" s="400" t="s">
        <v>419</v>
      </c>
      <c r="B36" s="400" t="s">
        <v>420</v>
      </c>
      <c r="C36" s="401">
        <v>2009</v>
      </c>
      <c r="D36" s="400" t="s">
        <v>19</v>
      </c>
      <c r="E36" s="402">
        <v>1</v>
      </c>
      <c r="F36" s="403">
        <v>1</v>
      </c>
      <c r="G36" s="404"/>
      <c r="H36" s="404"/>
      <c r="I36" s="405">
        <f>ExistingBMPs6[[#This Row],[Drainage Area (ac)]]*ExistingBMPs6[[#This Row],[Impervious (%)]]</f>
        <v>0.15</v>
      </c>
      <c r="J36" s="405">
        <f>IFERROR(MIN(ExistingBMPs6[[#This Row],[Treatment Depth (in)]]*ExistingBMPs6[[#This Row],[Drainage Area (ac)]]/ExistingBMPs6[[#This Row],[Impervious Area (ac)]],2.5),NA())</f>
        <v>2.5</v>
      </c>
      <c r="K36" s="403"/>
      <c r="L36" s="405">
        <f>IF(ExistingBMPs6[[#This Row],[Treatment Depth (in/imp. ac) Manual Override - use if no impervious area]]&gt;0,ExistingBMPs6[[#This Row],[Treatment Depth (in/imp. ac) Manual Override - use if no impervious area]],ExistingBMPs6[[#This Row],[Treatment Depth (in/imp. ac)]])</f>
        <v>2.5</v>
      </c>
      <c r="M36" s="406">
        <f>IF(ExistingBMPs6[[#This Row],[BMP Type]]="Stream Restoration",NA(),IFERROR(INDEX([1]!Impervious[#All],MATCH(ExistingBMPs6[[#This Row],[MapShed Land Cover of Drainage Area]],[1]!Impervious[[#All],[Source]],0),4),0))</f>
        <v>0.15</v>
      </c>
      <c r="N36" s="407">
        <f>IF(ExistingBMPs6[[#This Row],[BMP Type]]="Street Sweeping",ExistingBMPs6[[#This Row],[Street Sweeping* Road Length Swept (ft) - Qualified projects only]]*[1]!Street_Sweeping[Road Width (ft)]/43560*INDEX([1]!Loading_Rates[#All],MATCH(ExistingBMPs6[[#This Row],[MapShed Land Cover of Drainage Area]],[1]!Loading_Rates[[#All],[Source]],0),2)*ExistingBMPs6[[#This Row],[Impervious (%)]],IF(ExistingBMPs6[[#This Row],[BMP Type]]="Stream Restoration",NA(),INDEX([1]!Loading_Rates[#All],MATCH(ExistingBMPs6[[#This Row],[MapShed Land Cover of Drainage Area]],[1]!Loading_Rates[[#All],[Source]],0),2)*ExistingBMPs6[[#This Row],[Drainage Area (ac)]]))</f>
        <v>923.9</v>
      </c>
      <c r="O36" s="407">
        <f>IF(ExistingBMPs6[[#This Row],[BMP Type]]="Street Sweeping",ExistingBMPs6[[#This Row],[Street Sweeping* Road Length Swept (ft) - Qualified projects only]]*[1]!Street_Sweeping[Road Width (ft)]/43560*INDEX([1]!Loading_Rates[#All],MATCH(ExistingBMPs6[[#This Row],[MapShed Land Cover of Drainage Area]],[1]!Loading_Rates[[#All],[Source]],0),3)*ExistingBMPs6[[#This Row],[Impervious (%)]],IF(ExistingBMPs6[[#This Row],[BMP Type]]="Stream Restoration",NA(),INDEX([1]!Loading_Rates[#All],MATCH(ExistingBMPs6[[#This Row],[MapShed Land Cover of Drainage Area]],[1]!Loading_Rates[[#All],[Source]],0),3)*ExistingBMPs6[[#This Row],[Drainage Area (ac)]]))</f>
        <v>0.5</v>
      </c>
      <c r="P36" s="407">
        <f>IF(ExistingBMPs6[[#This Row],[BMP Type]]="Street Sweeping",ExistingBMPs6[[#This Row],[Street Sweeping* Road Length Swept (ft) - Qualified projects only]]*[1]!Street_Sweeping[Road Width (ft)]/43560*INDEX([1]!Loading_Rates[#All],MATCH(ExistingBMPs6[[#This Row],[MapShed Land Cover of Drainage Area]],[1]!Loading_Rates[[#All],[Source]],0),4)*ExistingBMPs6[[#This Row],[Impervious (%)]],IF(ExistingBMPs6[[#This Row],[BMP Type]]="Stream Restoration",NA(),INDEX([1]!Loading_Rates[#All],MATCH(ExistingBMPs6[[#This Row],[MapShed Land Cover of Drainage Area]],[1]!Loading_Rates[[#All],[Source]],0),4)*ExistingBMPs6[[#This Row],[Drainage Area (ac)]]))</f>
        <v>5</v>
      </c>
      <c r="Q36" s="406">
        <f>IF(ExistingBMPs6[[#This Row],[BMP Type]]="RR",0.0326*ExistingBMPs6[[#This Row],[Effective Treatment Depth (in/imp. ac)]]^5-0.2806*ExistingBMPs6[[#This Row],[Effective Treatment Depth (in/imp. ac)]]^4+0.9816*ExistingBMPs6[[#This Row],[Effective Treatment Depth (in/imp. ac)]]^3-1.8039*ExistingBMPs6[[#This Row],[Effective Treatment Depth (in/imp. ac)]]^2+1.8292*ExistingBMPs6[[#This Row],[Effective Treatment Depth (in/imp. ac)]]-0.0098,IF(ExistingBMPs6[[#This Row],[BMP Type]]="ST",0.0304*ExistingBMPs6[[#This Row],[Effective Treatment Depth (in/imp. ac)]]^5-0.2619*ExistingBMPs6[[#This Row],[Effective Treatment Depth (in/imp. ac)]]^4+0.9161*ExistingBMPs6[[#This Row],[Effective Treatment Depth (in/imp. ac)]]^3-1.6837*ExistingBMPs6[[#This Row],[Effective Treatment Depth (in/imp. ac)]]^2+1.7072*ExistingBMPs6[[#This Row],[Effective Treatment Depth (in/imp. ac)]]-0.0091,IF(ExistingBMPs6[[#This Row],[BMP Type]]="Street Sweeping",[1]!Street_Sweeping[TSS Reduction (%)],IF(OR(ExistingBMPs6[[#This Row],[BMP Type]]="Other",ExistingBMPs6[[#This Row],[BMP Type]]="Stream Restoration"),0,1))))</f>
        <v>0.84898124999999891</v>
      </c>
      <c r="R36" s="406">
        <f>IF(ExistingBMPs6[[#This Row],[BMP Type]]="RR",0.0304*ExistingBMPs6[[#This Row],[Effective Treatment Depth (in/imp. ac)]]^5-0.2619*ExistingBMPs6[[#This Row],[Effective Treatment Depth (in/imp. ac)]]^4+0.9161*ExistingBMPs6[[#This Row],[Effective Treatment Depth (in/imp. ac)]]^3-1.6837*ExistingBMPs6[[#This Row],[Effective Treatment Depth (in/imp. ac)]]^2+1.7072*ExistingBMPs6[[#This Row],[Effective Treatment Depth (in/imp. ac)]]-0.0091,IF(ExistingBMPs6[[#This Row],[BMP Type]]="ST",0.0239*ExistingBMPs6[[#This Row],[Effective Treatment Depth (in/imp. ac)]]^5-0.2058*ExistingBMPs6[[#This Row],[Effective Treatment Depth (in/imp. ac)]]^4+0.7198*ExistingBMPs6[[#This Row],[Effective Treatment Depth (in/imp. ac)]]^3-1.3229*ExistingBMPs6[[#This Row],[Effective Treatment Depth (in/imp. ac)]]^2+1.3414*ExistingBMPs6[[#This Row],[Effective Treatment Depth (in/imp. ac)]]-0.0072,IF(ExistingBMPs6[[#This Row],[BMP Type]]="Street Sweeping",[1]!Street_Sweeping[TP Reduction (%)],IF(OR(ExistingBMPs6[[#This Row],[BMP Type]]="Other",ExistingBMPs6[[#This Row],[BMP Type]]="Stream Restoration"),0,1))))</f>
        <v>0.78811874999999987</v>
      </c>
      <c r="S36" s="406">
        <f>IF(ExistingBMPs6[[#This Row],[BMP Type]]="RR",0.0308*ExistingBMPs6[[#This Row],[Effective Treatment Depth (in/imp. ac)]]^5-0.2562*ExistingBMPs6[[#This Row],[Effective Treatment Depth (in/imp. ac)]]^4+0.8634*ExistingBMPs6[[#This Row],[Effective Treatment Depth (in/imp. ac)]]^3-1.5285*ExistingBMPs6[[#This Row],[Effective Treatment Depth (in/imp. ac)]]^2+1.501*ExistingBMPs6[[#This Row],[Effective Treatment Depth (in/imp. ac)]]-0.013,IF(ExistingBMPs6[[#This Row],[BMP Type]]="ST",0.0152*ExistingBMPs6[[#This Row],[Effective Treatment Depth (in/imp. ac)]]^5-0.131*ExistingBMPs6[[#This Row],[Effective Treatment Depth (in/imp. ac)]]^4+0.4581*ExistingBMPs6[[#This Row],[Effective Treatment Depth (in/imp. ac)]]^3-0.8418*ExistingBMPs6[[#This Row],[Effective Treatment Depth (in/imp. ac)]]^2+0.8536*ExistingBMPs6[[#This Row],[Effective Treatment Depth (in/imp. ac)]]-0.0046,IF(ExistingBMPs6[[#This Row],[BMP Type]]="Street Sweeping",[1]!Street_Sweeping[TN Reduction (%)],IF(OR(ExistingBMPs6[[#This Row],[BMP Type]]="Other",ExistingBMPs6[[#This Row],[BMP Type]]="Stream Restoration"),0,1))))</f>
        <v>0.67699999999999949</v>
      </c>
      <c r="T36" s="407">
        <f>IF(ExistingBMPs6[[#This Row],[TSS Reduction (%)]]&gt;0,IF(ExistingBMPs6[[#This Row],[BMP Type]]="Street Sweeping",ExistingBMPs6[[#This Row],[TSS Load (lbs/yr)]]*ExistingBMPs6[[#This Row],[TSS Reduction (%)]],INDEX([1]!Loading_Rates[#All],MATCH(ExistingBMPs6[[#This Row],[MapShed Land Cover of Drainage Area]],[1]!Loading_Rates[[#All],[Source]],0),2)*ExistingBMPs6[[#This Row],[Drainage Area (ac)]]*ExistingBMPs6[[#This Row],[TSS Reduction (%)]]),IF(ExistingBMPs6[[#This Row],[BMP Type]]="Stream Restoration",[1]!Stream_Nutrients[TSS (lbs/ft/yr)]*ExistingBMPs6[[#This Row],[Stream Restoration* Length (ft) - Qualified projects only]],0))</f>
        <v>784.37377687499895</v>
      </c>
      <c r="U36" s="407">
        <f>ExistingBMPs6[[#This Row],[TSS Reduction (lbs/yr)]]/2000</f>
        <v>0.39218688843749949</v>
      </c>
      <c r="V36" s="407">
        <f>IF(ExistingBMPs6[[#This Row],[TP Reduction (%)]]&gt;0,IF(ExistingBMPs6[[#This Row],[BMP Type]]="Street Sweeping",ExistingBMPs6[[#This Row],[TP Load (lbs/yr)]]*ExistingBMPs6[[#This Row],[TP Reduction (%)]],INDEX([1]!Loading_Rates[#All],MATCH(ExistingBMPs6[[#This Row],[MapShed Land Cover of Drainage Area]],[1]!Loading_Rates[[#All],[Source]],0),3)*ExistingBMPs6[[#This Row],[Drainage Area (ac)]]*ExistingBMPs6[[#This Row],[TP Reduction (%)]]),IF(ExistingBMPs6[[#This Row],[BMP Type]]="Stream Restoration",[1]!Stream_Nutrients[TP (lbs/ft/yr)]*ExistingBMPs6[[#This Row],[Stream Restoration* Length (ft) - Qualified projects only]],0))</f>
        <v>0.39405937499999993</v>
      </c>
      <c r="W36" s="407">
        <f>IF(ExistingBMPs6[[#This Row],[TN Reduction (%)]]&gt;0,IF(ExistingBMPs6[[#This Row],[BMP Type]]="Street Sweeping",ExistingBMPs6[[#This Row],[TN Load (lbs/yr)]]*ExistingBMPs6[[#This Row],[TN Reduction (%)]],INDEX([1]!Loading_Rates[#All],MATCH(ExistingBMPs6[[#This Row],[MapShed Land Cover of Drainage Area]],[1]!Loading_Rates[[#All],[Source]],0),4)*ExistingBMPs6[[#This Row],[Drainage Area (ac)]]*ExistingBMPs6[[#This Row],[TN Reduction (%)]]),IF(ExistingBMPs6[[#This Row],[BMP Type]]="Stream Restoration",[1]!Stream_Nutrients[TN (lbs/ft/yr)]*ExistingBMPs6[[#This Row],[Stream Restoration* Length (ft) - Qualified projects only]],0))</f>
        <v>3.3849999999999976</v>
      </c>
    </row>
    <row r="37" spans="1:23">
      <c r="A37" s="400" t="s">
        <v>421</v>
      </c>
      <c r="B37" s="400" t="s">
        <v>422</v>
      </c>
      <c r="C37" s="401">
        <v>2015</v>
      </c>
      <c r="D37" s="400" t="s">
        <v>24</v>
      </c>
      <c r="E37" s="402">
        <v>32</v>
      </c>
      <c r="F37" s="403">
        <v>1.5</v>
      </c>
      <c r="G37" s="404"/>
      <c r="H37" s="404"/>
      <c r="I37" s="405">
        <f>ExistingBMPs6[[#This Row],[Drainage Area (ac)]]*ExistingBMPs6[[#This Row],[Impervious (%)]]</f>
        <v>27.84</v>
      </c>
      <c r="J37" s="405">
        <f>IFERROR(MIN(ExistingBMPs6[[#This Row],[Treatment Depth (in)]]*ExistingBMPs6[[#This Row],[Drainage Area (ac)]]/ExistingBMPs6[[#This Row],[Impervious Area (ac)]],2.5),NA())</f>
        <v>1.7241379310344829</v>
      </c>
      <c r="K37" s="403"/>
      <c r="L37" s="405">
        <f>IF(ExistingBMPs6[[#This Row],[Treatment Depth (in/imp. ac) Manual Override - use if no impervious area]]&gt;0,ExistingBMPs6[[#This Row],[Treatment Depth (in/imp. ac) Manual Override - use if no impervious area]],ExistingBMPs6[[#This Row],[Treatment Depth (in/imp. ac)]])</f>
        <v>1.7241379310344829</v>
      </c>
      <c r="M37" s="406">
        <f>IF(ExistingBMPs6[[#This Row],[BMP Type]]="Stream Restoration",NA(),IFERROR(INDEX([1]!Impervious[#All],MATCH(ExistingBMPs6[[#This Row],[MapShed Land Cover of Drainage Area]],[1]!Impervious[[#All],[Source]],0),4),0))</f>
        <v>0.87</v>
      </c>
      <c r="N37" s="407">
        <f>IF(ExistingBMPs6[[#This Row],[BMP Type]]="Street Sweeping",ExistingBMPs6[[#This Row],[Street Sweeping* Road Length Swept (ft) - Qualified projects only]]*[1]!Street_Sweeping[Road Width (ft)]/43560*INDEX([1]!Loading_Rates[#All],MATCH(ExistingBMPs6[[#This Row],[MapShed Land Cover of Drainage Area]],[1]!Loading_Rates[[#All],[Source]],0),2)*ExistingBMPs6[[#This Row],[Impervious (%)]],IF(ExistingBMPs6[[#This Row],[BMP Type]]="Stream Restoration",NA(),INDEX([1]!Loading_Rates[#All],MATCH(ExistingBMPs6[[#This Row],[MapShed Land Cover of Drainage Area]],[1]!Loading_Rates[[#All],[Source]],0),2)*ExistingBMPs6[[#This Row],[Drainage Area (ac)]]))</f>
        <v>75824</v>
      </c>
      <c r="O37" s="407">
        <f>IF(ExistingBMPs6[[#This Row],[BMP Type]]="Street Sweeping",ExistingBMPs6[[#This Row],[Street Sweeping* Road Length Swept (ft) - Qualified projects only]]*[1]!Street_Sweeping[Road Width (ft)]/43560*INDEX([1]!Loading_Rates[#All],MATCH(ExistingBMPs6[[#This Row],[MapShed Land Cover of Drainage Area]],[1]!Loading_Rates[[#All],[Source]],0),3)*ExistingBMPs6[[#This Row],[Impervious (%)]],IF(ExistingBMPs6[[#This Row],[BMP Type]]="Stream Restoration",NA(),INDEX([1]!Loading_Rates[#All],MATCH(ExistingBMPs6[[#This Row],[MapShed Land Cover of Drainage Area]],[1]!Loading_Rates[[#All],[Source]],0),3)*ExistingBMPs6[[#This Row],[Drainage Area (ac)]]))</f>
        <v>16</v>
      </c>
      <c r="P37" s="407">
        <f>IF(ExistingBMPs6[[#This Row],[BMP Type]]="Street Sweeping",ExistingBMPs6[[#This Row],[Street Sweeping* Road Length Swept (ft) - Qualified projects only]]*[1]!Street_Sweeping[Road Width (ft)]/43560*INDEX([1]!Loading_Rates[#All],MATCH(ExistingBMPs6[[#This Row],[MapShed Land Cover of Drainage Area]],[1]!Loading_Rates[[#All],[Source]],0),4)*ExistingBMPs6[[#This Row],[Impervious (%)]],IF(ExistingBMPs6[[#This Row],[BMP Type]]="Stream Restoration",NA(),INDEX([1]!Loading_Rates[#All],MATCH(ExistingBMPs6[[#This Row],[MapShed Land Cover of Drainage Area]],[1]!Loading_Rates[[#All],[Source]],0),4)*ExistingBMPs6[[#This Row],[Drainage Area (ac)]]))</f>
        <v>160</v>
      </c>
      <c r="Q37" s="406">
        <f>IF(ExistingBMPs6[[#This Row],[BMP Type]]="RR",0.0326*ExistingBMPs6[[#This Row],[Effective Treatment Depth (in/imp. ac)]]^5-0.2806*ExistingBMPs6[[#This Row],[Effective Treatment Depth (in/imp. ac)]]^4+0.9816*ExistingBMPs6[[#This Row],[Effective Treatment Depth (in/imp. ac)]]^3-1.8039*ExistingBMPs6[[#This Row],[Effective Treatment Depth (in/imp. ac)]]^2+1.8292*ExistingBMPs6[[#This Row],[Effective Treatment Depth (in/imp. ac)]]-0.0098,IF(ExistingBMPs6[[#This Row],[BMP Type]]="ST",0.0304*ExistingBMPs6[[#This Row],[Effective Treatment Depth (in/imp. ac)]]^5-0.2619*ExistingBMPs6[[#This Row],[Effective Treatment Depth (in/imp. ac)]]^4+0.9161*ExistingBMPs6[[#This Row],[Effective Treatment Depth (in/imp. ac)]]^3-1.6837*ExistingBMPs6[[#This Row],[Effective Treatment Depth (in/imp. ac)]]^2+1.7072*ExistingBMPs6[[#This Row],[Effective Treatment Depth (in/imp. ac)]]-0.0091,IF(ExistingBMPs6[[#This Row],[BMP Type]]="Street Sweeping",[1]!Street_Sweeping[TSS Reduction (%)],IF(OR(ExistingBMPs6[[#This Row],[BMP Type]]="Other",ExistingBMPs6[[#This Row],[BMP Type]]="Stream Restoration"),0,1))))</f>
        <v>0.77338885081962083</v>
      </c>
      <c r="R37" s="406">
        <f>IF(ExistingBMPs6[[#This Row],[BMP Type]]="RR",0.0304*ExistingBMPs6[[#This Row],[Effective Treatment Depth (in/imp. ac)]]^5-0.2619*ExistingBMPs6[[#This Row],[Effective Treatment Depth (in/imp. ac)]]^4+0.9161*ExistingBMPs6[[#This Row],[Effective Treatment Depth (in/imp. ac)]]^3-1.6837*ExistingBMPs6[[#This Row],[Effective Treatment Depth (in/imp. ac)]]^2+1.7072*ExistingBMPs6[[#This Row],[Effective Treatment Depth (in/imp. ac)]]-0.0091,IF(ExistingBMPs6[[#This Row],[BMP Type]]="ST",0.0239*ExistingBMPs6[[#This Row],[Effective Treatment Depth (in/imp. ac)]]^5-0.2058*ExistingBMPs6[[#This Row],[Effective Treatment Depth (in/imp. ac)]]^4+0.7198*ExistingBMPs6[[#This Row],[Effective Treatment Depth (in/imp. ac)]]^3-1.3229*ExistingBMPs6[[#This Row],[Effective Treatment Depth (in/imp. ac)]]^2+1.3414*ExistingBMPs6[[#This Row],[Effective Treatment Depth (in/imp. ac)]]-0.0072,IF(ExistingBMPs6[[#This Row],[BMP Type]]="Street Sweeping",[1]!Street_Sweeping[TP Reduction (%)],IF(OR(ExistingBMPs6[[#This Row],[BMP Type]]="Other",ExistingBMPs6[[#This Row],[BMP Type]]="Stream Restoration"),0,1))))</f>
        <v>0.60774806653688718</v>
      </c>
      <c r="S37" s="406">
        <f>IF(ExistingBMPs6[[#This Row],[BMP Type]]="RR",0.0308*ExistingBMPs6[[#This Row],[Effective Treatment Depth (in/imp. ac)]]^5-0.2562*ExistingBMPs6[[#This Row],[Effective Treatment Depth (in/imp. ac)]]^4+0.8634*ExistingBMPs6[[#This Row],[Effective Treatment Depth (in/imp. ac)]]^3-1.5285*ExistingBMPs6[[#This Row],[Effective Treatment Depth (in/imp. ac)]]^2+1.501*ExistingBMPs6[[#This Row],[Effective Treatment Depth (in/imp. ac)]]-0.013,IF(ExistingBMPs6[[#This Row],[BMP Type]]="ST",0.0152*ExistingBMPs6[[#This Row],[Effective Treatment Depth (in/imp. ac)]]^5-0.131*ExistingBMPs6[[#This Row],[Effective Treatment Depth (in/imp. ac)]]^4+0.4581*ExistingBMPs6[[#This Row],[Effective Treatment Depth (in/imp. ac)]]^3-0.8418*ExistingBMPs6[[#This Row],[Effective Treatment Depth (in/imp. ac)]]^2+0.8536*ExistingBMPs6[[#This Row],[Effective Treatment Depth (in/imp. ac)]]-0.0046,IF(ExistingBMPs6[[#This Row],[BMP Type]]="Street Sweeping",[1]!Street_Sweeping[TN Reduction (%)],IF(OR(ExistingBMPs6[[#This Row],[BMP Type]]="Other",ExistingBMPs6[[#This Row],[BMP Type]]="Stream Restoration"),0,1))))</f>
        <v>0.38660748818118357</v>
      </c>
      <c r="T37" s="407">
        <f>IF(ExistingBMPs6[[#This Row],[TSS Reduction (%)]]&gt;0,IF(ExistingBMPs6[[#This Row],[BMP Type]]="Street Sweeping",ExistingBMPs6[[#This Row],[TSS Load (lbs/yr)]]*ExistingBMPs6[[#This Row],[TSS Reduction (%)]],INDEX([1]!Loading_Rates[#All],MATCH(ExistingBMPs6[[#This Row],[MapShed Land Cover of Drainage Area]],[1]!Loading_Rates[[#All],[Source]],0),2)*ExistingBMPs6[[#This Row],[Drainage Area (ac)]]*ExistingBMPs6[[#This Row],[TSS Reduction (%)]]),IF(ExistingBMPs6[[#This Row],[BMP Type]]="Stream Restoration",[1]!Stream_Nutrients[TSS (lbs/ft/yr)]*ExistingBMPs6[[#This Row],[Stream Restoration* Length (ft) - Qualified projects only]],0))</f>
        <v>58641.436224546931</v>
      </c>
      <c r="U37" s="407">
        <f>ExistingBMPs6[[#This Row],[TSS Reduction (lbs/yr)]]/2000</f>
        <v>29.320718112273465</v>
      </c>
      <c r="V37" s="407">
        <f>IF(ExistingBMPs6[[#This Row],[TP Reduction (%)]]&gt;0,IF(ExistingBMPs6[[#This Row],[BMP Type]]="Street Sweeping",ExistingBMPs6[[#This Row],[TP Load (lbs/yr)]]*ExistingBMPs6[[#This Row],[TP Reduction (%)]],INDEX([1]!Loading_Rates[#All],MATCH(ExistingBMPs6[[#This Row],[MapShed Land Cover of Drainage Area]],[1]!Loading_Rates[[#All],[Source]],0),3)*ExistingBMPs6[[#This Row],[Drainage Area (ac)]]*ExistingBMPs6[[#This Row],[TP Reduction (%)]]),IF(ExistingBMPs6[[#This Row],[BMP Type]]="Stream Restoration",[1]!Stream_Nutrients[TP (lbs/ft/yr)]*ExistingBMPs6[[#This Row],[Stream Restoration* Length (ft) - Qualified projects only]],0))</f>
        <v>9.7239690645901948</v>
      </c>
      <c r="W37" s="407">
        <f>IF(ExistingBMPs6[[#This Row],[TN Reduction (%)]]&gt;0,IF(ExistingBMPs6[[#This Row],[BMP Type]]="Street Sweeping",ExistingBMPs6[[#This Row],[TN Load (lbs/yr)]]*ExistingBMPs6[[#This Row],[TN Reduction (%)]],INDEX([1]!Loading_Rates[#All],MATCH(ExistingBMPs6[[#This Row],[MapShed Land Cover of Drainage Area]],[1]!Loading_Rates[[#All],[Source]],0),4)*ExistingBMPs6[[#This Row],[Drainage Area (ac)]]*ExistingBMPs6[[#This Row],[TN Reduction (%)]]),IF(ExistingBMPs6[[#This Row],[BMP Type]]="Stream Restoration",[1]!Stream_Nutrients[TN (lbs/ft/yr)]*ExistingBMPs6[[#This Row],[Stream Restoration* Length (ft) - Qualified projects only]],0))</f>
        <v>61.857198108989373</v>
      </c>
    </row>
    <row r="38" spans="1:23">
      <c r="A38" s="400" t="s">
        <v>431</v>
      </c>
      <c r="B38" s="400" t="s">
        <v>429</v>
      </c>
      <c r="C38" s="401">
        <v>2015</v>
      </c>
      <c r="D38" s="401" t="s">
        <v>432</v>
      </c>
      <c r="E38" s="402"/>
      <c r="F38" s="403"/>
      <c r="G38" s="404"/>
      <c r="H38" s="404">
        <v>20000</v>
      </c>
      <c r="I38" s="405">
        <f>ExistingBMPs6[[#This Row],[Drainage Area (ac)]]*ExistingBMPs6[[#This Row],[Impervious (%)]]</f>
        <v>0</v>
      </c>
      <c r="J38" s="405" t="e">
        <f>IFERROR(MIN(ExistingBMPs6[[#This Row],[Treatment Depth (in)]]*ExistingBMPs6[[#This Row],[Drainage Area (ac)]]/ExistingBMPs6[[#This Row],[Impervious Area (ac)]],2.5),NA())</f>
        <v>#N/A</v>
      </c>
      <c r="K38" s="403"/>
      <c r="L38" s="405" t="e">
        <f>IF(ExistingBMPs6[[#This Row],[Treatment Depth (in/imp. ac) Manual Override - use if no impervious area]]&gt;0,ExistingBMPs6[[#This Row],[Treatment Depth (in/imp. ac) Manual Override - use if no impervious area]],ExistingBMPs6[[#This Row],[Treatment Depth (in/imp. ac)]])</f>
        <v>#N/A</v>
      </c>
      <c r="M38" s="406">
        <f>IF(ExistingBMPs6[[#This Row],[BMP Type]]="Stream Restoration",NA(),IFERROR(INDEX([1]!Impervious[#All],MATCH(ExistingBMPs6[[#This Row],[MapShed Land Cover of Drainage Area]],[1]!Impervious[[#All],[Source]],0),4),0))</f>
        <v>0.87</v>
      </c>
      <c r="N38" s="407">
        <f>IF(ExistingBMPs6[[#This Row],[BMP Type]]="Street Sweeping",ExistingBMPs6[[#This Row],[Street Sweeping* Road Length Swept (ft) - Qualified projects only]]*[1]!Street_Sweeping[Road Width (ft)]/43560*INDEX([1]!Loading_Rates[#All],MATCH(ExistingBMPs6[[#This Row],[MapShed Land Cover of Drainage Area]],[1]!Loading_Rates[[#All],[Source]],0),2)*ExistingBMPs6[[#This Row],[Impervious (%)]],IF(ExistingBMPs6[[#This Row],[BMP Type]]="Stream Restoration",NA(),INDEX([1]!Loading_Rates[#All],MATCH(ExistingBMPs6[[#This Row],[MapShed Land Cover of Drainage Area]],[1]!Loading_Rates[[#All],[Source]],0),2)*ExistingBMPs6[[#This Row],[Drainage Area (ac)]]))</f>
        <v>330.90358126721759</v>
      </c>
      <c r="O38" s="407">
        <f>IF(ExistingBMPs6[[#This Row],[BMP Type]]="Street Sweeping",ExistingBMPs6[[#This Row],[Street Sweeping* Road Length Swept (ft) - Qualified projects only]]*[1]!Street_Sweeping[Road Width (ft)]/43560*INDEX([1]!Loading_Rates[#All],MATCH(ExistingBMPs6[[#This Row],[MapShed Land Cover of Drainage Area]],[1]!Loading_Rates[[#All],[Source]],0),3)*ExistingBMPs6[[#This Row],[Impervious (%)]],IF(ExistingBMPs6[[#This Row],[BMP Type]]="Stream Restoration",NA(),INDEX([1]!Loading_Rates[#All],MATCH(ExistingBMPs6[[#This Row],[MapShed Land Cover of Drainage Area]],[1]!Loading_Rates[[#All],[Source]],0),3)*ExistingBMPs6[[#This Row],[Drainage Area (ac)]]))</f>
        <v>0.39944903581267216</v>
      </c>
      <c r="P38" s="407">
        <f>IF(ExistingBMPs6[[#This Row],[BMP Type]]="Street Sweeping",ExistingBMPs6[[#This Row],[Street Sweeping* Road Length Swept (ft) - Qualified projects only]]*[1]!Street_Sweeping[Road Width (ft)]/43560*INDEX([1]!Loading_Rates[#All],MATCH(ExistingBMPs6[[#This Row],[MapShed Land Cover of Drainage Area]],[1]!Loading_Rates[[#All],[Source]],0),4)*ExistingBMPs6[[#This Row],[Impervious (%)]],IF(ExistingBMPs6[[#This Row],[BMP Type]]="Stream Restoration",NA(),INDEX([1]!Loading_Rates[#All],MATCH(ExistingBMPs6[[#This Row],[MapShed Land Cover of Drainage Area]],[1]!Loading_Rates[[#All],[Source]],0),4)*ExistingBMPs6[[#This Row],[Drainage Area (ac)]]))</f>
        <v>3.9944903581267215</v>
      </c>
      <c r="Q38" s="406">
        <f>IF(ExistingBMPs6[[#This Row],[BMP Type]]="RR",0.0326*ExistingBMPs6[[#This Row],[Effective Treatment Depth (in/imp. ac)]]^5-0.2806*ExistingBMPs6[[#This Row],[Effective Treatment Depth (in/imp. ac)]]^4+0.9816*ExistingBMPs6[[#This Row],[Effective Treatment Depth (in/imp. ac)]]^3-1.8039*ExistingBMPs6[[#This Row],[Effective Treatment Depth (in/imp. ac)]]^2+1.8292*ExistingBMPs6[[#This Row],[Effective Treatment Depth (in/imp. ac)]]-0.0098,IF(ExistingBMPs6[[#This Row],[BMP Type]]="ST",0.0304*ExistingBMPs6[[#This Row],[Effective Treatment Depth (in/imp. ac)]]^5-0.2619*ExistingBMPs6[[#This Row],[Effective Treatment Depth (in/imp. ac)]]^4+0.9161*ExistingBMPs6[[#This Row],[Effective Treatment Depth (in/imp. ac)]]^3-1.6837*ExistingBMPs6[[#This Row],[Effective Treatment Depth (in/imp. ac)]]^2+1.7072*ExistingBMPs6[[#This Row],[Effective Treatment Depth (in/imp. ac)]]-0.0091,IF(ExistingBMPs6[[#This Row],[BMP Type]]="Street Sweeping",[1]!Street_Sweeping[TSS Reduction (%)],IF(OR(ExistingBMPs6[[#This Row],[BMP Type]]="Other",ExistingBMPs6[[#This Row],[BMP Type]]="Stream Restoration"),0,1))))</f>
        <v>0.1</v>
      </c>
      <c r="R38" s="406">
        <f>IF(ExistingBMPs6[[#This Row],[BMP Type]]="RR",0.0304*ExistingBMPs6[[#This Row],[Effective Treatment Depth (in/imp. ac)]]^5-0.2619*ExistingBMPs6[[#This Row],[Effective Treatment Depth (in/imp. ac)]]^4+0.9161*ExistingBMPs6[[#This Row],[Effective Treatment Depth (in/imp. ac)]]^3-1.6837*ExistingBMPs6[[#This Row],[Effective Treatment Depth (in/imp. ac)]]^2+1.7072*ExistingBMPs6[[#This Row],[Effective Treatment Depth (in/imp. ac)]]-0.0091,IF(ExistingBMPs6[[#This Row],[BMP Type]]="ST",0.0239*ExistingBMPs6[[#This Row],[Effective Treatment Depth (in/imp. ac)]]^5-0.2058*ExistingBMPs6[[#This Row],[Effective Treatment Depth (in/imp. ac)]]^4+0.7198*ExistingBMPs6[[#This Row],[Effective Treatment Depth (in/imp. ac)]]^3-1.3229*ExistingBMPs6[[#This Row],[Effective Treatment Depth (in/imp. ac)]]^2+1.3414*ExistingBMPs6[[#This Row],[Effective Treatment Depth (in/imp. ac)]]-0.0072,IF(ExistingBMPs6[[#This Row],[BMP Type]]="Street Sweeping",[1]!Street_Sweeping[TP Reduction (%)],IF(OR(ExistingBMPs6[[#This Row],[BMP Type]]="Other",ExistingBMPs6[[#This Row],[BMP Type]]="Stream Restoration"),0,1))))</f>
        <v>0.1</v>
      </c>
      <c r="S38" s="406">
        <f>IF(ExistingBMPs6[[#This Row],[BMP Type]]="RR",0.0308*ExistingBMPs6[[#This Row],[Effective Treatment Depth (in/imp. ac)]]^5-0.2562*ExistingBMPs6[[#This Row],[Effective Treatment Depth (in/imp. ac)]]^4+0.8634*ExistingBMPs6[[#This Row],[Effective Treatment Depth (in/imp. ac)]]^3-1.5285*ExistingBMPs6[[#This Row],[Effective Treatment Depth (in/imp. ac)]]^2+1.501*ExistingBMPs6[[#This Row],[Effective Treatment Depth (in/imp. ac)]]-0.013,IF(ExistingBMPs6[[#This Row],[BMP Type]]="ST",0.0152*ExistingBMPs6[[#This Row],[Effective Treatment Depth (in/imp. ac)]]^5-0.131*ExistingBMPs6[[#This Row],[Effective Treatment Depth (in/imp. ac)]]^4+0.4581*ExistingBMPs6[[#This Row],[Effective Treatment Depth (in/imp. ac)]]^3-0.8418*ExistingBMPs6[[#This Row],[Effective Treatment Depth (in/imp. ac)]]^2+0.8536*ExistingBMPs6[[#This Row],[Effective Treatment Depth (in/imp. ac)]]-0.0046,IF(ExistingBMPs6[[#This Row],[BMP Type]]="Street Sweeping",[1]!Street_Sweeping[TN Reduction (%)],IF(OR(ExistingBMPs6[[#This Row],[BMP Type]]="Other",ExistingBMPs6[[#This Row],[BMP Type]]="Stream Restoration"),0,1))))</f>
        <v>0.1</v>
      </c>
      <c r="T38" s="407">
        <f>IF(ExistingBMPs6[[#This Row],[TSS Reduction (%)]]&gt;0,IF(ExistingBMPs6[[#This Row],[BMP Type]]="Street Sweeping",ExistingBMPs6[[#This Row],[TSS Load (lbs/yr)]]*ExistingBMPs6[[#This Row],[TSS Reduction (%)]],INDEX([1]!Loading_Rates[#All],MATCH(ExistingBMPs6[[#This Row],[MapShed Land Cover of Drainage Area]],[1]!Loading_Rates[[#All],[Source]],0),2)*ExistingBMPs6[[#This Row],[Drainage Area (ac)]]*ExistingBMPs6[[#This Row],[TSS Reduction (%)]]),IF(ExistingBMPs6[[#This Row],[BMP Type]]="Stream Restoration",[1]!Stream_Nutrients[TSS (lbs/ft/yr)]*ExistingBMPs6[[#This Row],[Stream Restoration* Length (ft) - Qualified projects only]],0))</f>
        <v>33.09035812672176</v>
      </c>
      <c r="U38" s="407">
        <f>ExistingBMPs6[[#This Row],[TSS Reduction (lbs/yr)]]/2000</f>
        <v>1.6545179063360879E-2</v>
      </c>
      <c r="V38" s="407">
        <f>IF(ExistingBMPs6[[#This Row],[TP Reduction (%)]]&gt;0,IF(ExistingBMPs6[[#This Row],[BMP Type]]="Street Sweeping",ExistingBMPs6[[#This Row],[TP Load (lbs/yr)]]*ExistingBMPs6[[#This Row],[TP Reduction (%)]],INDEX([1]!Loading_Rates[#All],MATCH(ExistingBMPs6[[#This Row],[MapShed Land Cover of Drainage Area]],[1]!Loading_Rates[[#All],[Source]],0),3)*ExistingBMPs6[[#This Row],[Drainage Area (ac)]]*ExistingBMPs6[[#This Row],[TP Reduction (%)]]),IF(ExistingBMPs6[[#This Row],[BMP Type]]="Stream Restoration",[1]!Stream_Nutrients[TP (lbs/ft/yr)]*ExistingBMPs6[[#This Row],[Stream Restoration* Length (ft) - Qualified projects only]],0))</f>
        <v>3.9944903581267219E-2</v>
      </c>
      <c r="W38" s="407">
        <f>IF(ExistingBMPs6[[#This Row],[TN Reduction (%)]]&gt;0,IF(ExistingBMPs6[[#This Row],[BMP Type]]="Street Sweeping",ExistingBMPs6[[#This Row],[TN Load (lbs/yr)]]*ExistingBMPs6[[#This Row],[TN Reduction (%)]],INDEX([1]!Loading_Rates[#All],MATCH(ExistingBMPs6[[#This Row],[MapShed Land Cover of Drainage Area]],[1]!Loading_Rates[[#All],[Source]],0),4)*ExistingBMPs6[[#This Row],[Drainage Area (ac)]]*ExistingBMPs6[[#This Row],[TN Reduction (%)]]),IF(ExistingBMPs6[[#This Row],[BMP Type]]="Stream Restoration",[1]!Stream_Nutrients[TN (lbs/ft/yr)]*ExistingBMPs6[[#This Row],[Stream Restoration* Length (ft) - Qualified projects only]],0))</f>
        <v>0.39944903581267216</v>
      </c>
    </row>
    <row r="39" spans="1:23" ht="21">
      <c r="A39" s="398" t="s">
        <v>55</v>
      </c>
      <c r="B39" s="398"/>
      <c r="C39" s="398"/>
      <c r="D39" s="398"/>
      <c r="E39" s="398"/>
      <c r="F39" s="398"/>
      <c r="G39" s="398"/>
      <c r="H39" s="398"/>
      <c r="I39" s="398"/>
      <c r="J39" s="398"/>
      <c r="K39" s="398"/>
      <c r="L39" s="398"/>
      <c r="M39" s="398"/>
      <c r="N39" s="398"/>
      <c r="O39" s="398"/>
      <c r="P39" s="398"/>
      <c r="Q39" s="398"/>
      <c r="R39" s="398"/>
      <c r="S39" s="398"/>
      <c r="T39" s="435">
        <f>_xlfn.AGGREGATE(9,7,ExistingBMPs6[TSS Reduction (lbs/yr)])</f>
        <v>59458.90035954865</v>
      </c>
      <c r="U39" s="407">
        <f>_xlfn.AGGREGATE(9,7,ExistingBMPs6[TSS Reduction (tons/yr)])</f>
        <v>29.729450179774325</v>
      </c>
      <c r="V39" s="435">
        <f>_xlfn.AGGREGATE(9,7,ExistingBMPs6[TP Reduction (lbs/yr)])</f>
        <v>10.157973343171461</v>
      </c>
      <c r="W39" s="435">
        <f>_xlfn.AGGREGATE(9,7,ExistingBMPs6[TN Reduction (lbs/yr)])</f>
        <v>65.641647144802036</v>
      </c>
    </row>
    <row r="42" spans="1:23">
      <c r="A42" s="267" t="s">
        <v>470</v>
      </c>
    </row>
    <row r="43" spans="1:23" ht="45">
      <c r="A43" s="398" t="s">
        <v>440</v>
      </c>
      <c r="B43" s="399" t="s">
        <v>441</v>
      </c>
      <c r="C43" s="398" t="s">
        <v>442</v>
      </c>
      <c r="D43" s="399" t="s">
        <v>443</v>
      </c>
      <c r="E43" s="399" t="s">
        <v>444</v>
      </c>
      <c r="F43" s="399" t="s">
        <v>445</v>
      </c>
      <c r="G43" s="399" t="s">
        <v>446</v>
      </c>
      <c r="H43" s="399" t="s">
        <v>447</v>
      </c>
      <c r="I43" s="399" t="s">
        <v>448</v>
      </c>
      <c r="J43" s="399" t="s">
        <v>449</v>
      </c>
      <c r="K43" s="399" t="s">
        <v>450</v>
      </c>
      <c r="L43" s="399" t="s">
        <v>451</v>
      </c>
      <c r="M43" s="399" t="s">
        <v>452</v>
      </c>
      <c r="N43" s="399" t="s">
        <v>453</v>
      </c>
      <c r="O43" s="399" t="s">
        <v>454</v>
      </c>
      <c r="P43" s="399" t="s">
        <v>455</v>
      </c>
      <c r="Q43" s="399" t="s">
        <v>456</v>
      </c>
      <c r="R43" s="399" t="s">
        <v>457</v>
      </c>
      <c r="S43" s="399" t="s">
        <v>458</v>
      </c>
      <c r="T43" s="399" t="s">
        <v>459</v>
      </c>
      <c r="U43" s="399" t="s">
        <v>460</v>
      </c>
      <c r="V43" s="399" t="s">
        <v>461</v>
      </c>
      <c r="W43" s="399" t="s">
        <v>462</v>
      </c>
    </row>
    <row r="44" spans="1:23">
      <c r="A44" s="400" t="s">
        <v>419</v>
      </c>
      <c r="B44" s="400" t="s">
        <v>420</v>
      </c>
      <c r="C44" s="401">
        <v>2009</v>
      </c>
      <c r="D44" s="400" t="s">
        <v>19</v>
      </c>
      <c r="E44" s="402">
        <v>1</v>
      </c>
      <c r="F44" s="403">
        <v>1</v>
      </c>
      <c r="G44" s="404"/>
      <c r="H44" s="404"/>
      <c r="I44" s="405">
        <f>ExistingBMPs67[[#This Row],[Drainage Area (ac)]]*ExistingBMPs67[[#This Row],[Impervious (%)]]</f>
        <v>0.15</v>
      </c>
      <c r="J44" s="405">
        <f>IFERROR(MIN(ExistingBMPs67[[#This Row],[Treatment Depth (in)]]*ExistingBMPs67[[#This Row],[Drainage Area (ac)]]/ExistingBMPs67[[#This Row],[Impervious Area (ac)]],2.5),NA())</f>
        <v>2.5</v>
      </c>
      <c r="K44" s="403"/>
      <c r="L44" s="405">
        <f>IF(ExistingBMPs67[[#This Row],[Treatment Depth (in/imp. ac) Manual Override - use if no impervious area]]&gt;0,ExistingBMPs67[[#This Row],[Treatment Depth (in/imp. ac) Manual Override - use if no impervious area]],ExistingBMPs67[[#This Row],[Treatment Depth (in/imp. ac)]])</f>
        <v>2.5</v>
      </c>
      <c r="M44" s="406">
        <f>IF(ExistingBMPs67[[#This Row],[BMP Type]]="Stream Restoration",NA(),IFERROR(INDEX([1]!Impervious[#All],MATCH(ExistingBMPs67[[#This Row],[MapShed Land Cover of Drainage Area]],[1]!Impervious[[#All],[Source]],0),4),0))</f>
        <v>0.15</v>
      </c>
      <c r="N44" s="407">
        <f>IF(ExistingBMPs67[[#This Row],[BMP Type]]="Street Sweeping",ExistingBMPs67[[#This Row],[Street Sweeping* Road Length Swept (ft) - Qualified projects only]]*[1]!Street_Sweeping[Road Width (ft)]/43560*INDEX([1]!Loading_Rates[#All],MATCH(ExistingBMPs67[[#This Row],[MapShed Land Cover of Drainage Area]],[1]!Loading_Rates[[#All],[Source]],0),2)*ExistingBMPs67[[#This Row],[Impervious (%)]],IF(ExistingBMPs67[[#This Row],[BMP Type]]="Stream Restoration",NA(),INDEX([1]!Loading_Rates[#All],MATCH(ExistingBMPs67[[#This Row],[MapShed Land Cover of Drainage Area]],[1]!Loading_Rates[[#All],[Source]],0),2)*ExistingBMPs67[[#This Row],[Drainage Area (ac)]]))</f>
        <v>923.9</v>
      </c>
      <c r="O44" s="407">
        <f>IF(ExistingBMPs67[[#This Row],[BMP Type]]="Street Sweeping",ExistingBMPs67[[#This Row],[Street Sweeping* Road Length Swept (ft) - Qualified projects only]]*[1]!Street_Sweeping[Road Width (ft)]/43560*INDEX([1]!Loading_Rates[#All],MATCH(ExistingBMPs67[[#This Row],[MapShed Land Cover of Drainage Area]],[1]!Loading_Rates[[#All],[Source]],0),3)*ExistingBMPs67[[#This Row],[Impervious (%)]],IF(ExistingBMPs67[[#This Row],[BMP Type]]="Stream Restoration",NA(),INDEX([1]!Loading_Rates[#All],MATCH(ExistingBMPs67[[#This Row],[MapShed Land Cover of Drainage Area]],[1]!Loading_Rates[[#All],[Source]],0),3)*ExistingBMPs67[[#This Row],[Drainage Area (ac)]]))</f>
        <v>0.5</v>
      </c>
      <c r="P44" s="407">
        <f>IF(ExistingBMPs67[[#This Row],[BMP Type]]="Street Sweeping",ExistingBMPs67[[#This Row],[Street Sweeping* Road Length Swept (ft) - Qualified projects only]]*[1]!Street_Sweeping[Road Width (ft)]/43560*INDEX([1]!Loading_Rates[#All],MATCH(ExistingBMPs67[[#This Row],[MapShed Land Cover of Drainage Area]],[1]!Loading_Rates[[#All],[Source]],0),4)*ExistingBMPs67[[#This Row],[Impervious (%)]],IF(ExistingBMPs67[[#This Row],[BMP Type]]="Stream Restoration",NA(),INDEX([1]!Loading_Rates[#All],MATCH(ExistingBMPs67[[#This Row],[MapShed Land Cover of Drainage Area]],[1]!Loading_Rates[[#All],[Source]],0),4)*ExistingBMPs67[[#This Row],[Drainage Area (ac)]]))</f>
        <v>5</v>
      </c>
      <c r="Q44" s="406">
        <f>IF(ExistingBMPs67[[#This Row],[BMP Type]]="RR",0.0326*ExistingBMPs67[[#This Row],[Effective Treatment Depth (in/imp. ac)]]^5-0.2806*ExistingBMPs67[[#This Row],[Effective Treatment Depth (in/imp. ac)]]^4+0.9816*ExistingBMPs67[[#This Row],[Effective Treatment Depth (in/imp. ac)]]^3-1.8039*ExistingBMPs67[[#This Row],[Effective Treatment Depth (in/imp. ac)]]^2+1.8292*ExistingBMPs67[[#This Row],[Effective Treatment Depth (in/imp. ac)]]-0.0098,IF(ExistingBMPs67[[#This Row],[BMP Type]]="ST",0.0304*ExistingBMPs67[[#This Row],[Effective Treatment Depth (in/imp. ac)]]^5-0.2619*ExistingBMPs67[[#This Row],[Effective Treatment Depth (in/imp. ac)]]^4+0.9161*ExistingBMPs67[[#This Row],[Effective Treatment Depth (in/imp. ac)]]^3-1.6837*ExistingBMPs67[[#This Row],[Effective Treatment Depth (in/imp. ac)]]^2+1.7072*ExistingBMPs67[[#This Row],[Effective Treatment Depth (in/imp. ac)]]-0.0091,IF(ExistingBMPs67[[#This Row],[BMP Type]]="Street Sweeping",[1]!Street_Sweeping[TSS Reduction (%)],IF(OR(ExistingBMPs67[[#This Row],[BMP Type]]="Other",ExistingBMPs67[[#This Row],[BMP Type]]="Stream Restoration"),0,1))))</f>
        <v>0.84898124999999891</v>
      </c>
      <c r="R44" s="406">
        <f>IF(ExistingBMPs67[[#This Row],[BMP Type]]="RR",0.0304*ExistingBMPs67[[#This Row],[Effective Treatment Depth (in/imp. ac)]]^5-0.2619*ExistingBMPs67[[#This Row],[Effective Treatment Depth (in/imp. ac)]]^4+0.9161*ExistingBMPs67[[#This Row],[Effective Treatment Depth (in/imp. ac)]]^3-1.6837*ExistingBMPs67[[#This Row],[Effective Treatment Depth (in/imp. ac)]]^2+1.7072*ExistingBMPs67[[#This Row],[Effective Treatment Depth (in/imp. ac)]]-0.0091,IF(ExistingBMPs67[[#This Row],[BMP Type]]="ST",0.0239*ExistingBMPs67[[#This Row],[Effective Treatment Depth (in/imp. ac)]]^5-0.2058*ExistingBMPs67[[#This Row],[Effective Treatment Depth (in/imp. ac)]]^4+0.7198*ExistingBMPs67[[#This Row],[Effective Treatment Depth (in/imp. ac)]]^3-1.3229*ExistingBMPs67[[#This Row],[Effective Treatment Depth (in/imp. ac)]]^2+1.3414*ExistingBMPs67[[#This Row],[Effective Treatment Depth (in/imp. ac)]]-0.0072,IF(ExistingBMPs67[[#This Row],[BMP Type]]="Street Sweeping",[1]!Street_Sweeping[TP Reduction (%)],IF(OR(ExistingBMPs67[[#This Row],[BMP Type]]="Other",ExistingBMPs67[[#This Row],[BMP Type]]="Stream Restoration"),0,1))))</f>
        <v>0.78811874999999987</v>
      </c>
      <c r="S44" s="406">
        <f>IF(ExistingBMPs67[[#This Row],[BMP Type]]="RR",0.0308*ExistingBMPs67[[#This Row],[Effective Treatment Depth (in/imp. ac)]]^5-0.2562*ExistingBMPs67[[#This Row],[Effective Treatment Depth (in/imp. ac)]]^4+0.8634*ExistingBMPs67[[#This Row],[Effective Treatment Depth (in/imp. ac)]]^3-1.5285*ExistingBMPs67[[#This Row],[Effective Treatment Depth (in/imp. ac)]]^2+1.501*ExistingBMPs67[[#This Row],[Effective Treatment Depth (in/imp. ac)]]-0.013,IF(ExistingBMPs67[[#This Row],[BMP Type]]="ST",0.0152*ExistingBMPs67[[#This Row],[Effective Treatment Depth (in/imp. ac)]]^5-0.131*ExistingBMPs67[[#This Row],[Effective Treatment Depth (in/imp. ac)]]^4+0.4581*ExistingBMPs67[[#This Row],[Effective Treatment Depth (in/imp. ac)]]^3-0.8418*ExistingBMPs67[[#This Row],[Effective Treatment Depth (in/imp. ac)]]^2+0.8536*ExistingBMPs67[[#This Row],[Effective Treatment Depth (in/imp. ac)]]-0.0046,IF(ExistingBMPs67[[#This Row],[BMP Type]]="Street Sweeping",[1]!Street_Sweeping[TN Reduction (%)],IF(OR(ExistingBMPs67[[#This Row],[BMP Type]]="Other",ExistingBMPs67[[#This Row],[BMP Type]]="Stream Restoration"),0,1))))</f>
        <v>0.67699999999999949</v>
      </c>
      <c r="T44" s="407">
        <f>IF(ExistingBMPs67[[#This Row],[TSS Reduction (%)]]&gt;0,IF(ExistingBMPs67[[#This Row],[BMP Type]]="Street Sweeping",ExistingBMPs67[[#This Row],[TSS Load (lbs/yr)]]*ExistingBMPs67[[#This Row],[TSS Reduction (%)]],INDEX([1]!Loading_Rates[#All],MATCH(ExistingBMPs67[[#This Row],[MapShed Land Cover of Drainage Area]],[1]!Loading_Rates[[#All],[Source]],0),2)*ExistingBMPs67[[#This Row],[Drainage Area (ac)]]*ExistingBMPs67[[#This Row],[TSS Reduction (%)]]),IF(ExistingBMPs67[[#This Row],[BMP Type]]="Stream Restoration",[1]!Stream_Nutrients[TSS (lbs/ft/yr)]*ExistingBMPs67[[#This Row],[Stream Restoration* Length (ft) - Qualified projects only]],0))</f>
        <v>784.37377687499895</v>
      </c>
      <c r="U44" s="407">
        <f>ExistingBMPs67[[#This Row],[TSS Reduction (lbs/yr)]]/2000</f>
        <v>0.39218688843749949</v>
      </c>
      <c r="V44" s="407">
        <f>IF(ExistingBMPs67[[#This Row],[TP Reduction (%)]]&gt;0,IF(ExistingBMPs67[[#This Row],[BMP Type]]="Street Sweeping",ExistingBMPs67[[#This Row],[TP Load (lbs/yr)]]*ExistingBMPs67[[#This Row],[TP Reduction (%)]],INDEX([1]!Loading_Rates[#All],MATCH(ExistingBMPs67[[#This Row],[MapShed Land Cover of Drainage Area]],[1]!Loading_Rates[[#All],[Source]],0),3)*ExistingBMPs67[[#This Row],[Drainage Area (ac)]]*ExistingBMPs67[[#This Row],[TP Reduction (%)]]),IF(ExistingBMPs67[[#This Row],[BMP Type]]="Stream Restoration",[1]!Stream_Nutrients[TP (lbs/ft/yr)]*ExistingBMPs67[[#This Row],[Stream Restoration* Length (ft) - Qualified projects only]],0))</f>
        <v>0.39405937499999993</v>
      </c>
      <c r="W44" s="407">
        <f>IF(ExistingBMPs67[[#This Row],[TN Reduction (%)]]&gt;0,IF(ExistingBMPs67[[#This Row],[BMP Type]]="Street Sweeping",ExistingBMPs67[[#This Row],[TN Load (lbs/yr)]]*ExistingBMPs67[[#This Row],[TN Reduction (%)]],INDEX([1]!Loading_Rates[#All],MATCH(ExistingBMPs67[[#This Row],[MapShed Land Cover of Drainage Area]],[1]!Loading_Rates[[#All],[Source]],0),4)*ExistingBMPs67[[#This Row],[Drainage Area (ac)]]*ExistingBMPs67[[#This Row],[TN Reduction (%)]]),IF(ExistingBMPs67[[#This Row],[BMP Type]]="Stream Restoration",[1]!Stream_Nutrients[TN (lbs/ft/yr)]*ExistingBMPs67[[#This Row],[Stream Restoration* Length (ft) - Qualified projects only]],0))</f>
        <v>3.3849999999999976</v>
      </c>
    </row>
    <row r="45" spans="1:23">
      <c r="A45" s="400" t="s">
        <v>421</v>
      </c>
      <c r="B45" s="400" t="s">
        <v>422</v>
      </c>
      <c r="C45" s="401">
        <v>2015</v>
      </c>
      <c r="D45" s="400" t="s">
        <v>24</v>
      </c>
      <c r="E45" s="402">
        <v>32</v>
      </c>
      <c r="F45" s="403">
        <v>1.5</v>
      </c>
      <c r="G45" s="404"/>
      <c r="H45" s="404"/>
      <c r="I45" s="405">
        <f>ExistingBMPs67[[#This Row],[Drainage Area (ac)]]*ExistingBMPs67[[#This Row],[Impervious (%)]]</f>
        <v>27.84</v>
      </c>
      <c r="J45" s="405">
        <f>IFERROR(MIN(ExistingBMPs67[[#This Row],[Treatment Depth (in)]]*ExistingBMPs67[[#This Row],[Drainage Area (ac)]]/ExistingBMPs67[[#This Row],[Impervious Area (ac)]],2.5),NA())</f>
        <v>1.7241379310344829</v>
      </c>
      <c r="K45" s="403"/>
      <c r="L45" s="405">
        <f>IF(ExistingBMPs67[[#This Row],[Treatment Depth (in/imp. ac) Manual Override - use if no impervious area]]&gt;0,ExistingBMPs67[[#This Row],[Treatment Depth (in/imp. ac) Manual Override - use if no impervious area]],ExistingBMPs67[[#This Row],[Treatment Depth (in/imp. ac)]])</f>
        <v>1.7241379310344829</v>
      </c>
      <c r="M45" s="406">
        <f>IF(ExistingBMPs67[[#This Row],[BMP Type]]="Stream Restoration",NA(),IFERROR(INDEX([1]!Impervious[#All],MATCH(ExistingBMPs67[[#This Row],[MapShed Land Cover of Drainage Area]],[1]!Impervious[[#All],[Source]],0),4),0))</f>
        <v>0.87</v>
      </c>
      <c r="N45" s="407">
        <f>IF(ExistingBMPs67[[#This Row],[BMP Type]]="Street Sweeping",ExistingBMPs67[[#This Row],[Street Sweeping* Road Length Swept (ft) - Qualified projects only]]*[1]!Street_Sweeping[Road Width (ft)]/43560*INDEX([1]!Loading_Rates[#All],MATCH(ExistingBMPs67[[#This Row],[MapShed Land Cover of Drainage Area]],[1]!Loading_Rates[[#All],[Source]],0),2)*ExistingBMPs67[[#This Row],[Impervious (%)]],IF(ExistingBMPs67[[#This Row],[BMP Type]]="Stream Restoration",NA(),INDEX([1]!Loading_Rates[#All],MATCH(ExistingBMPs67[[#This Row],[MapShed Land Cover of Drainage Area]],[1]!Loading_Rates[[#All],[Source]],0),2)*ExistingBMPs67[[#This Row],[Drainage Area (ac)]]))</f>
        <v>75824</v>
      </c>
      <c r="O45" s="407">
        <f>IF(ExistingBMPs67[[#This Row],[BMP Type]]="Street Sweeping",ExistingBMPs67[[#This Row],[Street Sweeping* Road Length Swept (ft) - Qualified projects only]]*[1]!Street_Sweeping[Road Width (ft)]/43560*INDEX([1]!Loading_Rates[#All],MATCH(ExistingBMPs67[[#This Row],[MapShed Land Cover of Drainage Area]],[1]!Loading_Rates[[#All],[Source]],0),3)*ExistingBMPs67[[#This Row],[Impervious (%)]],IF(ExistingBMPs67[[#This Row],[BMP Type]]="Stream Restoration",NA(),INDEX([1]!Loading_Rates[#All],MATCH(ExistingBMPs67[[#This Row],[MapShed Land Cover of Drainage Area]],[1]!Loading_Rates[[#All],[Source]],0),3)*ExistingBMPs67[[#This Row],[Drainage Area (ac)]]))</f>
        <v>16</v>
      </c>
      <c r="P45" s="407">
        <f>IF(ExistingBMPs67[[#This Row],[BMP Type]]="Street Sweeping",ExistingBMPs67[[#This Row],[Street Sweeping* Road Length Swept (ft) - Qualified projects only]]*[1]!Street_Sweeping[Road Width (ft)]/43560*INDEX([1]!Loading_Rates[#All],MATCH(ExistingBMPs67[[#This Row],[MapShed Land Cover of Drainage Area]],[1]!Loading_Rates[[#All],[Source]],0),4)*ExistingBMPs67[[#This Row],[Impervious (%)]],IF(ExistingBMPs67[[#This Row],[BMP Type]]="Stream Restoration",NA(),INDEX([1]!Loading_Rates[#All],MATCH(ExistingBMPs67[[#This Row],[MapShed Land Cover of Drainage Area]],[1]!Loading_Rates[[#All],[Source]],0),4)*ExistingBMPs67[[#This Row],[Drainage Area (ac)]]))</f>
        <v>160</v>
      </c>
      <c r="Q45" s="406">
        <f>IF(ExistingBMPs67[[#This Row],[BMP Type]]="RR",0.0326*ExistingBMPs67[[#This Row],[Effective Treatment Depth (in/imp. ac)]]^5-0.2806*ExistingBMPs67[[#This Row],[Effective Treatment Depth (in/imp. ac)]]^4+0.9816*ExistingBMPs67[[#This Row],[Effective Treatment Depth (in/imp. ac)]]^3-1.8039*ExistingBMPs67[[#This Row],[Effective Treatment Depth (in/imp. ac)]]^2+1.8292*ExistingBMPs67[[#This Row],[Effective Treatment Depth (in/imp. ac)]]-0.0098,IF(ExistingBMPs67[[#This Row],[BMP Type]]="ST",0.0304*ExistingBMPs67[[#This Row],[Effective Treatment Depth (in/imp. ac)]]^5-0.2619*ExistingBMPs67[[#This Row],[Effective Treatment Depth (in/imp. ac)]]^4+0.9161*ExistingBMPs67[[#This Row],[Effective Treatment Depth (in/imp. ac)]]^3-1.6837*ExistingBMPs67[[#This Row],[Effective Treatment Depth (in/imp. ac)]]^2+1.7072*ExistingBMPs67[[#This Row],[Effective Treatment Depth (in/imp. ac)]]-0.0091,IF(ExistingBMPs67[[#This Row],[BMP Type]]="Street Sweeping",[1]!Street_Sweeping[TSS Reduction (%)],IF(OR(ExistingBMPs67[[#This Row],[BMP Type]]="Other",ExistingBMPs67[[#This Row],[BMP Type]]="Stream Restoration"),0,1))))</f>
        <v>0.77338885081962083</v>
      </c>
      <c r="R45" s="406">
        <f>IF(ExistingBMPs67[[#This Row],[BMP Type]]="RR",0.0304*ExistingBMPs67[[#This Row],[Effective Treatment Depth (in/imp. ac)]]^5-0.2619*ExistingBMPs67[[#This Row],[Effective Treatment Depth (in/imp. ac)]]^4+0.9161*ExistingBMPs67[[#This Row],[Effective Treatment Depth (in/imp. ac)]]^3-1.6837*ExistingBMPs67[[#This Row],[Effective Treatment Depth (in/imp. ac)]]^2+1.7072*ExistingBMPs67[[#This Row],[Effective Treatment Depth (in/imp. ac)]]-0.0091,IF(ExistingBMPs67[[#This Row],[BMP Type]]="ST",0.0239*ExistingBMPs67[[#This Row],[Effective Treatment Depth (in/imp. ac)]]^5-0.2058*ExistingBMPs67[[#This Row],[Effective Treatment Depth (in/imp. ac)]]^4+0.7198*ExistingBMPs67[[#This Row],[Effective Treatment Depth (in/imp. ac)]]^3-1.3229*ExistingBMPs67[[#This Row],[Effective Treatment Depth (in/imp. ac)]]^2+1.3414*ExistingBMPs67[[#This Row],[Effective Treatment Depth (in/imp. ac)]]-0.0072,IF(ExistingBMPs67[[#This Row],[BMP Type]]="Street Sweeping",[1]!Street_Sweeping[TP Reduction (%)],IF(OR(ExistingBMPs67[[#This Row],[BMP Type]]="Other",ExistingBMPs67[[#This Row],[BMP Type]]="Stream Restoration"),0,1))))</f>
        <v>0.60774806653688718</v>
      </c>
      <c r="S45" s="406">
        <f>IF(ExistingBMPs67[[#This Row],[BMP Type]]="RR",0.0308*ExistingBMPs67[[#This Row],[Effective Treatment Depth (in/imp. ac)]]^5-0.2562*ExistingBMPs67[[#This Row],[Effective Treatment Depth (in/imp. ac)]]^4+0.8634*ExistingBMPs67[[#This Row],[Effective Treatment Depth (in/imp. ac)]]^3-1.5285*ExistingBMPs67[[#This Row],[Effective Treatment Depth (in/imp. ac)]]^2+1.501*ExistingBMPs67[[#This Row],[Effective Treatment Depth (in/imp. ac)]]-0.013,IF(ExistingBMPs67[[#This Row],[BMP Type]]="ST",0.0152*ExistingBMPs67[[#This Row],[Effective Treatment Depth (in/imp. ac)]]^5-0.131*ExistingBMPs67[[#This Row],[Effective Treatment Depth (in/imp. ac)]]^4+0.4581*ExistingBMPs67[[#This Row],[Effective Treatment Depth (in/imp. ac)]]^3-0.8418*ExistingBMPs67[[#This Row],[Effective Treatment Depth (in/imp. ac)]]^2+0.8536*ExistingBMPs67[[#This Row],[Effective Treatment Depth (in/imp. ac)]]-0.0046,IF(ExistingBMPs67[[#This Row],[BMP Type]]="Street Sweeping",[1]!Street_Sweeping[TN Reduction (%)],IF(OR(ExistingBMPs67[[#This Row],[BMP Type]]="Other",ExistingBMPs67[[#This Row],[BMP Type]]="Stream Restoration"),0,1))))</f>
        <v>0.38660748818118357</v>
      </c>
      <c r="T45" s="407">
        <f>IF(ExistingBMPs67[[#This Row],[TSS Reduction (%)]]&gt;0,IF(ExistingBMPs67[[#This Row],[BMP Type]]="Street Sweeping",ExistingBMPs67[[#This Row],[TSS Load (lbs/yr)]]*ExistingBMPs67[[#This Row],[TSS Reduction (%)]],INDEX([1]!Loading_Rates[#All],MATCH(ExistingBMPs67[[#This Row],[MapShed Land Cover of Drainage Area]],[1]!Loading_Rates[[#All],[Source]],0),2)*ExistingBMPs67[[#This Row],[Drainage Area (ac)]]*ExistingBMPs67[[#This Row],[TSS Reduction (%)]]),IF(ExistingBMPs67[[#This Row],[BMP Type]]="Stream Restoration",[1]!Stream_Nutrients[TSS (lbs/ft/yr)]*ExistingBMPs67[[#This Row],[Stream Restoration* Length (ft) - Qualified projects only]],0))</f>
        <v>58641.436224546931</v>
      </c>
      <c r="U45" s="407">
        <f>ExistingBMPs67[[#This Row],[TSS Reduction (lbs/yr)]]/2000</f>
        <v>29.320718112273465</v>
      </c>
      <c r="V45" s="407">
        <f>IF(ExistingBMPs67[[#This Row],[TP Reduction (%)]]&gt;0,IF(ExistingBMPs67[[#This Row],[BMP Type]]="Street Sweeping",ExistingBMPs67[[#This Row],[TP Load (lbs/yr)]]*ExistingBMPs67[[#This Row],[TP Reduction (%)]],INDEX([1]!Loading_Rates[#All],MATCH(ExistingBMPs67[[#This Row],[MapShed Land Cover of Drainage Area]],[1]!Loading_Rates[[#All],[Source]],0),3)*ExistingBMPs67[[#This Row],[Drainage Area (ac)]]*ExistingBMPs67[[#This Row],[TP Reduction (%)]]),IF(ExistingBMPs67[[#This Row],[BMP Type]]="Stream Restoration",[1]!Stream_Nutrients[TP (lbs/ft/yr)]*ExistingBMPs67[[#This Row],[Stream Restoration* Length (ft) - Qualified projects only]],0))</f>
        <v>9.7239690645901948</v>
      </c>
      <c r="W45" s="407">
        <f>IF(ExistingBMPs67[[#This Row],[TN Reduction (%)]]&gt;0,IF(ExistingBMPs67[[#This Row],[BMP Type]]="Street Sweeping",ExistingBMPs67[[#This Row],[TN Load (lbs/yr)]]*ExistingBMPs67[[#This Row],[TN Reduction (%)]],INDEX([1]!Loading_Rates[#All],MATCH(ExistingBMPs67[[#This Row],[MapShed Land Cover of Drainage Area]],[1]!Loading_Rates[[#All],[Source]],0),4)*ExistingBMPs67[[#This Row],[Drainage Area (ac)]]*ExistingBMPs67[[#This Row],[TN Reduction (%)]]),IF(ExistingBMPs67[[#This Row],[BMP Type]]="Stream Restoration",[1]!Stream_Nutrients[TN (lbs/ft/yr)]*ExistingBMPs67[[#This Row],[Stream Restoration* Length (ft) - Qualified projects only]],0))</f>
        <v>61.857198108989373</v>
      </c>
    </row>
    <row r="46" spans="1:23">
      <c r="A46" s="400" t="s">
        <v>431</v>
      </c>
      <c r="B46" s="400" t="s">
        <v>429</v>
      </c>
      <c r="C46" s="401">
        <v>2015</v>
      </c>
      <c r="D46" s="401" t="s">
        <v>432</v>
      </c>
      <c r="E46" s="402"/>
      <c r="F46" s="403"/>
      <c r="G46" s="404"/>
      <c r="H46" s="404">
        <v>20000</v>
      </c>
      <c r="I46" s="405">
        <f>ExistingBMPs67[[#This Row],[Drainage Area (ac)]]*ExistingBMPs67[[#This Row],[Impervious (%)]]</f>
        <v>0</v>
      </c>
      <c r="J46" s="405" t="e">
        <f>IFERROR(MIN(ExistingBMPs67[[#This Row],[Treatment Depth (in)]]*ExistingBMPs67[[#This Row],[Drainage Area (ac)]]/ExistingBMPs67[[#This Row],[Impervious Area (ac)]],2.5),NA())</f>
        <v>#N/A</v>
      </c>
      <c r="K46" s="403"/>
      <c r="L46" s="405" t="e">
        <f>IF(ExistingBMPs67[[#This Row],[Treatment Depth (in/imp. ac) Manual Override - use if no impervious area]]&gt;0,ExistingBMPs67[[#This Row],[Treatment Depth (in/imp. ac) Manual Override - use if no impervious area]],ExistingBMPs67[[#This Row],[Treatment Depth (in/imp. ac)]])</f>
        <v>#N/A</v>
      </c>
      <c r="M46" s="406">
        <f>IF(ExistingBMPs67[[#This Row],[BMP Type]]="Stream Restoration",NA(),IFERROR(INDEX([1]!Impervious[#All],MATCH(ExistingBMPs67[[#This Row],[MapShed Land Cover of Drainage Area]],[1]!Impervious[[#All],[Source]],0),4),0))</f>
        <v>0.87</v>
      </c>
      <c r="N46" s="407">
        <f>IF(ExistingBMPs67[[#This Row],[BMP Type]]="Street Sweeping",ExistingBMPs67[[#This Row],[Street Sweeping* Road Length Swept (ft) - Qualified projects only]]*[1]!Street_Sweeping[Road Width (ft)]/43560*INDEX([1]!Loading_Rates[#All],MATCH(ExistingBMPs67[[#This Row],[MapShed Land Cover of Drainage Area]],[1]!Loading_Rates[[#All],[Source]],0),2)*ExistingBMPs67[[#This Row],[Impervious (%)]],IF(ExistingBMPs67[[#This Row],[BMP Type]]="Stream Restoration",NA(),INDEX([1]!Loading_Rates[#All],MATCH(ExistingBMPs67[[#This Row],[MapShed Land Cover of Drainage Area]],[1]!Loading_Rates[[#All],[Source]],0),2)*ExistingBMPs67[[#This Row],[Drainage Area (ac)]]))</f>
        <v>330.90358126721759</v>
      </c>
      <c r="O46" s="407">
        <f>IF(ExistingBMPs67[[#This Row],[BMP Type]]="Street Sweeping",ExistingBMPs67[[#This Row],[Street Sweeping* Road Length Swept (ft) - Qualified projects only]]*[1]!Street_Sweeping[Road Width (ft)]/43560*INDEX([1]!Loading_Rates[#All],MATCH(ExistingBMPs67[[#This Row],[MapShed Land Cover of Drainage Area]],[1]!Loading_Rates[[#All],[Source]],0),3)*ExistingBMPs67[[#This Row],[Impervious (%)]],IF(ExistingBMPs67[[#This Row],[BMP Type]]="Stream Restoration",NA(),INDEX([1]!Loading_Rates[#All],MATCH(ExistingBMPs67[[#This Row],[MapShed Land Cover of Drainage Area]],[1]!Loading_Rates[[#All],[Source]],0),3)*ExistingBMPs67[[#This Row],[Drainage Area (ac)]]))</f>
        <v>0.39944903581267216</v>
      </c>
      <c r="P46" s="407">
        <f>IF(ExistingBMPs67[[#This Row],[BMP Type]]="Street Sweeping",ExistingBMPs67[[#This Row],[Street Sweeping* Road Length Swept (ft) - Qualified projects only]]*[1]!Street_Sweeping[Road Width (ft)]/43560*INDEX([1]!Loading_Rates[#All],MATCH(ExistingBMPs67[[#This Row],[MapShed Land Cover of Drainage Area]],[1]!Loading_Rates[[#All],[Source]],0),4)*ExistingBMPs67[[#This Row],[Impervious (%)]],IF(ExistingBMPs67[[#This Row],[BMP Type]]="Stream Restoration",NA(),INDEX([1]!Loading_Rates[#All],MATCH(ExistingBMPs67[[#This Row],[MapShed Land Cover of Drainage Area]],[1]!Loading_Rates[[#All],[Source]],0),4)*ExistingBMPs67[[#This Row],[Drainage Area (ac)]]))</f>
        <v>3.9944903581267215</v>
      </c>
      <c r="Q46" s="406">
        <f>IF(ExistingBMPs67[[#This Row],[BMP Type]]="RR",0.0326*ExistingBMPs67[[#This Row],[Effective Treatment Depth (in/imp. ac)]]^5-0.2806*ExistingBMPs67[[#This Row],[Effective Treatment Depth (in/imp. ac)]]^4+0.9816*ExistingBMPs67[[#This Row],[Effective Treatment Depth (in/imp. ac)]]^3-1.8039*ExistingBMPs67[[#This Row],[Effective Treatment Depth (in/imp. ac)]]^2+1.8292*ExistingBMPs67[[#This Row],[Effective Treatment Depth (in/imp. ac)]]-0.0098,IF(ExistingBMPs67[[#This Row],[BMP Type]]="ST",0.0304*ExistingBMPs67[[#This Row],[Effective Treatment Depth (in/imp. ac)]]^5-0.2619*ExistingBMPs67[[#This Row],[Effective Treatment Depth (in/imp. ac)]]^4+0.9161*ExistingBMPs67[[#This Row],[Effective Treatment Depth (in/imp. ac)]]^3-1.6837*ExistingBMPs67[[#This Row],[Effective Treatment Depth (in/imp. ac)]]^2+1.7072*ExistingBMPs67[[#This Row],[Effective Treatment Depth (in/imp. ac)]]-0.0091,IF(ExistingBMPs67[[#This Row],[BMP Type]]="Street Sweeping",[1]!Street_Sweeping[TSS Reduction (%)],IF(OR(ExistingBMPs67[[#This Row],[BMP Type]]="Other",ExistingBMPs67[[#This Row],[BMP Type]]="Stream Restoration"),0,1))))</f>
        <v>0.1</v>
      </c>
      <c r="R46" s="406">
        <f>IF(ExistingBMPs67[[#This Row],[BMP Type]]="RR",0.0304*ExistingBMPs67[[#This Row],[Effective Treatment Depth (in/imp. ac)]]^5-0.2619*ExistingBMPs67[[#This Row],[Effective Treatment Depth (in/imp. ac)]]^4+0.9161*ExistingBMPs67[[#This Row],[Effective Treatment Depth (in/imp. ac)]]^3-1.6837*ExistingBMPs67[[#This Row],[Effective Treatment Depth (in/imp. ac)]]^2+1.7072*ExistingBMPs67[[#This Row],[Effective Treatment Depth (in/imp. ac)]]-0.0091,IF(ExistingBMPs67[[#This Row],[BMP Type]]="ST",0.0239*ExistingBMPs67[[#This Row],[Effective Treatment Depth (in/imp. ac)]]^5-0.2058*ExistingBMPs67[[#This Row],[Effective Treatment Depth (in/imp. ac)]]^4+0.7198*ExistingBMPs67[[#This Row],[Effective Treatment Depth (in/imp. ac)]]^3-1.3229*ExistingBMPs67[[#This Row],[Effective Treatment Depth (in/imp. ac)]]^2+1.3414*ExistingBMPs67[[#This Row],[Effective Treatment Depth (in/imp. ac)]]-0.0072,IF(ExistingBMPs67[[#This Row],[BMP Type]]="Street Sweeping",[1]!Street_Sweeping[TP Reduction (%)],IF(OR(ExistingBMPs67[[#This Row],[BMP Type]]="Other",ExistingBMPs67[[#This Row],[BMP Type]]="Stream Restoration"),0,1))))</f>
        <v>0.1</v>
      </c>
      <c r="S46" s="406">
        <f>IF(ExistingBMPs67[[#This Row],[BMP Type]]="RR",0.0308*ExistingBMPs67[[#This Row],[Effective Treatment Depth (in/imp. ac)]]^5-0.2562*ExistingBMPs67[[#This Row],[Effective Treatment Depth (in/imp. ac)]]^4+0.8634*ExistingBMPs67[[#This Row],[Effective Treatment Depth (in/imp. ac)]]^3-1.5285*ExistingBMPs67[[#This Row],[Effective Treatment Depth (in/imp. ac)]]^2+1.501*ExistingBMPs67[[#This Row],[Effective Treatment Depth (in/imp. ac)]]-0.013,IF(ExistingBMPs67[[#This Row],[BMP Type]]="ST",0.0152*ExistingBMPs67[[#This Row],[Effective Treatment Depth (in/imp. ac)]]^5-0.131*ExistingBMPs67[[#This Row],[Effective Treatment Depth (in/imp. ac)]]^4+0.4581*ExistingBMPs67[[#This Row],[Effective Treatment Depth (in/imp. ac)]]^3-0.8418*ExistingBMPs67[[#This Row],[Effective Treatment Depth (in/imp. ac)]]^2+0.8536*ExistingBMPs67[[#This Row],[Effective Treatment Depth (in/imp. ac)]]-0.0046,IF(ExistingBMPs67[[#This Row],[BMP Type]]="Street Sweeping",[1]!Street_Sweeping[TN Reduction (%)],IF(OR(ExistingBMPs67[[#This Row],[BMP Type]]="Other",ExistingBMPs67[[#This Row],[BMP Type]]="Stream Restoration"),0,1))))</f>
        <v>0.1</v>
      </c>
      <c r="T46" s="407">
        <f>IF(ExistingBMPs67[[#This Row],[TSS Reduction (%)]]&gt;0,IF(ExistingBMPs67[[#This Row],[BMP Type]]="Street Sweeping",ExistingBMPs67[[#This Row],[TSS Load (lbs/yr)]]*ExistingBMPs67[[#This Row],[TSS Reduction (%)]],INDEX([1]!Loading_Rates[#All],MATCH(ExistingBMPs67[[#This Row],[MapShed Land Cover of Drainage Area]],[1]!Loading_Rates[[#All],[Source]],0),2)*ExistingBMPs67[[#This Row],[Drainage Area (ac)]]*ExistingBMPs67[[#This Row],[TSS Reduction (%)]]),IF(ExistingBMPs67[[#This Row],[BMP Type]]="Stream Restoration",[1]!Stream_Nutrients[TSS (lbs/ft/yr)]*ExistingBMPs67[[#This Row],[Stream Restoration* Length (ft) - Qualified projects only]],0))</f>
        <v>33.09035812672176</v>
      </c>
      <c r="U46" s="407">
        <f>ExistingBMPs67[[#This Row],[TSS Reduction (lbs/yr)]]/2000</f>
        <v>1.6545179063360879E-2</v>
      </c>
      <c r="V46" s="407">
        <f>IF(ExistingBMPs67[[#This Row],[TP Reduction (%)]]&gt;0,IF(ExistingBMPs67[[#This Row],[BMP Type]]="Street Sweeping",ExistingBMPs67[[#This Row],[TP Load (lbs/yr)]]*ExistingBMPs67[[#This Row],[TP Reduction (%)]],INDEX([1]!Loading_Rates[#All],MATCH(ExistingBMPs67[[#This Row],[MapShed Land Cover of Drainage Area]],[1]!Loading_Rates[[#All],[Source]],0),3)*ExistingBMPs67[[#This Row],[Drainage Area (ac)]]*ExistingBMPs67[[#This Row],[TP Reduction (%)]]),IF(ExistingBMPs67[[#This Row],[BMP Type]]="Stream Restoration",[1]!Stream_Nutrients[TP (lbs/ft/yr)]*ExistingBMPs67[[#This Row],[Stream Restoration* Length (ft) - Qualified projects only]],0))</f>
        <v>3.9944903581267219E-2</v>
      </c>
      <c r="W46" s="407">
        <f>IF(ExistingBMPs67[[#This Row],[TN Reduction (%)]]&gt;0,IF(ExistingBMPs67[[#This Row],[BMP Type]]="Street Sweeping",ExistingBMPs67[[#This Row],[TN Load (lbs/yr)]]*ExistingBMPs67[[#This Row],[TN Reduction (%)]],INDEX([1]!Loading_Rates[#All],MATCH(ExistingBMPs67[[#This Row],[MapShed Land Cover of Drainage Area]],[1]!Loading_Rates[[#All],[Source]],0),4)*ExistingBMPs67[[#This Row],[Drainage Area (ac)]]*ExistingBMPs67[[#This Row],[TN Reduction (%)]]),IF(ExistingBMPs67[[#This Row],[BMP Type]]="Stream Restoration",[1]!Stream_Nutrients[TN (lbs/ft/yr)]*ExistingBMPs67[[#This Row],[Stream Restoration* Length (ft) - Qualified projects only]],0))</f>
        <v>0.39944903581267216</v>
      </c>
    </row>
    <row r="47" spans="1:23" ht="21">
      <c r="A47" s="398" t="s">
        <v>55</v>
      </c>
      <c r="B47" s="398"/>
      <c r="C47" s="398"/>
      <c r="D47" s="398"/>
      <c r="E47" s="398"/>
      <c r="F47" s="398"/>
      <c r="G47" s="398"/>
      <c r="H47" s="398"/>
      <c r="I47" s="398"/>
      <c r="J47" s="398"/>
      <c r="K47" s="398"/>
      <c r="L47" s="398"/>
      <c r="M47" s="398"/>
      <c r="N47" s="398"/>
      <c r="O47" s="398"/>
      <c r="P47" s="398"/>
      <c r="Q47" s="398"/>
      <c r="R47" s="398"/>
      <c r="S47" s="398"/>
      <c r="T47" s="435">
        <f>_xlfn.AGGREGATE(9,7,ExistingBMPs67[TSS Reduction (lbs/yr)])</f>
        <v>59458.90035954865</v>
      </c>
      <c r="U47" s="407">
        <f>_xlfn.AGGREGATE(9,7,ExistingBMPs67[TSS Reduction (tons/yr)])</f>
        <v>29.729450179774325</v>
      </c>
      <c r="V47" s="435">
        <f>_xlfn.AGGREGATE(9,7,ExistingBMPs67[TP Reduction (lbs/yr)])</f>
        <v>10.157973343171461</v>
      </c>
      <c r="W47" s="435">
        <f>_xlfn.AGGREGATE(9,7,ExistingBMPs67[TN Reduction (lbs/yr)])</f>
        <v>65.641647144802036</v>
      </c>
    </row>
    <row r="50" spans="4:5">
      <c r="D50" s="436" t="s">
        <v>9</v>
      </c>
      <c r="E50" s="267">
        <v>21</v>
      </c>
    </row>
    <row r="51" spans="4:5">
      <c r="D51" s="437" t="s">
        <v>10</v>
      </c>
      <c r="E51" s="267">
        <v>1</v>
      </c>
    </row>
    <row r="52" spans="4:5">
      <c r="D52" s="436" t="s">
        <v>11</v>
      </c>
      <c r="E52" s="267">
        <v>23</v>
      </c>
    </row>
    <row r="53" spans="4:5">
      <c r="D53" s="437" t="s">
        <v>12</v>
      </c>
      <c r="E53" s="267">
        <v>0</v>
      </c>
    </row>
    <row r="54" spans="4:5">
      <c r="D54" s="436" t="s">
        <v>13</v>
      </c>
      <c r="E54" s="267">
        <v>0</v>
      </c>
    </row>
    <row r="55" spans="4:5">
      <c r="D55" s="437" t="s">
        <v>14</v>
      </c>
    </row>
    <row r="56" spans="4:5">
      <c r="D56" s="436" t="s">
        <v>15</v>
      </c>
      <c r="E56" s="267">
        <v>0</v>
      </c>
    </row>
    <row r="57" spans="4:5">
      <c r="D57" s="437" t="s">
        <v>16</v>
      </c>
    </row>
    <row r="58" spans="4:5">
      <c r="D58" s="436" t="s">
        <v>17</v>
      </c>
    </row>
    <row r="59" spans="4:5">
      <c r="D59" s="437" t="s">
        <v>18</v>
      </c>
    </row>
    <row r="60" spans="4:5">
      <c r="D60" s="436" t="s">
        <v>19</v>
      </c>
    </row>
    <row r="61" spans="4:5">
      <c r="D61" s="437" t="s">
        <v>20</v>
      </c>
    </row>
    <row r="62" spans="4:5">
      <c r="D62" s="436" t="s">
        <v>21</v>
      </c>
    </row>
    <row r="63" spans="4:5">
      <c r="D63" s="437" t="s">
        <v>22</v>
      </c>
    </row>
    <row r="64" spans="4:5">
      <c r="D64" s="436" t="s">
        <v>23</v>
      </c>
    </row>
    <row r="65" spans="4:4" ht="16" thickBot="1">
      <c r="D65" s="437" t="s">
        <v>24</v>
      </c>
    </row>
    <row r="66" spans="4:4" ht="16" thickTop="1">
      <c r="D66" s="438" t="s">
        <v>430</v>
      </c>
    </row>
    <row r="67" spans="4:4">
      <c r="D67" s="439" t="s">
        <v>471</v>
      </c>
    </row>
    <row r="68" spans="4:4">
      <c r="D68" s="440" t="s">
        <v>432</v>
      </c>
    </row>
    <row r="69" spans="4:4">
      <c r="D69" s="439" t="s">
        <v>472</v>
      </c>
    </row>
    <row r="70" spans="4:4">
      <c r="D70" s="440" t="s">
        <v>473</v>
      </c>
    </row>
    <row r="71" spans="4:4" ht="16" thickBot="1">
      <c r="D71" s="441" t="s">
        <v>474</v>
      </c>
    </row>
    <row r="72" spans="4:4" ht="16" thickTop="1"/>
  </sheetData>
  <mergeCells count="4">
    <mergeCell ref="A2:H2"/>
    <mergeCell ref="A3:H3"/>
    <mergeCell ref="A4:H4"/>
    <mergeCell ref="A5:H5"/>
  </mergeCells>
  <conditionalFormatting sqref="E12:F19 K12:K19 E36:F38 K36:K38">
    <cfRule type="expression" dxfId="211" priority="12">
      <formula>OR($B12="Stream Restoration",$B12="Street Sweeping")</formula>
    </cfRule>
  </conditionalFormatting>
  <conditionalFormatting sqref="G12:G19 G36:G38">
    <cfRule type="expression" dxfId="210" priority="11">
      <formula>OR($B12="RR",$B12="ST",$B12="Street Sweeping")</formula>
    </cfRule>
  </conditionalFormatting>
  <conditionalFormatting sqref="H12:H19 H36:H38">
    <cfRule type="expression" dxfId="209" priority="10">
      <formula>OR($B12="RR",$B12="ST",$B12="Stream Restoration")</formula>
    </cfRule>
  </conditionalFormatting>
  <conditionalFormatting sqref="D12:D19 D36:D38">
    <cfRule type="expression" dxfId="208" priority="9">
      <formula>OR($B12="Stream Restoration")</formula>
    </cfRule>
  </conditionalFormatting>
  <conditionalFormatting sqref="E44:F46 K44:K46">
    <cfRule type="expression" dxfId="207" priority="8">
      <formula>OR($B44="Stream Restoration",$B44="Street Sweeping")</formula>
    </cfRule>
  </conditionalFormatting>
  <conditionalFormatting sqref="G44:G46">
    <cfRule type="expression" dxfId="206" priority="7">
      <formula>OR($B44="RR",$B44="ST",$B44="Street Sweeping")</formula>
    </cfRule>
  </conditionalFormatting>
  <conditionalFormatting sqref="H44:H46">
    <cfRule type="expression" dxfId="205" priority="6">
      <formula>OR($B44="RR",$B44="ST",$B44="Stream Restoration")</formula>
    </cfRule>
  </conditionalFormatting>
  <conditionalFormatting sqref="D44:D46">
    <cfRule type="expression" dxfId="204" priority="5">
      <formula>OR($B44="Stream Restoration")</formula>
    </cfRule>
  </conditionalFormatting>
  <conditionalFormatting sqref="E24:F31 K24:K31">
    <cfRule type="expression" dxfId="203" priority="4">
      <formula>OR($B24="Stream Restoration",$B24="Street Sweeping")</formula>
    </cfRule>
  </conditionalFormatting>
  <conditionalFormatting sqref="G24:G31">
    <cfRule type="expression" dxfId="202" priority="3">
      <formula>OR($B24="RR",$B24="ST",$B24="Street Sweeping")</formula>
    </cfRule>
  </conditionalFormatting>
  <conditionalFormatting sqref="H24:H31">
    <cfRule type="expression" dxfId="201" priority="2">
      <formula>OR($B24="RR",$B24="ST",$B24="Stream Restoration")</formula>
    </cfRule>
  </conditionalFormatting>
  <conditionalFormatting sqref="D24:D31">
    <cfRule type="expression" dxfId="200" priority="1">
      <formula>OR($B24="Stream Restoration")</formula>
    </cfRule>
  </conditionalFormatting>
  <dataValidations count="1">
    <dataValidation type="list" allowBlank="1" showInputMessage="1" showErrorMessage="1" sqref="B12:B19 B36:B38 B44:B46 B24:B31" xr:uid="{48BF2068-AE39-D448-A64F-13B8818008A6}">
      <formula1>"RR,ST,Street Sweeping,Stream Restoration"</formula1>
    </dataValidation>
  </dataValidations>
  <pageMargins left="0.25" right="0.25" top="0.75" bottom="0.75" header="0.3" footer="0.3"/>
  <pageSetup paperSize="17" scale="92" fitToWidth="0" orientation="landscape" r:id="rId1"/>
  <headerFooter>
    <oddHeader>&amp;CChristina Basin Urban BMP Load Reduction Calculation Tool</oddHeader>
    <oddFooter>&amp;RChristina Basin Urban BMP Tool (May 3, 2017)</oddFooter>
  </headerFooter>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A2B64C73-9359-104F-B3BE-45336D766795}">
          <x14:formula1>
            <xm:f>'[Chiques_Creek_Urban_BMPCalculatorVer3+AKA.xlsx]Loading'!#REF!</xm:f>
          </x14:formula1>
          <xm:sqref>D12:D19 D36:D38 D44:D46 D24:D31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9"/>
  <sheetViews>
    <sheetView topLeftCell="D1" zoomScale="120" zoomScaleNormal="120" workbookViewId="0">
      <selection activeCell="L12" sqref="L12"/>
    </sheetView>
  </sheetViews>
  <sheetFormatPr baseColWidth="10" defaultColWidth="8.83203125" defaultRowHeight="15"/>
  <cols>
    <col min="1" max="1" width="21.6640625" style="267" customWidth="1"/>
    <col min="2" max="2" width="29.83203125" customWidth="1"/>
    <col min="3" max="3" width="16.6640625" customWidth="1"/>
    <col min="4" max="4" width="15.83203125" style="267" customWidth="1"/>
    <col min="5" max="5" width="8.83203125" style="267"/>
    <col min="6" max="6" width="10.6640625" customWidth="1"/>
    <col min="7" max="7" width="18" customWidth="1"/>
    <col min="8" max="8" width="7.83203125" customWidth="1"/>
    <col min="10" max="11" width="11.5" customWidth="1"/>
    <col min="12" max="12" width="10" customWidth="1"/>
    <col min="13" max="16" width="13.5" customWidth="1"/>
    <col min="17" max="19" width="7.83203125" customWidth="1"/>
    <col min="20" max="22" width="12" customWidth="1"/>
  </cols>
  <sheetData>
    <row r="1" spans="1:26" ht="21">
      <c r="A1" s="408" t="s">
        <v>391</v>
      </c>
    </row>
    <row r="2" spans="1:26">
      <c r="A2" t="s">
        <v>392</v>
      </c>
    </row>
    <row r="3" spans="1:26">
      <c r="A3" t="s">
        <v>393</v>
      </c>
    </row>
    <row r="4" spans="1:26">
      <c r="A4" t="s">
        <v>394</v>
      </c>
    </row>
    <row r="5" spans="1:26">
      <c r="A5" t="s">
        <v>395</v>
      </c>
    </row>
    <row r="8" spans="1:26" s="112" customFormat="1" ht="69" customHeight="1">
      <c r="A8" s="112" t="s">
        <v>434</v>
      </c>
      <c r="B8" s="112" t="s">
        <v>396</v>
      </c>
      <c r="C8" s="112" t="s">
        <v>433</v>
      </c>
      <c r="D8" s="112" t="s">
        <v>437</v>
      </c>
      <c r="E8" s="112" t="s">
        <v>435</v>
      </c>
      <c r="F8" s="112" t="s">
        <v>398</v>
      </c>
      <c r="G8" s="112" t="s">
        <v>399</v>
      </c>
      <c r="H8" s="112" t="s">
        <v>400</v>
      </c>
      <c r="I8" s="112" t="s">
        <v>401</v>
      </c>
      <c r="J8" s="112" t="s">
        <v>402</v>
      </c>
      <c r="K8" s="112" t="s">
        <v>439</v>
      </c>
      <c r="L8" s="112" t="s">
        <v>404</v>
      </c>
      <c r="M8" s="112" t="s">
        <v>405</v>
      </c>
      <c r="N8" s="112" t="s">
        <v>406</v>
      </c>
      <c r="O8" s="112" t="s">
        <v>407</v>
      </c>
      <c r="P8" s="112" t="s">
        <v>408</v>
      </c>
      <c r="Q8" s="112" t="s">
        <v>409</v>
      </c>
      <c r="R8" s="112" t="s">
        <v>410</v>
      </c>
      <c r="S8" s="112" t="s">
        <v>411</v>
      </c>
      <c r="T8" s="112" t="s">
        <v>412</v>
      </c>
      <c r="U8" s="112" t="s">
        <v>413</v>
      </c>
      <c r="V8" s="112" t="s">
        <v>414</v>
      </c>
      <c r="W8" s="112" t="s">
        <v>415</v>
      </c>
      <c r="X8" s="112" t="s">
        <v>416</v>
      </c>
      <c r="Y8" s="112" t="s">
        <v>417</v>
      </c>
      <c r="Z8" s="112" t="s">
        <v>418</v>
      </c>
    </row>
    <row r="9" spans="1:26">
      <c r="C9" s="410" t="s">
        <v>420</v>
      </c>
      <c r="D9" s="410" t="s">
        <v>438</v>
      </c>
      <c r="E9" s="410" t="s">
        <v>436</v>
      </c>
    </row>
    <row r="10" spans="1:26" ht="90">
      <c r="A10" s="411"/>
      <c r="B10" s="411" t="s">
        <v>440</v>
      </c>
      <c r="C10" s="412" t="s">
        <v>441</v>
      </c>
      <c r="D10" s="412"/>
      <c r="E10" s="412"/>
      <c r="F10" s="413" t="s">
        <v>442</v>
      </c>
      <c r="G10" s="412" t="s">
        <v>443</v>
      </c>
      <c r="H10" s="412" t="s">
        <v>444</v>
      </c>
      <c r="I10" s="412" t="s">
        <v>445</v>
      </c>
      <c r="J10" s="412" t="s">
        <v>446</v>
      </c>
      <c r="K10" s="412" t="s">
        <v>447</v>
      </c>
      <c r="L10" s="412" t="s">
        <v>448</v>
      </c>
      <c r="M10" s="412" t="s">
        <v>449</v>
      </c>
      <c r="N10" s="412" t="s">
        <v>450</v>
      </c>
      <c r="O10" s="412" t="s">
        <v>451</v>
      </c>
      <c r="P10" s="412" t="s">
        <v>452</v>
      </c>
      <c r="Q10" s="412" t="s">
        <v>453</v>
      </c>
      <c r="R10" s="412" t="s">
        <v>454</v>
      </c>
      <c r="S10" s="412" t="s">
        <v>455</v>
      </c>
      <c r="T10" s="412" t="s">
        <v>456</v>
      </c>
      <c r="U10" s="412" t="s">
        <v>457</v>
      </c>
      <c r="V10" s="412" t="s">
        <v>458</v>
      </c>
      <c r="W10" s="412" t="s">
        <v>459</v>
      </c>
      <c r="X10" s="412" t="s">
        <v>460</v>
      </c>
      <c r="Y10" s="412" t="s">
        <v>461</v>
      </c>
      <c r="Z10" s="414" t="s">
        <v>462</v>
      </c>
    </row>
    <row r="11" spans="1:26" s="431" customFormat="1">
      <c r="A11" s="428"/>
      <c r="B11" s="428" t="s">
        <v>396</v>
      </c>
      <c r="C11" s="429" t="s">
        <v>397</v>
      </c>
      <c r="D11" s="429"/>
      <c r="E11" s="429"/>
      <c r="F11" s="429" t="s">
        <v>398</v>
      </c>
      <c r="G11" s="429" t="s">
        <v>399</v>
      </c>
      <c r="H11" s="429" t="s">
        <v>400</v>
      </c>
      <c r="I11" s="429" t="s">
        <v>401</v>
      </c>
      <c r="J11" s="429" t="s">
        <v>402</v>
      </c>
      <c r="K11" s="429" t="s">
        <v>403</v>
      </c>
      <c r="L11" s="429" t="s">
        <v>404</v>
      </c>
      <c r="M11" s="429" t="s">
        <v>405</v>
      </c>
      <c r="N11" s="429" t="s">
        <v>406</v>
      </c>
      <c r="O11" s="429" t="s">
        <v>407</v>
      </c>
      <c r="P11" s="429" t="s">
        <v>408</v>
      </c>
      <c r="Q11" s="429" t="s">
        <v>409</v>
      </c>
      <c r="R11" s="429" t="s">
        <v>410</v>
      </c>
      <c r="S11" s="429" t="s">
        <v>411</v>
      </c>
      <c r="T11" s="429" t="s">
        <v>412</v>
      </c>
      <c r="U11" s="429" t="s">
        <v>413</v>
      </c>
      <c r="V11" s="429" t="s">
        <v>414</v>
      </c>
      <c r="W11" s="429" t="s">
        <v>415</v>
      </c>
      <c r="X11" s="429" t="s">
        <v>416</v>
      </c>
      <c r="Y11" s="429" t="s">
        <v>417</v>
      </c>
      <c r="Z11" s="430" t="s">
        <v>418</v>
      </c>
    </row>
    <row r="12" spans="1:26">
      <c r="A12" s="427"/>
      <c r="B12" s="427" t="s">
        <v>419</v>
      </c>
      <c r="C12" s="410" t="s">
        <v>420</v>
      </c>
      <c r="D12" s="410" t="s">
        <v>438</v>
      </c>
      <c r="E12" s="410" t="s">
        <v>436</v>
      </c>
      <c r="F12" s="415">
        <v>2009</v>
      </c>
      <c r="G12" s="409" t="s">
        <v>19</v>
      </c>
      <c r="H12" s="416">
        <v>1</v>
      </c>
      <c r="I12" s="417">
        <v>2</v>
      </c>
      <c r="J12" s="418"/>
      <c r="K12" s="418"/>
      <c r="L12" s="419" t="e">
        <f>[1]!ExistingBMPs5[[#This Row],[drainageArea_ac]]*[1]!ExistingBMPs5[[#This Row],[impervFraction_percent]]</f>
        <v>#VALUE!</v>
      </c>
      <c r="M12" s="419" t="e">
        <f>IFERROR(MIN([1]!ExistingBMPs5[[#This Row],[treatmentDepth_in]]*[1]!ExistingBMPs5[[#This Row],[drainageArea_ac]]/[1]!ExistingBMPs5[[#This Row],[impervArea_ac]],2.5),NA())</f>
        <v>#N/A</v>
      </c>
      <c r="N12" s="417"/>
      <c r="O12" s="419" t="e">
        <f>IF([1]!ExistingBMPs5[[#This Row],[treatmentDepthNormalizedManual_inPerImpervAc]]&gt;0,[1]!ExistingBMPs5[[#This Row],[treatmentDepthNormalizedManual_inPerImpervAc]],[1]!ExistingBMPs5[[#This Row],[treatmentDepthNormalized_inPerImpervAc]])</f>
        <v>#VALUE!</v>
      </c>
      <c r="P12" s="420" t="e">
        <f>IF([1]!ExistingBMPs5[[#This Row],[BMP_type]]="Stream Restoration",NA(),IFERROR(INDEX([1]!Impervious[#All],MATCH([1]!ExistingBMPs5[[#This Row],[drainageLandCoverClass]],[1]!Impervious[[#All],[Source]],0),4),0))</f>
        <v>#VALUE!</v>
      </c>
      <c r="Q12" s="421" t="e">
        <f>IF([1]!ExistingBMPs5[[#This Row],[BMP_type]]="Street Sweeping",[1]!ExistingBMPs5[[#This Row],[lengthTreatedRoad_ft2]]*[1]!Street_Sweeping[Road Width (ft)]/43560*INDEX([1]!Loading_Rates[#All],MATCH([1]!ExistingBMPs5[[#This Row],[drainageLandCoverClass]],[1]!Loading_Rates[[#All],[Source]],0),2)*[1]!ExistingBMPs5[[#This Row],[impervFraction_percent]],IF([1]!ExistingBMPs5[[#This Row],[BMP_type]]="Stream Restoration",NA(),INDEX([1]!Loading_Rates[#All],MATCH([1]!ExistingBMPs5[[#This Row],[drainageLandCoverClass]],[1]!Loading_Rates[[#All],[Source]],0),2)*[1]!ExistingBMPs5[[#This Row],[drainageArea_ac]]))</f>
        <v>#VALUE!</v>
      </c>
      <c r="R12" s="421" t="e">
        <f>IF([1]!ExistingBMPs5[[#This Row],[BMP_type]]="Street Sweeping",[1]!ExistingBMPs5[[#This Row],[lengthTreatedRoad_ft2]]*[1]!Street_Sweeping[Road Width (ft)]/43560*INDEX([1]!Loading_Rates[#All],MATCH([1]!ExistingBMPs5[[#This Row],[drainageLandCoverClass]],[1]!Loading_Rates[[#All],[Source]],0),3)*[1]!ExistingBMPs5[[#This Row],[impervFraction_percent]],IF([1]!ExistingBMPs5[[#This Row],[BMP_type]]="Stream Restoration",NA(),INDEX([1]!Loading_Rates[#All],MATCH([1]!ExistingBMPs5[[#This Row],[drainageLandCoverClass]],[1]!Loading_Rates[[#All],[Source]],0),3)*[1]!ExistingBMPs5[[#This Row],[drainageArea_ac]]))</f>
        <v>#VALUE!</v>
      </c>
      <c r="S12" s="421" t="e">
        <f>IF([1]!ExistingBMPs5[[#This Row],[BMP_type]]="Street Sweeping",[1]!ExistingBMPs5[[#This Row],[lengthTreatedRoad_ft2]]*[1]!Street_Sweeping[Road Width (ft)]/43560*INDEX([1]!Loading_Rates[#All],MATCH([1]!ExistingBMPs5[[#This Row],[drainageLandCoverClass]],[1]!Loading_Rates[[#All],[Source]],0),4)*[1]!ExistingBMPs5[[#This Row],[impervFraction_percent]],IF([1]!ExistingBMPs5[[#This Row],[BMP_type]]="Stream Restoration",NA(),INDEX([1]!Loading_Rates[#All],MATCH([1]!ExistingBMPs5[[#This Row],[drainageLandCoverClass]],[1]!Loading_Rates[[#All],[Source]],0),4)*[1]!ExistingBMPs5[[#This Row],[drainageArea_ac]]))</f>
        <v>#VALUE!</v>
      </c>
      <c r="T12" s="420" t="e">
        <f>IF([1]!ExistingBMPs5[[#This Row],[BMP_type]]="RR",0.0326*[1]!ExistingBMPs5[[#This Row],[treatmentDepthNormalizedEffective_inPerImpervAc]]^5-0.2806*[1]!ExistingBMPs5[[#This Row],[treatmentDepthNormalizedEffective_inPerImpervAc]]^4+0.9816*[1]!ExistingBMPs5[[#This Row],[treatmentDepthNormalizedEffective_inPerImpervAc]]^3-1.8039*[1]!ExistingBMPs5[[#This Row],[treatmentDepthNormalizedEffective_inPerImpervAc]]^2+1.8292*[1]!ExistingBMPs5[[#This Row],[treatmentDepthNormalizedEffective_inPerImpervAc]]-0.0098,
IF([1]!ExistingBMPs5[[#This Row],[BMP_type]]="ST",0.0304*[1]!ExistingBMPs5[[#This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Row],[BMP_type]]="Street Sweeping",[1]!Street_Sweeping[TSS Reduction (%)],
IF(OR([1]!ExistingBMPs5[[#This Row],[BMP_type]]="Other",[1]!ExistingBMPs5[[#This Row],[BMP_type]]="Stream Restoration"),0,1))))</f>
        <v>#VALUE!</v>
      </c>
      <c r="U12" s="420" t="e">
        <f>IF([1]!ExistingBMPs5[[#This Row],[BMP_type]]="RR",0.0304*[1]!ExistingBMPs5[[#This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Row],[BMP_type]]="ST",0.0239*[1]!ExistingBMPs5[[#This Row],[treatmentDepthNormalizedEffective_inPerImpervAc]]^5-0.2058*[1]!ExistingBMPs5[[#This Row],[treatmentDepthNormalizedEffective_inPerImpervAc]]^4+0.7198*[1]!ExistingBMPs5[[#This Row],[treatmentDepthNormalizedEffective_inPerImpervAc]]^3-1.3229*[1]!ExistingBMPs5[[#This Row],[treatmentDepthNormalizedEffective_inPerImpervAc]]^2+1.3414*[1]!ExistingBMPs5[[#This Row],[treatmentDepthNormalizedEffective_inPerImpervAc]]-0.0072,
IF([1]!ExistingBMPs5[[#This Row],[BMP_type]]="Street Sweeping",[1]!Street_Sweeping[TP Reduction (%)],
IF(OR([1]!ExistingBMPs5[[#This Row],[BMP_type]]="Other",[1]!ExistingBMPs5[[#This Row],[BMP_type]]="Stream Restoration"),0,1))))</f>
        <v>#VALUE!</v>
      </c>
      <c r="V12" s="420" t="e">
        <f>IF([1]!ExistingBMPs5[[#This Row],[BMP_type]]="RR",0.0308*[1]!ExistingBMPs5[[#This Row],[treatmentDepthNormalizedEffective_inPerImpervAc]]^5-0.2562*[1]!ExistingBMPs5[[#This Row],[treatmentDepthNormalizedEffective_inPerImpervAc]]^4+0.8634*[1]!ExistingBMPs5[[#This Row],[treatmentDepthNormalizedEffective_inPerImpervAc]]^3-1.5285*[1]!ExistingBMPs5[[#This Row],[treatmentDepthNormalizedEffective_inPerImpervAc]]^2+1.501*[1]!ExistingBMPs5[[#This Row],[treatmentDepthNormalizedEffective_inPerImpervAc]]-0.013,IF([1]!ExistingBMPs5[[#This Row],[BMP_type]]="ST",0.0152*[1]!ExistingBMPs5[[#This Row],[treatmentDepthNormalizedEffective_inPerImpervAc]]^5-0.131*[1]!ExistingBMPs5[[#This Row],[treatmentDepthNormalizedEffective_inPerImpervAc]]^4+0.4581*[1]!ExistingBMPs5[[#This Row],[treatmentDepthNormalizedEffective_inPerImpervAc]]^3-0.8418*[1]!ExistingBMPs5[[#This Row],[treatmentDepthNormalizedEffective_inPerImpervAc]]^2+0.8536*[1]!ExistingBMPs5[[#This Row],[treatmentDepthNormalizedEffective_inPerImpervAc]]-0.0046,IF([1]!ExistingBMPs5[[#This Row],[BMP_type]]="Street Sweeping",[1]!Street_Sweeping[TN Reduction (%)],IF(OR([1]!ExistingBMPs5[[#This Row],[BMP_type]]="Other",[1]!ExistingBMPs5[[#This Row],[BMP_type]]="Stream Restoration"),0,1))))</f>
        <v>#VALUE!</v>
      </c>
      <c r="W12" s="421" t="e">
        <f>IF([1]!ExistingBMPs5[[#This Row],[TSS_ReductionEfficiency_percent]]&gt;0,IF([1]!ExistingBMPs5[[#This Row],[BMP_type]]="Street Sweeping",[1]!ExistingBMPs5[[#This Row],[TSS_Load_lbPerY]]*[1]!ExistingBMPs5[[#This Row],[TSS_ReductionEfficiency_percent]],INDEX([1]!Loading_Rates[#All],MATCH([1]!ExistingBMPs5[[#This Row],[drainageLandCoverClass]],[1]!Loading_Rates[[#All],[Source]],0),2)*[1]!ExistingBMPs5[[#This Row],[drainageArea_ac]]*[1]!ExistingBMPs5[[#This Row],[TSS_ReductionEfficiency_percent]]),IF([1]!ExistingBMPs5[[#This Row],[BMP_type]]="Stream Restoration",[1]!Stream_Nutrients[TSS (lbs/ft/yr)]*[1]!ExistingBMPs5[[#This Row],[lengthTreatedStream_ft]],0))</f>
        <v>#VALUE!</v>
      </c>
      <c r="X12" s="421" t="e">
        <f>[1]!ExistingBMPs5[[#This Row],[TSS_Reduction_lbPerY]]/2000</f>
        <v>#VALUE!</v>
      </c>
      <c r="Y12" s="421" t="e">
        <f>IF([1]!ExistingBMPs5[[#This Row],[TP_ReductionEfficiency_percent]]&gt;0,IF([1]!ExistingBMPs5[[#This Row],[BMP_type]]="Street Sweeping",[1]!ExistingBMPs5[[#This Row],[TP_Load_lbPerY]]*[1]!ExistingBMPs5[[#This Row],[TP_ReductionEfficiency_percent]],INDEX([1]!Loading_Rates[#All],MATCH([1]!ExistingBMPs5[[#This Row],[drainageLandCoverClass]],[1]!Loading_Rates[[#All],[Source]],0),3)*[1]!ExistingBMPs5[[#This Row],[drainageArea_ac]]*[1]!ExistingBMPs5[[#This Row],[TP_ReductionEfficiency_percent]]),IF([1]!ExistingBMPs5[[#This Row],[BMP_type]]="Stream Restoration",[1]!Stream_Nutrients[TP (lbs/ft/yr)]*[1]!ExistingBMPs5[[#This Row],[lengthTreatedStream_ft]],0))</f>
        <v>#VALUE!</v>
      </c>
      <c r="Z12" s="422" t="e">
        <f>IF([1]!ExistingBMPs5[[#This Row],[TN_ReductionEfficiency_percent]]&gt;0,IF([1]!ExistingBMPs5[[#This Row],[BMP_type]]="Street Sweeping",[1]!ExistingBMPs5[[#This Row],[TN_Load_lbPerY]]*[1]!ExistingBMPs5[[#This Row],[TN_ReductionEfficiency_percent]],INDEX([1]!Loading_Rates[#All],MATCH([1]!ExistingBMPs5[[#This Row],[drainageLandCoverClass]],[1]!Loading_Rates[[#All],[Source]],0),4)*[1]!ExistingBMPs5[[#This Row],[drainageArea_ac]]*[1]!ExistingBMPs5[[#This Row],[TN_ReductionEfficiency_percent]]),IF([1]!ExistingBMPs5[[#This Row],[BMP_type]]="Stream Restoration",[1]!Stream_Nutrients[TN (lbs/ft/yr)]*[1]!ExistingBMPs5[[#This Row],[lengthTreatedStream_ft]],0))</f>
        <v>#VALUE!</v>
      </c>
    </row>
    <row r="13" spans="1:26">
      <c r="A13" s="427"/>
      <c r="B13" s="427" t="s">
        <v>421</v>
      </c>
      <c r="C13" s="410" t="s">
        <v>422</v>
      </c>
      <c r="D13" s="410"/>
      <c r="E13" s="410"/>
      <c r="F13" s="415">
        <v>2015</v>
      </c>
      <c r="G13" s="409" t="s">
        <v>20</v>
      </c>
      <c r="H13" s="416">
        <v>32</v>
      </c>
      <c r="I13" s="417">
        <v>2</v>
      </c>
      <c r="J13" s="418"/>
      <c r="K13" s="418"/>
      <c r="L13" s="423" t="e">
        <f>[1]!ExistingBMPs5[[#This Row],[drainageArea_ac]]*[1]!ExistingBMPs5[[#This Row],[impervFraction_percent]]</f>
        <v>#VALUE!</v>
      </c>
      <c r="M13" s="423" t="e">
        <f>IFERROR(MIN([1]!ExistingBMPs5[[#This Row],[treatmentDepth_in]]*[1]!ExistingBMPs5[[#This Row],[drainageArea_ac]]/[1]!ExistingBMPs5[[#This Row],[impervArea_ac]],2.5),NA())</f>
        <v>#N/A</v>
      </c>
      <c r="N13" s="417"/>
      <c r="O13" s="423" t="e">
        <f>IF([1]!ExistingBMPs5[[#This Row],[treatmentDepthNormalizedManual_inPerImpervAc]]&gt;0,[1]!ExistingBMPs5[[#This Row],[treatmentDepthNormalizedManual_inPerImpervAc]],[1]!ExistingBMPs5[[#This Row],[treatmentDepthNormalized_inPerImpervAc]])</f>
        <v>#VALUE!</v>
      </c>
      <c r="P13" s="424" t="e">
        <f>IF([1]!ExistingBMPs5[[#This Row],[BMP_type]]="Stream Restoration",NA(),IFERROR(INDEX([1]!Impervious[#All],MATCH([1]!ExistingBMPs5[[#This Row],[drainageLandCoverClass]],[1]!Impervious[[#All],[Source]],0),4),0))</f>
        <v>#VALUE!</v>
      </c>
      <c r="Q13" s="425" t="e">
        <f>IF([1]!ExistingBMPs5[[#This Row],[BMP_type]]="Street Sweeping",[1]!ExistingBMPs5[[#This Row],[lengthTreatedRoad_ft2]]*[1]!Street_Sweeping[Road Width (ft)]/43560*INDEX([1]!Loading_Rates[#All],MATCH([1]!ExistingBMPs5[[#This Row],[drainageLandCoverClass]],[1]!Loading_Rates[[#All],[Source]],0),2)*[1]!ExistingBMPs5[[#This Row],[impervFraction_percent]],IF([1]!ExistingBMPs5[[#This Row],[BMP_type]]="Stream Restoration",NA(),INDEX([1]!Loading_Rates[#All],MATCH([1]!ExistingBMPs5[[#This Row],[drainageLandCoverClass]],[1]!Loading_Rates[[#All],[Source]],0),2)*[1]!ExistingBMPs5[[#This Row],[drainageArea_ac]]))</f>
        <v>#VALUE!</v>
      </c>
      <c r="R13" s="425" t="e">
        <f>IF([1]!ExistingBMPs5[[#This Row],[BMP_type]]="Street Sweeping",[1]!ExistingBMPs5[[#This Row],[lengthTreatedRoad_ft2]]*[1]!Street_Sweeping[Road Width (ft)]/43560*INDEX([1]!Loading_Rates[#All],MATCH([1]!ExistingBMPs5[[#This Row],[drainageLandCoverClass]],[1]!Loading_Rates[[#All],[Source]],0),3)*[1]!ExistingBMPs5[[#This Row],[impervFraction_percent]],IF([1]!ExistingBMPs5[[#This Row],[BMP_type]]="Stream Restoration",NA(),INDEX([1]!Loading_Rates[#All],MATCH([1]!ExistingBMPs5[[#This Row],[drainageLandCoverClass]],[1]!Loading_Rates[[#All],[Source]],0),3)*[1]!ExistingBMPs5[[#This Row],[drainageArea_ac]]))</f>
        <v>#VALUE!</v>
      </c>
      <c r="S13" s="425" t="e">
        <f>IF([1]!ExistingBMPs5[[#This Row],[BMP_type]]="Street Sweeping",[1]!ExistingBMPs5[[#This Row],[lengthTreatedRoad_ft2]]*[1]!Street_Sweeping[Road Width (ft)]/43560*INDEX([1]!Loading_Rates[#All],MATCH([1]!ExistingBMPs5[[#This Row],[drainageLandCoverClass]],[1]!Loading_Rates[[#All],[Source]],0),4)*[1]!ExistingBMPs5[[#This Row],[impervFraction_percent]],IF([1]!ExistingBMPs5[[#This Row],[BMP_type]]="Stream Restoration",NA(),INDEX([1]!Loading_Rates[#All],MATCH([1]!ExistingBMPs5[[#This Row],[drainageLandCoverClass]],[1]!Loading_Rates[[#All],[Source]],0),4)*[1]!ExistingBMPs5[[#This Row],[drainageArea_ac]]))</f>
        <v>#VALUE!</v>
      </c>
      <c r="T13" s="424" t="e">
        <f>IF([1]!ExistingBMPs5[[#This Row],[BMP_type]]="RR",0.0326*[1]!ExistingBMPs5[[#This Row],[treatmentDepthNormalizedEffective_inPerImpervAc]]^5-0.2806*[1]!ExistingBMPs5[[#This Row],[treatmentDepthNormalizedEffective_inPerImpervAc]]^4+0.9816*[1]!ExistingBMPs5[[#This Row],[treatmentDepthNormalizedEffective_inPerImpervAc]]^3-1.8039*[1]!ExistingBMPs5[[#This Row],[treatmentDepthNormalizedEffective_inPerImpervAc]]^2+1.8292*[1]!ExistingBMPs5[[#This Row],[treatmentDepthNormalizedEffective_inPerImpervAc]]-0.0098,
IF([1]!ExistingBMPs5[[#This Row],[BMP_type]]="ST",0.0304*[1]!ExistingBMPs5[[#This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Row],[BMP_type]]="Street Sweeping",[1]!Street_Sweeping[TSS Reduction (%)],
IF(OR([1]!ExistingBMPs5[[#This Row],[BMP_type]]="Other",[1]!ExistingBMPs5[[#This Row],[BMP_type]]="Stream Restoration"),0,1))))</f>
        <v>#VALUE!</v>
      </c>
      <c r="U13" s="424" t="e">
        <f>IF([1]!ExistingBMPs5[[#This Row],[BMP_type]]="RR",0.0304*[1]!ExistingBMPs5[[#This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Row],[BMP_type]]="ST",0.0239*[1]!ExistingBMPs5[[#This Row],[treatmentDepthNormalizedEffective_inPerImpervAc]]^5-0.2058*[1]!ExistingBMPs5[[#This Row],[treatmentDepthNormalizedEffective_inPerImpervAc]]^4+0.7198*[1]!ExistingBMPs5[[#This Row],[treatmentDepthNormalizedEffective_inPerImpervAc]]^3-1.3229*[1]!ExistingBMPs5[[#This Row],[treatmentDepthNormalizedEffective_inPerImpervAc]]^2+1.3414*[1]!ExistingBMPs5[[#This Row],[treatmentDepthNormalizedEffective_inPerImpervAc]]-0.0072,
IF([1]!ExistingBMPs5[[#This Row],[BMP_type]]="Street Sweeping",[1]!Street_Sweeping[TP Reduction (%)],
IF(OR([1]!ExistingBMPs5[[#This Row],[BMP_type]]="Other",[1]!ExistingBMPs5[[#This Row],[BMP_type]]="Stream Restoration"),0,1))))</f>
        <v>#VALUE!</v>
      </c>
      <c r="V13" s="424" t="e">
        <f>IF([1]!ExistingBMPs5[[#This Row],[BMP_type]]="RR",0.0308*[1]!ExistingBMPs5[[#This Row],[treatmentDepthNormalizedEffective_inPerImpervAc]]^5-0.2562*[1]!ExistingBMPs5[[#This Row],[treatmentDepthNormalizedEffective_inPerImpervAc]]^4+0.8634*[1]!ExistingBMPs5[[#This Row],[treatmentDepthNormalizedEffective_inPerImpervAc]]^3-1.5285*[1]!ExistingBMPs5[[#This Row],[treatmentDepthNormalizedEffective_inPerImpervAc]]^2+1.501*[1]!ExistingBMPs5[[#This Row],[treatmentDepthNormalizedEffective_inPerImpervAc]]-0.013,IF([1]!ExistingBMPs5[[#This Row],[BMP_type]]="ST",0.0152*[1]!ExistingBMPs5[[#This Row],[treatmentDepthNormalizedEffective_inPerImpervAc]]^5-0.131*[1]!ExistingBMPs5[[#This Row],[treatmentDepthNormalizedEffective_inPerImpervAc]]^4+0.4581*[1]!ExistingBMPs5[[#This Row],[treatmentDepthNormalizedEffective_inPerImpervAc]]^3-0.8418*[1]!ExistingBMPs5[[#This Row],[treatmentDepthNormalizedEffective_inPerImpervAc]]^2+0.8536*[1]!ExistingBMPs5[[#This Row],[treatmentDepthNormalizedEffective_inPerImpervAc]]-0.0046,IF([1]!ExistingBMPs5[[#This Row],[BMP_type]]="Street Sweeping",[1]!Street_Sweeping[TN Reduction (%)],IF(OR([1]!ExistingBMPs5[[#This Row],[BMP_type]]="Other",[1]!ExistingBMPs5[[#This Row],[BMP_type]]="Stream Restoration"),0,1))))</f>
        <v>#VALUE!</v>
      </c>
      <c r="W13" s="425" t="e">
        <f>IF([1]!ExistingBMPs5[[#This Row],[TSS_ReductionEfficiency_percent]]&gt;0,IF([1]!ExistingBMPs5[[#This Row],[BMP_type]]="Street Sweeping",[1]!ExistingBMPs5[[#This Row],[TSS_Load_lbPerY]]*[1]!ExistingBMPs5[[#This Row],[TSS_ReductionEfficiency_percent]],INDEX([1]!Loading_Rates[#All],MATCH([1]!ExistingBMPs5[[#This Row],[drainageLandCoverClass]],[1]!Loading_Rates[[#All],[Source]],0),2)*[1]!ExistingBMPs5[[#This Row],[drainageArea_ac]]*[1]!ExistingBMPs5[[#This Row],[TSS_ReductionEfficiency_percent]]),IF([1]!ExistingBMPs5[[#This Row],[BMP_type]]="Stream Restoration",[1]!Stream_Nutrients[TSS (lbs/ft/yr)]*[1]!ExistingBMPs5[[#This Row],[lengthTreatedStream_ft]],0))</f>
        <v>#VALUE!</v>
      </c>
      <c r="X13" s="425" t="e">
        <f>[1]!ExistingBMPs5[[#This Row],[TSS_Reduction_lbPerY]]/2000</f>
        <v>#VALUE!</v>
      </c>
      <c r="Y13" s="425" t="e">
        <f>IF([1]!ExistingBMPs5[[#This Row],[TP_ReductionEfficiency_percent]]&gt;0,IF([1]!ExistingBMPs5[[#This Row],[BMP_type]]="Street Sweeping",[1]!ExistingBMPs5[[#This Row],[TP_Load_lbPerY]]*[1]!ExistingBMPs5[[#This Row],[TP_ReductionEfficiency_percent]],INDEX([1]!Loading_Rates[#All],MATCH([1]!ExistingBMPs5[[#This Row],[drainageLandCoverClass]],[1]!Loading_Rates[[#All],[Source]],0),3)*[1]!ExistingBMPs5[[#This Row],[drainageArea_ac]]*[1]!ExistingBMPs5[[#This Row],[TP_ReductionEfficiency_percent]]),IF([1]!ExistingBMPs5[[#This Row],[BMP_type]]="Stream Restoration",[1]!Stream_Nutrients[TP (lbs/ft/yr)]*[1]!ExistingBMPs5[[#This Row],[lengthTreatedStream_ft]],0))</f>
        <v>#VALUE!</v>
      </c>
      <c r="Z13" s="426" t="e">
        <f>IF([1]!ExistingBMPs5[[#This Row],[TN_ReductionEfficiency_percent]]&gt;0,IF([1]!ExistingBMPs5[[#This Row],[BMP_type]]="Street Sweeping",[1]!ExistingBMPs5[[#This Row],[TN_Load_lbPerY]]*[1]!ExistingBMPs5[[#This Row],[TN_ReductionEfficiency_percent]],INDEX([1]!Loading_Rates[#All],MATCH([1]!ExistingBMPs5[[#This Row],[drainageLandCoverClass]],[1]!Loading_Rates[[#All],[Source]],0),4)*[1]!ExistingBMPs5[[#This Row],[drainageArea_ac]]*[1]!ExistingBMPs5[[#This Row],[TN_ReductionEfficiency_percent]]),IF([1]!ExistingBMPs5[[#This Row],[BMP_type]]="Stream Restoration",[1]!Stream_Nutrients[TN (lbs/ft/yr)]*[1]!ExistingBMPs5[[#This Row],[lengthTreatedStream_ft]],0))</f>
        <v>#VALUE!</v>
      </c>
    </row>
    <row r="14" spans="1:26">
      <c r="A14" s="427"/>
      <c r="B14" s="427" t="s">
        <v>423</v>
      </c>
      <c r="C14" s="410" t="s">
        <v>420</v>
      </c>
      <c r="D14" s="410"/>
      <c r="E14" s="410"/>
      <c r="F14" s="415">
        <v>2010</v>
      </c>
      <c r="G14" s="409" t="s">
        <v>21</v>
      </c>
      <c r="H14" s="416">
        <v>6</v>
      </c>
      <c r="I14" s="417">
        <v>2</v>
      </c>
      <c r="J14" s="418"/>
      <c r="K14" s="418"/>
      <c r="L14" s="419" t="e">
        <f>[1]!ExistingBMPs5[[#This Row],[drainageArea_ac]]*[1]!ExistingBMPs5[[#This Row],[impervFraction_percent]]</f>
        <v>#VALUE!</v>
      </c>
      <c r="M14" s="419" t="e">
        <f>IFERROR(MIN([1]!ExistingBMPs5[[#This Row],[treatmentDepth_in]]*[1]!ExistingBMPs5[[#This Row],[drainageArea_ac]]/[1]!ExistingBMPs5[[#This Row],[impervArea_ac]],2.5),NA())</f>
        <v>#N/A</v>
      </c>
      <c r="N14" s="417"/>
      <c r="O14" s="419" t="e">
        <f>IF([1]!ExistingBMPs5[[#This Row],[treatmentDepthNormalizedManual_inPerImpervAc]]&gt;0,[1]!ExistingBMPs5[[#This Row],[treatmentDepthNormalizedManual_inPerImpervAc]],[1]!ExistingBMPs5[[#This Row],[treatmentDepthNormalized_inPerImpervAc]])</f>
        <v>#VALUE!</v>
      </c>
      <c r="P14" s="420" t="e">
        <f>IF([1]!ExistingBMPs5[[#This Row],[BMP_type]]="Stream Restoration",NA(),IFERROR(INDEX([1]!Impervious[#All],MATCH([1]!ExistingBMPs5[[#This Row],[drainageLandCoverClass]],[1]!Impervious[[#All],[Source]],0),4),0))</f>
        <v>#VALUE!</v>
      </c>
      <c r="Q14" s="421" t="e">
        <f>IF([1]!ExistingBMPs5[[#This Row],[BMP_type]]="Street Sweeping",[1]!ExistingBMPs5[[#This Row],[lengthTreatedRoad_ft2]]*[1]!Street_Sweeping[Road Width (ft)]/43560*INDEX([1]!Loading_Rates[#All],MATCH([1]!ExistingBMPs5[[#This Row],[drainageLandCoverClass]],[1]!Loading_Rates[[#All],[Source]],0),2)*[1]!ExistingBMPs5[[#This Row],[impervFraction_percent]],IF([1]!ExistingBMPs5[[#This Row],[BMP_type]]="Stream Restoration",NA(),INDEX([1]!Loading_Rates[#All],MATCH([1]!ExistingBMPs5[[#This Row],[drainageLandCoverClass]],[1]!Loading_Rates[[#All],[Source]],0),2)*[1]!ExistingBMPs5[[#This Row],[drainageArea_ac]]))</f>
        <v>#VALUE!</v>
      </c>
      <c r="R14" s="421" t="e">
        <f>IF([1]!ExistingBMPs5[[#This Row],[BMP_type]]="Street Sweeping",[1]!ExistingBMPs5[[#This Row],[lengthTreatedRoad_ft2]]*[1]!Street_Sweeping[Road Width (ft)]/43560*INDEX([1]!Loading_Rates[#All],MATCH([1]!ExistingBMPs5[[#This Row],[drainageLandCoverClass]],[1]!Loading_Rates[[#All],[Source]],0),3)*[1]!ExistingBMPs5[[#This Row],[impervFraction_percent]],IF([1]!ExistingBMPs5[[#This Row],[BMP_type]]="Stream Restoration",NA(),INDEX([1]!Loading_Rates[#All],MATCH([1]!ExistingBMPs5[[#This Row],[drainageLandCoverClass]],[1]!Loading_Rates[[#All],[Source]],0),3)*[1]!ExistingBMPs5[[#This Row],[drainageArea_ac]]))</f>
        <v>#VALUE!</v>
      </c>
      <c r="S14" s="421" t="e">
        <f>IF([1]!ExistingBMPs5[[#This Row],[BMP_type]]="Street Sweeping",[1]!ExistingBMPs5[[#This Row],[lengthTreatedRoad_ft2]]*[1]!Street_Sweeping[Road Width (ft)]/43560*INDEX([1]!Loading_Rates[#All],MATCH([1]!ExistingBMPs5[[#This Row],[drainageLandCoverClass]],[1]!Loading_Rates[[#All],[Source]],0),4)*[1]!ExistingBMPs5[[#This Row],[impervFraction_percent]],IF([1]!ExistingBMPs5[[#This Row],[BMP_type]]="Stream Restoration",NA(),INDEX([1]!Loading_Rates[#All],MATCH([1]!ExistingBMPs5[[#This Row],[drainageLandCoverClass]],[1]!Loading_Rates[[#All],[Source]],0),4)*[1]!ExistingBMPs5[[#This Row],[drainageArea_ac]]))</f>
        <v>#VALUE!</v>
      </c>
      <c r="T14" s="420" t="e">
        <f>IF([1]!ExistingBMPs5[[#This Row],[BMP_type]]="RR",0.0326*[1]!ExistingBMPs5[[#This Row],[treatmentDepthNormalizedEffective_inPerImpervAc]]^5-0.2806*[1]!ExistingBMPs5[[#This Row],[treatmentDepthNormalizedEffective_inPerImpervAc]]^4+0.9816*[1]!ExistingBMPs5[[#This Row],[treatmentDepthNormalizedEffective_inPerImpervAc]]^3-1.8039*[1]!ExistingBMPs5[[#This Row],[treatmentDepthNormalizedEffective_inPerImpervAc]]^2+1.8292*[1]!ExistingBMPs5[[#This Row],[treatmentDepthNormalizedEffective_inPerImpervAc]]-0.0098,
IF([1]!ExistingBMPs5[[#This Row],[BMP_type]]="ST",0.0304*[1]!ExistingBMPs5[[#This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Row],[BMP_type]]="Street Sweeping",[1]!Street_Sweeping[TSS Reduction (%)],
IF(OR([1]!ExistingBMPs5[[#This Row],[BMP_type]]="Other",[1]!ExistingBMPs5[[#This Row],[BMP_type]]="Stream Restoration"),0,1))))</f>
        <v>#VALUE!</v>
      </c>
      <c r="U14" s="420" t="e">
        <f>IF([1]!ExistingBMPs5[[#This Row],[BMP_type]]="RR",0.0304*[1]!ExistingBMPs5[[#This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Row],[BMP_type]]="ST",0.0239*[1]!ExistingBMPs5[[#This Row],[treatmentDepthNormalizedEffective_inPerImpervAc]]^5-0.2058*[1]!ExistingBMPs5[[#This Row],[treatmentDepthNormalizedEffective_inPerImpervAc]]^4+0.7198*[1]!ExistingBMPs5[[#This Row],[treatmentDepthNormalizedEffective_inPerImpervAc]]^3-1.3229*[1]!ExistingBMPs5[[#This Row],[treatmentDepthNormalizedEffective_inPerImpervAc]]^2+1.3414*[1]!ExistingBMPs5[[#This Row],[treatmentDepthNormalizedEffective_inPerImpervAc]]-0.0072,
IF([1]!ExistingBMPs5[[#This Row],[BMP_type]]="Street Sweeping",[1]!Street_Sweeping[TP Reduction (%)],
IF(OR([1]!ExistingBMPs5[[#This Row],[BMP_type]]="Other",[1]!ExistingBMPs5[[#This Row],[BMP_type]]="Stream Restoration"),0,1))))</f>
        <v>#VALUE!</v>
      </c>
      <c r="V14" s="420" t="e">
        <f>IF([1]!ExistingBMPs5[[#This Row],[BMP_type]]="RR",0.0308*[1]!ExistingBMPs5[[#This Row],[treatmentDepthNormalizedEffective_inPerImpervAc]]^5-0.2562*[1]!ExistingBMPs5[[#This Row],[treatmentDepthNormalizedEffective_inPerImpervAc]]^4+0.8634*[1]!ExistingBMPs5[[#This Row],[treatmentDepthNormalizedEffective_inPerImpervAc]]^3-1.5285*[1]!ExistingBMPs5[[#This Row],[treatmentDepthNormalizedEffective_inPerImpervAc]]^2+1.501*[1]!ExistingBMPs5[[#This Row],[treatmentDepthNormalizedEffective_inPerImpervAc]]-0.013,IF([1]!ExistingBMPs5[[#This Row],[BMP_type]]="ST",0.0152*[1]!ExistingBMPs5[[#This Row],[treatmentDepthNormalizedEffective_inPerImpervAc]]^5-0.131*[1]!ExistingBMPs5[[#This Row],[treatmentDepthNormalizedEffective_inPerImpervAc]]^4+0.4581*[1]!ExistingBMPs5[[#This Row],[treatmentDepthNormalizedEffective_inPerImpervAc]]^3-0.8418*[1]!ExistingBMPs5[[#This Row],[treatmentDepthNormalizedEffective_inPerImpervAc]]^2+0.8536*[1]!ExistingBMPs5[[#This Row],[treatmentDepthNormalizedEffective_inPerImpervAc]]-0.0046,IF([1]!ExistingBMPs5[[#This Row],[BMP_type]]="Street Sweeping",[1]!Street_Sweeping[TN Reduction (%)],IF(OR([1]!ExistingBMPs5[[#This Row],[BMP_type]]="Other",[1]!ExistingBMPs5[[#This Row],[BMP_type]]="Stream Restoration"),0,1))))</f>
        <v>#VALUE!</v>
      </c>
      <c r="W14" s="421" t="e">
        <f>IF([1]!ExistingBMPs5[[#This Row],[TSS_ReductionEfficiency_percent]]&gt;0,IF([1]!ExistingBMPs5[[#This Row],[BMP_type]]="Street Sweeping",[1]!ExistingBMPs5[[#This Row],[TSS_Load_lbPerY]]*[1]!ExistingBMPs5[[#This Row],[TSS_ReductionEfficiency_percent]],INDEX([1]!Loading_Rates[#All],MATCH([1]!ExistingBMPs5[[#This Row],[drainageLandCoverClass]],[1]!Loading_Rates[[#All],[Source]],0),2)*[1]!ExistingBMPs5[[#This Row],[drainageArea_ac]]*[1]!ExistingBMPs5[[#This Row],[TSS_ReductionEfficiency_percent]]),IF([1]!ExistingBMPs5[[#This Row],[BMP_type]]="Stream Restoration",[1]!Stream_Nutrients[TSS (lbs/ft/yr)]*[1]!ExistingBMPs5[[#This Row],[lengthTreatedStream_ft]],0))</f>
        <v>#VALUE!</v>
      </c>
      <c r="X14" s="421" t="e">
        <f>[1]!ExistingBMPs5[[#This Row],[TSS_Reduction_lbPerY]]/2000</f>
        <v>#VALUE!</v>
      </c>
      <c r="Y14" s="421" t="e">
        <f>IF([1]!ExistingBMPs5[[#This Row],[TP_ReductionEfficiency_percent]]&gt;0,IF([1]!ExistingBMPs5[[#This Row],[BMP_type]]="Street Sweeping",[1]!ExistingBMPs5[[#This Row],[TP_Load_lbPerY]]*[1]!ExistingBMPs5[[#This Row],[TP_ReductionEfficiency_percent]],INDEX([1]!Loading_Rates[#All],MATCH([1]!ExistingBMPs5[[#This Row],[drainageLandCoverClass]],[1]!Loading_Rates[[#All],[Source]],0),3)*[1]!ExistingBMPs5[[#This Row],[drainageArea_ac]]*[1]!ExistingBMPs5[[#This Row],[TP_ReductionEfficiency_percent]]),IF([1]!ExistingBMPs5[[#This Row],[BMP_type]]="Stream Restoration",[1]!Stream_Nutrients[TP (lbs/ft/yr)]*[1]!ExistingBMPs5[[#This Row],[lengthTreatedStream_ft]],0))</f>
        <v>#VALUE!</v>
      </c>
      <c r="Z14" s="422" t="e">
        <f>IF([1]!ExistingBMPs5[[#This Row],[TN_ReductionEfficiency_percent]]&gt;0,IF([1]!ExistingBMPs5[[#This Row],[BMP_type]]="Street Sweeping",[1]!ExistingBMPs5[[#This Row],[TN_Load_lbPerY]]*[1]!ExistingBMPs5[[#This Row],[TN_ReductionEfficiency_percent]],INDEX([1]!Loading_Rates[#All],MATCH([1]!ExistingBMPs5[[#This Row],[drainageLandCoverClass]],[1]!Loading_Rates[[#All],[Source]],0),4)*[1]!ExistingBMPs5[[#This Row],[drainageArea_ac]]*[1]!ExistingBMPs5[[#This Row],[TN_ReductionEfficiency_percent]]),IF([1]!ExistingBMPs5[[#This Row],[BMP_type]]="Stream Restoration",[1]!Stream_Nutrients[TN (lbs/ft/yr)]*[1]!ExistingBMPs5[[#This Row],[lengthTreatedStream_ft]],0))</f>
        <v>#VALUE!</v>
      </c>
    </row>
    <row r="15" spans="1:26">
      <c r="A15" s="427"/>
      <c r="B15" s="427" t="s">
        <v>424</v>
      </c>
      <c r="C15" s="410" t="s">
        <v>420</v>
      </c>
      <c r="D15" s="410"/>
      <c r="E15" s="410"/>
      <c r="F15" s="415">
        <v>2010</v>
      </c>
      <c r="G15" s="409" t="s">
        <v>10</v>
      </c>
      <c r="H15" s="416">
        <v>3</v>
      </c>
      <c r="I15" s="417">
        <v>1</v>
      </c>
      <c r="J15" s="418"/>
      <c r="K15" s="418"/>
      <c r="L15" s="423" t="e">
        <f>[1]!ExistingBMPs5[[#This Row],[drainageArea_ac]]*[1]!ExistingBMPs5[[#This Row],[impervFraction_percent]]</f>
        <v>#VALUE!</v>
      </c>
      <c r="M15" s="423" t="e">
        <f>IFERROR(MIN([1]!ExistingBMPs5[[#This Row],[treatmentDepth_in]]*[1]!ExistingBMPs5[[#This Row],[drainageArea_ac]]/[1]!ExistingBMPs5[[#This Row],[impervArea_ac]],2.5),NA())</f>
        <v>#N/A</v>
      </c>
      <c r="N15" s="417"/>
      <c r="O15" s="423" t="e">
        <f>IF([1]!ExistingBMPs5[[#This Row],[treatmentDepthNormalizedManual_inPerImpervAc]]&gt;0,[1]!ExistingBMPs5[[#This Row],[treatmentDepthNormalizedManual_inPerImpervAc]],[1]!ExistingBMPs5[[#This Row],[treatmentDepthNormalized_inPerImpervAc]])</f>
        <v>#VALUE!</v>
      </c>
      <c r="P15" s="424" t="e">
        <f>IF([1]!ExistingBMPs5[[#This Row],[BMP_type]]="Stream Restoration",NA(),IFERROR(INDEX([1]!Impervious[#All],MATCH([1]!ExistingBMPs5[[#This Row],[drainageLandCoverClass]],[1]!Impervious[[#All],[Source]],0),4),0))</f>
        <v>#VALUE!</v>
      </c>
      <c r="Q15" s="425" t="e">
        <f>IF([1]!ExistingBMPs5[[#This Row],[BMP_type]]="Street Sweeping",[1]!ExistingBMPs5[[#This Row],[lengthTreatedRoad_ft2]]*[1]!Street_Sweeping[Road Width (ft)]/43560*INDEX([1]!Loading_Rates[#All],MATCH([1]!ExistingBMPs5[[#This Row],[drainageLandCoverClass]],[1]!Loading_Rates[[#All],[Source]],0),2)*[1]!ExistingBMPs5[[#This Row],[impervFraction_percent]],IF([1]!ExistingBMPs5[[#This Row],[BMP_type]]="Stream Restoration",NA(),INDEX([1]!Loading_Rates[#All],MATCH([1]!ExistingBMPs5[[#This Row],[drainageLandCoverClass]],[1]!Loading_Rates[[#All],[Source]],0),2)*[1]!ExistingBMPs5[[#This Row],[drainageArea_ac]]))</f>
        <v>#VALUE!</v>
      </c>
      <c r="R15" s="425" t="e">
        <f>IF([1]!ExistingBMPs5[[#This Row],[BMP_type]]="Street Sweeping",[1]!ExistingBMPs5[[#This Row],[lengthTreatedRoad_ft2]]*[1]!Street_Sweeping[Road Width (ft)]/43560*INDEX([1]!Loading_Rates[#All],MATCH([1]!ExistingBMPs5[[#This Row],[drainageLandCoverClass]],[1]!Loading_Rates[[#All],[Source]],0),3)*[1]!ExistingBMPs5[[#This Row],[impervFraction_percent]],IF([1]!ExistingBMPs5[[#This Row],[BMP_type]]="Stream Restoration",NA(),INDEX([1]!Loading_Rates[#All],MATCH([1]!ExistingBMPs5[[#This Row],[drainageLandCoverClass]],[1]!Loading_Rates[[#All],[Source]],0),3)*[1]!ExistingBMPs5[[#This Row],[drainageArea_ac]]))</f>
        <v>#VALUE!</v>
      </c>
      <c r="S15" s="425" t="e">
        <f>IF([1]!ExistingBMPs5[[#This Row],[BMP_type]]="Street Sweeping",[1]!ExistingBMPs5[[#This Row],[lengthTreatedRoad_ft2]]*[1]!Street_Sweeping[Road Width (ft)]/43560*INDEX([1]!Loading_Rates[#All],MATCH([1]!ExistingBMPs5[[#This Row],[drainageLandCoverClass]],[1]!Loading_Rates[[#All],[Source]],0),4)*[1]!ExistingBMPs5[[#This Row],[impervFraction_percent]],IF([1]!ExistingBMPs5[[#This Row],[BMP_type]]="Stream Restoration",NA(),INDEX([1]!Loading_Rates[#All],MATCH([1]!ExistingBMPs5[[#This Row],[drainageLandCoverClass]],[1]!Loading_Rates[[#All],[Source]],0),4)*[1]!ExistingBMPs5[[#This Row],[drainageArea_ac]]))</f>
        <v>#VALUE!</v>
      </c>
      <c r="T15" s="424" t="e">
        <f>IF([1]!ExistingBMPs5[[#This Row],[BMP_type]]="RR",0.0326*[1]!ExistingBMPs5[[#This Row],[treatmentDepthNormalizedEffective_inPerImpervAc]]^5-0.2806*[1]!ExistingBMPs5[[#This Row],[treatmentDepthNormalizedEffective_inPerImpervAc]]^4+0.9816*[1]!ExistingBMPs5[[#This Row],[treatmentDepthNormalizedEffective_inPerImpervAc]]^3-1.8039*[1]!ExistingBMPs5[[#This Row],[treatmentDepthNormalizedEffective_inPerImpervAc]]^2+1.8292*[1]!ExistingBMPs5[[#This Row],[treatmentDepthNormalizedEffective_inPerImpervAc]]-0.0098,
IF([1]!ExistingBMPs5[[#This Row],[BMP_type]]="ST",0.0304*[1]!ExistingBMPs5[[#This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Row],[BMP_type]]="Street Sweeping",[1]!Street_Sweeping[TSS Reduction (%)],
IF(OR([1]!ExistingBMPs5[[#This Row],[BMP_type]]="Other",[1]!ExistingBMPs5[[#This Row],[BMP_type]]="Stream Restoration"),0,1))))</f>
        <v>#VALUE!</v>
      </c>
      <c r="U15" s="424" t="e">
        <f>IF([1]!ExistingBMPs5[[#This Row],[BMP_type]]="RR",0.0304*[1]!ExistingBMPs5[[#This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Row],[BMP_type]]="ST",0.0239*[1]!ExistingBMPs5[[#This Row],[treatmentDepthNormalizedEffective_inPerImpervAc]]^5-0.2058*[1]!ExistingBMPs5[[#This Row],[treatmentDepthNormalizedEffective_inPerImpervAc]]^4+0.7198*[1]!ExistingBMPs5[[#This Row],[treatmentDepthNormalizedEffective_inPerImpervAc]]^3-1.3229*[1]!ExistingBMPs5[[#This Row],[treatmentDepthNormalizedEffective_inPerImpervAc]]^2+1.3414*[1]!ExistingBMPs5[[#This Row],[treatmentDepthNormalizedEffective_inPerImpervAc]]-0.0072,
IF([1]!ExistingBMPs5[[#This Row],[BMP_type]]="Street Sweeping",[1]!Street_Sweeping[TP Reduction (%)],
IF(OR([1]!ExistingBMPs5[[#This Row],[BMP_type]]="Other",[1]!ExistingBMPs5[[#This Row],[BMP_type]]="Stream Restoration"),0,1))))</f>
        <v>#VALUE!</v>
      </c>
      <c r="V15" s="424" t="e">
        <f>IF([1]!ExistingBMPs5[[#This Row],[BMP_type]]="RR",0.0308*[1]!ExistingBMPs5[[#This Row],[treatmentDepthNormalizedEffective_inPerImpervAc]]^5-0.2562*[1]!ExistingBMPs5[[#This Row],[treatmentDepthNormalizedEffective_inPerImpervAc]]^4+0.8634*[1]!ExistingBMPs5[[#This Row],[treatmentDepthNormalizedEffective_inPerImpervAc]]^3-1.5285*[1]!ExistingBMPs5[[#This Row],[treatmentDepthNormalizedEffective_inPerImpervAc]]^2+1.501*[1]!ExistingBMPs5[[#This Row],[treatmentDepthNormalizedEffective_inPerImpervAc]]-0.013,IF([1]!ExistingBMPs5[[#This Row],[BMP_type]]="ST",0.0152*[1]!ExistingBMPs5[[#This Row],[treatmentDepthNormalizedEffective_inPerImpervAc]]^5-0.131*[1]!ExistingBMPs5[[#This Row],[treatmentDepthNormalizedEffective_inPerImpervAc]]^4+0.4581*[1]!ExistingBMPs5[[#This Row],[treatmentDepthNormalizedEffective_inPerImpervAc]]^3-0.8418*[1]!ExistingBMPs5[[#This Row],[treatmentDepthNormalizedEffective_inPerImpervAc]]^2+0.8536*[1]!ExistingBMPs5[[#This Row],[treatmentDepthNormalizedEffective_inPerImpervAc]]-0.0046,IF([1]!ExistingBMPs5[[#This Row],[BMP_type]]="Street Sweeping",[1]!Street_Sweeping[TN Reduction (%)],IF(OR([1]!ExistingBMPs5[[#This Row],[BMP_type]]="Other",[1]!ExistingBMPs5[[#This Row],[BMP_type]]="Stream Restoration"),0,1))))</f>
        <v>#VALUE!</v>
      </c>
      <c r="W15" s="425" t="e">
        <f>IF([1]!ExistingBMPs5[[#This Row],[TSS_ReductionEfficiency_percent]]&gt;0,IF([1]!ExistingBMPs5[[#This Row],[BMP_type]]="Street Sweeping",[1]!ExistingBMPs5[[#This Row],[TSS_Load_lbPerY]]*[1]!ExistingBMPs5[[#This Row],[TSS_ReductionEfficiency_percent]],INDEX([1]!Loading_Rates[#All],MATCH([1]!ExistingBMPs5[[#This Row],[drainageLandCoverClass]],[1]!Loading_Rates[[#All],[Source]],0),2)*[1]!ExistingBMPs5[[#This Row],[drainageArea_ac]]*[1]!ExistingBMPs5[[#This Row],[TSS_ReductionEfficiency_percent]]),IF([1]!ExistingBMPs5[[#This Row],[BMP_type]]="Stream Restoration",[1]!Stream_Nutrients[TSS (lbs/ft/yr)]*[1]!ExistingBMPs5[[#This Row],[lengthTreatedStream_ft]],0))</f>
        <v>#VALUE!</v>
      </c>
      <c r="X15" s="425" t="e">
        <f>[1]!ExistingBMPs5[[#This Row],[TSS_Reduction_lbPerY]]/2000</f>
        <v>#VALUE!</v>
      </c>
      <c r="Y15" s="425" t="e">
        <f>IF([1]!ExistingBMPs5[[#This Row],[TP_ReductionEfficiency_percent]]&gt;0,IF([1]!ExistingBMPs5[[#This Row],[BMP_type]]="Street Sweeping",[1]!ExistingBMPs5[[#This Row],[TP_Load_lbPerY]]*[1]!ExistingBMPs5[[#This Row],[TP_ReductionEfficiency_percent]],INDEX([1]!Loading_Rates[#All],MATCH([1]!ExistingBMPs5[[#This Row],[drainageLandCoverClass]],[1]!Loading_Rates[[#All],[Source]],0),3)*[1]!ExistingBMPs5[[#This Row],[drainageArea_ac]]*[1]!ExistingBMPs5[[#This Row],[TP_ReductionEfficiency_percent]]),IF([1]!ExistingBMPs5[[#This Row],[BMP_type]]="Stream Restoration",[1]!Stream_Nutrients[TP (lbs/ft/yr)]*[1]!ExistingBMPs5[[#This Row],[lengthTreatedStream_ft]],0))</f>
        <v>#VALUE!</v>
      </c>
      <c r="Z15" s="426" t="e">
        <f>IF([1]!ExistingBMPs5[[#This Row],[TN_ReductionEfficiency_percent]]&gt;0,IF([1]!ExistingBMPs5[[#This Row],[BMP_type]]="Street Sweeping",[1]!ExistingBMPs5[[#This Row],[TN_Load_lbPerY]]*[1]!ExistingBMPs5[[#This Row],[TN_ReductionEfficiency_percent]],INDEX([1]!Loading_Rates[#All],MATCH([1]!ExistingBMPs5[[#This Row],[drainageLandCoverClass]],[1]!Loading_Rates[[#All],[Source]],0),4)*[1]!ExistingBMPs5[[#This Row],[drainageArea_ac]]*[1]!ExistingBMPs5[[#This Row],[TN_ReductionEfficiency_percent]]),IF([1]!ExistingBMPs5[[#This Row],[BMP_type]]="Stream Restoration",[1]!Stream_Nutrients[TN (lbs/ft/yr)]*[1]!ExistingBMPs5[[#This Row],[lengthTreatedStream_ft]],0))</f>
        <v>#VALUE!</v>
      </c>
    </row>
    <row r="16" spans="1:26">
      <c r="A16" s="427"/>
      <c r="B16" s="427" t="s">
        <v>425</v>
      </c>
      <c r="C16" s="410" t="s">
        <v>420</v>
      </c>
      <c r="D16" s="410"/>
      <c r="E16" s="410"/>
      <c r="F16" s="415">
        <v>2010</v>
      </c>
      <c r="G16" s="409" t="s">
        <v>9</v>
      </c>
      <c r="H16" s="416">
        <v>1.5</v>
      </c>
      <c r="I16" s="417">
        <v>1</v>
      </c>
      <c r="J16" s="418"/>
      <c r="K16" s="418"/>
      <c r="L16" s="419" t="e">
        <f>[1]!ExistingBMPs5[[#This Row],[drainageArea_ac]]*[1]!ExistingBMPs5[[#This Row],[impervFraction_percent]]</f>
        <v>#VALUE!</v>
      </c>
      <c r="M16" s="419" t="e">
        <f>IFERROR(MIN([1]!ExistingBMPs5[[#This Row],[treatmentDepth_in]]*[1]!ExistingBMPs5[[#This Row],[drainageArea_ac]]/[1]!ExistingBMPs5[[#This Row],[impervArea_ac]],2.5),NA())</f>
        <v>#N/A</v>
      </c>
      <c r="N16" s="417">
        <v>1.92</v>
      </c>
      <c r="O16" s="419" t="e">
        <f>IF([1]!ExistingBMPs5[[#This Row],[treatmentDepthNormalizedManual_inPerImpervAc]]&gt;0,[1]!ExistingBMPs5[[#This Row],[treatmentDepthNormalizedManual_inPerImpervAc]],[1]!ExistingBMPs5[[#This Row],[treatmentDepthNormalized_inPerImpervAc]])</f>
        <v>#VALUE!</v>
      </c>
      <c r="P16" s="420" t="e">
        <f>IF([1]!ExistingBMPs5[[#This Row],[BMP_type]]="Stream Restoration",NA(),IFERROR(INDEX([1]!Impervious[#All],MATCH([1]!ExistingBMPs5[[#This Row],[drainageLandCoverClass]],[1]!Impervious[[#All],[Source]],0),4),0))</f>
        <v>#VALUE!</v>
      </c>
      <c r="Q16" s="421" t="e">
        <f>IF([1]!ExistingBMPs5[[#This Row],[BMP_type]]="Street Sweeping",[1]!ExistingBMPs5[[#This Row],[lengthTreatedRoad_ft2]]*[1]!Street_Sweeping[Road Width (ft)]/43560*INDEX([1]!Loading_Rates[#All],MATCH([1]!ExistingBMPs5[[#This Row],[drainageLandCoverClass]],[1]!Loading_Rates[[#All],[Source]],0),2)*[1]!ExistingBMPs5[[#This Row],[impervFraction_percent]],IF([1]!ExistingBMPs5[[#This Row],[BMP_type]]="Stream Restoration",NA(),INDEX([1]!Loading_Rates[#All],MATCH([1]!ExistingBMPs5[[#This Row],[drainageLandCoverClass]],[1]!Loading_Rates[[#All],[Source]],0),2)*[1]!ExistingBMPs5[[#This Row],[drainageArea_ac]]))</f>
        <v>#VALUE!</v>
      </c>
      <c r="R16" s="421" t="e">
        <f>IF([1]!ExistingBMPs5[[#This Row],[BMP_type]]="Street Sweeping",[1]!ExistingBMPs5[[#This Row],[lengthTreatedRoad_ft2]]*[1]!Street_Sweeping[Road Width (ft)]/43560*INDEX([1]!Loading_Rates[#All],MATCH([1]!ExistingBMPs5[[#This Row],[drainageLandCoverClass]],[1]!Loading_Rates[[#All],[Source]],0),3)*[1]!ExistingBMPs5[[#This Row],[impervFraction_percent]],IF([1]!ExistingBMPs5[[#This Row],[BMP_type]]="Stream Restoration",NA(),INDEX([1]!Loading_Rates[#All],MATCH([1]!ExistingBMPs5[[#This Row],[drainageLandCoverClass]],[1]!Loading_Rates[[#All],[Source]],0),3)*[1]!ExistingBMPs5[[#This Row],[drainageArea_ac]]))</f>
        <v>#VALUE!</v>
      </c>
      <c r="S16" s="421" t="e">
        <f>IF([1]!ExistingBMPs5[[#This Row],[BMP_type]]="Street Sweeping",[1]!ExistingBMPs5[[#This Row],[lengthTreatedRoad_ft2]]*[1]!Street_Sweeping[Road Width (ft)]/43560*INDEX([1]!Loading_Rates[#All],MATCH([1]!ExistingBMPs5[[#This Row],[drainageLandCoverClass]],[1]!Loading_Rates[[#All],[Source]],0),4)*[1]!ExistingBMPs5[[#This Row],[impervFraction_percent]],IF([1]!ExistingBMPs5[[#This Row],[BMP_type]]="Stream Restoration",NA(),INDEX([1]!Loading_Rates[#All],MATCH([1]!ExistingBMPs5[[#This Row],[drainageLandCoverClass]],[1]!Loading_Rates[[#All],[Source]],0),4)*[1]!ExistingBMPs5[[#This Row],[drainageArea_ac]]))</f>
        <v>#VALUE!</v>
      </c>
      <c r="T16" s="420" t="e">
        <f>IF([1]!ExistingBMPs5[[#This Row],[BMP_type]]="RR",0.0326*[1]!ExistingBMPs5[[#This Row],[treatmentDepthNormalizedEffective_inPerImpervAc]]^5-0.2806*[1]!ExistingBMPs5[[#This Row],[treatmentDepthNormalizedEffective_inPerImpervAc]]^4+0.9816*[1]!ExistingBMPs5[[#This Row],[treatmentDepthNormalizedEffective_inPerImpervAc]]^3-1.8039*[1]!ExistingBMPs5[[#This Row],[treatmentDepthNormalizedEffective_inPerImpervAc]]^2+1.8292*[1]!ExistingBMPs5[[#This Row],[treatmentDepthNormalizedEffective_inPerImpervAc]]-0.0098,
IF([1]!ExistingBMPs5[[#This Row],[BMP_type]]="ST",0.0304*[1]!ExistingBMPs5[[#This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Row],[BMP_type]]="Street Sweeping",[1]!Street_Sweeping[TSS Reduction (%)],
IF(OR([1]!ExistingBMPs5[[#This Row],[BMP_type]]="Other",[1]!ExistingBMPs5[[#This Row],[BMP_type]]="Stream Restoration"),0,1))))</f>
        <v>#VALUE!</v>
      </c>
      <c r="U16" s="420" t="e">
        <f>IF([1]!ExistingBMPs5[[#This Row],[BMP_type]]="RR",0.0304*[1]!ExistingBMPs5[[#This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Row],[BMP_type]]="ST",0.0239*[1]!ExistingBMPs5[[#This Row],[treatmentDepthNormalizedEffective_inPerImpervAc]]^5-0.2058*[1]!ExistingBMPs5[[#This Row],[treatmentDepthNormalizedEffective_inPerImpervAc]]^4+0.7198*[1]!ExistingBMPs5[[#This Row],[treatmentDepthNormalizedEffective_inPerImpervAc]]^3-1.3229*[1]!ExistingBMPs5[[#This Row],[treatmentDepthNormalizedEffective_inPerImpervAc]]^2+1.3414*[1]!ExistingBMPs5[[#This Row],[treatmentDepthNormalizedEffective_inPerImpervAc]]-0.0072,
IF([1]!ExistingBMPs5[[#This Row],[BMP_type]]="Street Sweeping",[1]!Street_Sweeping[TP Reduction (%)],
IF(OR([1]!ExistingBMPs5[[#This Row],[BMP_type]]="Other",[1]!ExistingBMPs5[[#This Row],[BMP_type]]="Stream Restoration"),0,1))))</f>
        <v>#VALUE!</v>
      </c>
      <c r="V16" s="420" t="e">
        <f>IF([1]!ExistingBMPs5[[#This Row],[BMP_type]]="RR",0.0308*[1]!ExistingBMPs5[[#This Row],[treatmentDepthNormalizedEffective_inPerImpervAc]]^5-0.2562*[1]!ExistingBMPs5[[#This Row],[treatmentDepthNormalizedEffective_inPerImpervAc]]^4+0.8634*[1]!ExistingBMPs5[[#This Row],[treatmentDepthNormalizedEffective_inPerImpervAc]]^3-1.5285*[1]!ExistingBMPs5[[#This Row],[treatmentDepthNormalizedEffective_inPerImpervAc]]^2+1.501*[1]!ExistingBMPs5[[#This Row],[treatmentDepthNormalizedEffective_inPerImpervAc]]-0.013,IF([1]!ExistingBMPs5[[#This Row],[BMP_type]]="ST",0.0152*[1]!ExistingBMPs5[[#This Row],[treatmentDepthNormalizedEffective_inPerImpervAc]]^5-0.131*[1]!ExistingBMPs5[[#This Row],[treatmentDepthNormalizedEffective_inPerImpervAc]]^4+0.4581*[1]!ExistingBMPs5[[#This Row],[treatmentDepthNormalizedEffective_inPerImpervAc]]^3-0.8418*[1]!ExistingBMPs5[[#This Row],[treatmentDepthNormalizedEffective_inPerImpervAc]]^2+0.8536*[1]!ExistingBMPs5[[#This Row],[treatmentDepthNormalizedEffective_inPerImpervAc]]-0.0046,IF([1]!ExistingBMPs5[[#This Row],[BMP_type]]="Street Sweeping",[1]!Street_Sweeping[TN Reduction (%)],IF(OR([1]!ExistingBMPs5[[#This Row],[BMP_type]]="Other",[1]!ExistingBMPs5[[#This Row],[BMP_type]]="Stream Restoration"),0,1))))</f>
        <v>#VALUE!</v>
      </c>
      <c r="W16" s="421" t="e">
        <f>IF([1]!ExistingBMPs5[[#This Row],[TSS_ReductionEfficiency_percent]]&gt;0,IF([1]!ExistingBMPs5[[#This Row],[BMP_type]]="Street Sweeping",[1]!ExistingBMPs5[[#This Row],[TSS_Load_lbPerY]]*[1]!ExistingBMPs5[[#This Row],[TSS_ReductionEfficiency_percent]],INDEX([1]!Loading_Rates[#All],MATCH([1]!ExistingBMPs5[[#This Row],[drainageLandCoverClass]],[1]!Loading_Rates[[#All],[Source]],0),2)*[1]!ExistingBMPs5[[#This Row],[drainageArea_ac]]*[1]!ExistingBMPs5[[#This Row],[TSS_ReductionEfficiency_percent]]),IF([1]!ExistingBMPs5[[#This Row],[BMP_type]]="Stream Restoration",[1]!Stream_Nutrients[TSS (lbs/ft/yr)]*[1]!ExistingBMPs5[[#This Row],[lengthTreatedStream_ft]],0))</f>
        <v>#VALUE!</v>
      </c>
      <c r="X16" s="421" t="e">
        <f>[1]!ExistingBMPs5[[#This Row],[TSS_Reduction_lbPerY]]/2000</f>
        <v>#VALUE!</v>
      </c>
      <c r="Y16" s="421" t="e">
        <f>IF([1]!ExistingBMPs5[[#This Row],[TP_ReductionEfficiency_percent]]&gt;0,IF([1]!ExistingBMPs5[[#This Row],[BMP_type]]="Street Sweeping",[1]!ExistingBMPs5[[#This Row],[TP_Load_lbPerY]]*[1]!ExistingBMPs5[[#This Row],[TP_ReductionEfficiency_percent]],INDEX([1]!Loading_Rates[#All],MATCH([1]!ExistingBMPs5[[#This Row],[drainageLandCoverClass]],[1]!Loading_Rates[[#All],[Source]],0),3)*[1]!ExistingBMPs5[[#This Row],[drainageArea_ac]]*[1]!ExistingBMPs5[[#This Row],[TP_ReductionEfficiency_percent]]),IF([1]!ExistingBMPs5[[#This Row],[BMP_type]]="Stream Restoration",[1]!Stream_Nutrients[TP (lbs/ft/yr)]*[1]!ExistingBMPs5[[#This Row],[lengthTreatedStream_ft]],0))</f>
        <v>#VALUE!</v>
      </c>
      <c r="Z16" s="422" t="e">
        <f>IF([1]!ExistingBMPs5[[#This Row],[TN_ReductionEfficiency_percent]]&gt;0,IF([1]!ExistingBMPs5[[#This Row],[BMP_type]]="Street Sweeping",[1]!ExistingBMPs5[[#This Row],[TN_Load_lbPerY]]*[1]!ExistingBMPs5[[#This Row],[TN_ReductionEfficiency_percent]],INDEX([1]!Loading_Rates[#All],MATCH([1]!ExistingBMPs5[[#This Row],[drainageLandCoverClass]],[1]!Loading_Rates[[#All],[Source]],0),4)*[1]!ExistingBMPs5[[#This Row],[drainageArea_ac]]*[1]!ExistingBMPs5[[#This Row],[TN_ReductionEfficiency_percent]]),IF([1]!ExistingBMPs5[[#This Row],[BMP_type]]="Stream Restoration",[1]!Stream_Nutrients[TN (lbs/ft/yr)]*[1]!ExistingBMPs5[[#This Row],[lengthTreatedStream_ft]],0))</f>
        <v>#VALUE!</v>
      </c>
    </row>
    <row r="17" spans="1:26">
      <c r="A17" s="427"/>
      <c r="B17" s="427" t="s">
        <v>426</v>
      </c>
      <c r="C17" s="410" t="s">
        <v>427</v>
      </c>
      <c r="D17" s="410"/>
      <c r="E17" s="410"/>
      <c r="F17" s="415">
        <v>2014</v>
      </c>
      <c r="G17" s="409"/>
      <c r="H17" s="416"/>
      <c r="I17" s="417"/>
      <c r="J17" s="418">
        <v>500</v>
      </c>
      <c r="K17" s="418"/>
      <c r="L17" s="423" t="e">
        <f>[1]!ExistingBMPs5[[#This Row],[drainageArea_ac]]*[1]!ExistingBMPs5[[#This Row],[impervFraction_percent]]</f>
        <v>#VALUE!</v>
      </c>
      <c r="M17" s="423" t="e">
        <f>IFERROR(MIN([1]!ExistingBMPs5[[#This Row],[treatmentDepth_in]]*[1]!ExistingBMPs5[[#This Row],[drainageArea_ac]]/[1]!ExistingBMPs5[[#This Row],[impervArea_ac]],2.5),NA())</f>
        <v>#N/A</v>
      </c>
      <c r="N17" s="417"/>
      <c r="O17" s="423" t="e">
        <f>IF([1]!ExistingBMPs5[[#This Row],[treatmentDepthNormalizedManual_inPerImpervAc]]&gt;0,[1]!ExistingBMPs5[[#This Row],[treatmentDepthNormalizedManual_inPerImpervAc]],[1]!ExistingBMPs5[[#This Row],[treatmentDepthNormalized_inPerImpervAc]])</f>
        <v>#VALUE!</v>
      </c>
      <c r="P17" s="424" t="e">
        <f>IF([1]!ExistingBMPs5[[#This Row],[BMP_type]]="Stream Restoration",NA(),IFERROR(INDEX([1]!Impervious[#All],MATCH([1]!ExistingBMPs5[[#This Row],[drainageLandCoverClass]],[1]!Impervious[[#All],[Source]],0),4),0))</f>
        <v>#VALUE!</v>
      </c>
      <c r="Q17" s="425" t="e">
        <f>IF([1]!ExistingBMPs5[[#This Row],[BMP_type]]="Street Sweeping",[1]!ExistingBMPs5[[#This Row],[lengthTreatedRoad_ft2]]*[1]!Street_Sweeping[Road Width (ft)]/43560*INDEX([1]!Loading_Rates[#All],MATCH([1]!ExistingBMPs5[[#This Row],[drainageLandCoverClass]],[1]!Loading_Rates[[#All],[Source]],0),2)*[1]!ExistingBMPs5[[#This Row],[impervFraction_percent]],IF([1]!ExistingBMPs5[[#This Row],[BMP_type]]="Stream Restoration",NA(),INDEX([1]!Loading_Rates[#All],MATCH([1]!ExistingBMPs5[[#This Row],[drainageLandCoverClass]],[1]!Loading_Rates[[#All],[Source]],0),2)*[1]!ExistingBMPs5[[#This Row],[drainageArea_ac]]))</f>
        <v>#VALUE!</v>
      </c>
      <c r="R17" s="425" t="e">
        <f>IF([1]!ExistingBMPs5[[#This Row],[BMP_type]]="Street Sweeping",[1]!ExistingBMPs5[[#This Row],[lengthTreatedRoad_ft2]]*[1]!Street_Sweeping[Road Width (ft)]/43560*INDEX([1]!Loading_Rates[#All],MATCH([1]!ExistingBMPs5[[#This Row],[drainageLandCoverClass]],[1]!Loading_Rates[[#All],[Source]],0),3)*[1]!ExistingBMPs5[[#This Row],[impervFraction_percent]],IF([1]!ExistingBMPs5[[#This Row],[BMP_type]]="Stream Restoration",NA(),INDEX([1]!Loading_Rates[#All],MATCH([1]!ExistingBMPs5[[#This Row],[drainageLandCoverClass]],[1]!Loading_Rates[[#All],[Source]],0),3)*[1]!ExistingBMPs5[[#This Row],[drainageArea_ac]]))</f>
        <v>#VALUE!</v>
      </c>
      <c r="S17" s="425" t="e">
        <f>IF([1]!ExistingBMPs5[[#This Row],[BMP_type]]="Street Sweeping",[1]!ExistingBMPs5[[#This Row],[lengthTreatedRoad_ft2]]*[1]!Street_Sweeping[Road Width (ft)]/43560*INDEX([1]!Loading_Rates[#All],MATCH([1]!ExistingBMPs5[[#This Row],[drainageLandCoverClass]],[1]!Loading_Rates[[#All],[Source]],0),4)*[1]!ExistingBMPs5[[#This Row],[impervFraction_percent]],IF([1]!ExistingBMPs5[[#This Row],[BMP_type]]="Stream Restoration",NA(),INDEX([1]!Loading_Rates[#All],MATCH([1]!ExistingBMPs5[[#This Row],[drainageLandCoverClass]],[1]!Loading_Rates[[#All],[Source]],0),4)*[1]!ExistingBMPs5[[#This Row],[drainageArea_ac]]))</f>
        <v>#VALUE!</v>
      </c>
      <c r="T17" s="424" t="e">
        <f>IF([1]!ExistingBMPs5[[#This Row],[BMP_type]]="RR",0.0326*[1]!ExistingBMPs5[[#This Row],[treatmentDepthNormalizedEffective_inPerImpervAc]]^5-0.2806*[1]!ExistingBMPs5[[#This Row],[treatmentDepthNormalizedEffective_inPerImpervAc]]^4+0.9816*[1]!ExistingBMPs5[[#This Row],[treatmentDepthNormalizedEffective_inPerImpervAc]]^3-1.8039*[1]!ExistingBMPs5[[#This Row],[treatmentDepthNormalizedEffective_inPerImpervAc]]^2+1.8292*[1]!ExistingBMPs5[[#This Row],[treatmentDepthNormalizedEffective_inPerImpervAc]]-0.0098,
IF([1]!ExistingBMPs5[[#This Row],[BMP_type]]="ST",0.0304*[1]!ExistingBMPs5[[#This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Row],[BMP_type]]="Street Sweeping",[1]!Street_Sweeping[TSS Reduction (%)],
IF(OR([1]!ExistingBMPs5[[#This Row],[BMP_type]]="Other",[1]!ExistingBMPs5[[#This Row],[BMP_type]]="Stream Restoration"),0,1))))</f>
        <v>#VALUE!</v>
      </c>
      <c r="U17" s="424" t="e">
        <f>IF([1]!ExistingBMPs5[[#This Row],[BMP_type]]="RR",0.0304*[1]!ExistingBMPs5[[#This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Row],[BMP_type]]="ST",0.0239*[1]!ExistingBMPs5[[#This Row],[treatmentDepthNormalizedEffective_inPerImpervAc]]^5-0.2058*[1]!ExistingBMPs5[[#This Row],[treatmentDepthNormalizedEffective_inPerImpervAc]]^4+0.7198*[1]!ExistingBMPs5[[#This Row],[treatmentDepthNormalizedEffective_inPerImpervAc]]^3-1.3229*[1]!ExistingBMPs5[[#This Row],[treatmentDepthNormalizedEffective_inPerImpervAc]]^2+1.3414*[1]!ExistingBMPs5[[#This Row],[treatmentDepthNormalizedEffective_inPerImpervAc]]-0.0072,
IF([1]!ExistingBMPs5[[#This Row],[BMP_type]]="Street Sweeping",[1]!Street_Sweeping[TP Reduction (%)],
IF(OR([1]!ExistingBMPs5[[#This Row],[BMP_type]]="Other",[1]!ExistingBMPs5[[#This Row],[BMP_type]]="Stream Restoration"),0,1))))</f>
        <v>#VALUE!</v>
      </c>
      <c r="V17" s="424" t="e">
        <f>IF([1]!ExistingBMPs5[[#This Row],[BMP_type]]="RR",0.0308*[1]!ExistingBMPs5[[#This Row],[treatmentDepthNormalizedEffective_inPerImpervAc]]^5-0.2562*[1]!ExistingBMPs5[[#This Row],[treatmentDepthNormalizedEffective_inPerImpervAc]]^4+0.8634*[1]!ExistingBMPs5[[#This Row],[treatmentDepthNormalizedEffective_inPerImpervAc]]^3-1.5285*[1]!ExistingBMPs5[[#This Row],[treatmentDepthNormalizedEffective_inPerImpervAc]]^2+1.501*[1]!ExistingBMPs5[[#This Row],[treatmentDepthNormalizedEffective_inPerImpervAc]]-0.013,IF([1]!ExistingBMPs5[[#This Row],[BMP_type]]="ST",0.0152*[1]!ExistingBMPs5[[#This Row],[treatmentDepthNormalizedEffective_inPerImpervAc]]^5-0.131*[1]!ExistingBMPs5[[#This Row],[treatmentDepthNormalizedEffective_inPerImpervAc]]^4+0.4581*[1]!ExistingBMPs5[[#This Row],[treatmentDepthNormalizedEffective_inPerImpervAc]]^3-0.8418*[1]!ExistingBMPs5[[#This Row],[treatmentDepthNormalizedEffective_inPerImpervAc]]^2+0.8536*[1]!ExistingBMPs5[[#This Row],[treatmentDepthNormalizedEffective_inPerImpervAc]]-0.0046,IF([1]!ExistingBMPs5[[#This Row],[BMP_type]]="Street Sweeping",[1]!Street_Sweeping[TN Reduction (%)],IF(OR([1]!ExistingBMPs5[[#This Row],[BMP_type]]="Other",[1]!ExistingBMPs5[[#This Row],[BMP_type]]="Stream Restoration"),0,1))))</f>
        <v>#VALUE!</v>
      </c>
      <c r="W17" s="425" t="e">
        <f>IF([1]!ExistingBMPs5[[#This Row],[TSS_ReductionEfficiency_percent]]&gt;0,IF([1]!ExistingBMPs5[[#This Row],[BMP_type]]="Street Sweeping",[1]!ExistingBMPs5[[#This Row],[TSS_Load_lbPerY]]*[1]!ExistingBMPs5[[#This Row],[TSS_ReductionEfficiency_percent]],INDEX([1]!Loading_Rates[#All],MATCH([1]!ExistingBMPs5[[#This Row],[drainageLandCoverClass]],[1]!Loading_Rates[[#All],[Source]],0),2)*[1]!ExistingBMPs5[[#This Row],[drainageArea_ac]]*[1]!ExistingBMPs5[[#This Row],[TSS_ReductionEfficiency_percent]]),IF([1]!ExistingBMPs5[[#This Row],[BMP_type]]="Stream Restoration",[1]!Stream_Nutrients[TSS (lbs/ft/yr)]*[1]!ExistingBMPs5[[#This Row],[lengthTreatedStream_ft]],0))</f>
        <v>#VALUE!</v>
      </c>
      <c r="X17" s="425" t="e">
        <f>[1]!ExistingBMPs5[[#This Row],[TSS_Reduction_lbPerY]]/2000</f>
        <v>#VALUE!</v>
      </c>
      <c r="Y17" s="425" t="e">
        <f>IF([1]!ExistingBMPs5[[#This Row],[TP_ReductionEfficiency_percent]]&gt;0,IF([1]!ExistingBMPs5[[#This Row],[BMP_type]]="Street Sweeping",[1]!ExistingBMPs5[[#This Row],[TP_Load_lbPerY]]*[1]!ExistingBMPs5[[#This Row],[TP_ReductionEfficiency_percent]],INDEX([1]!Loading_Rates[#All],MATCH([1]!ExistingBMPs5[[#This Row],[drainageLandCoverClass]],[1]!Loading_Rates[[#All],[Source]],0),3)*[1]!ExistingBMPs5[[#This Row],[drainageArea_ac]]*[1]!ExistingBMPs5[[#This Row],[TP_ReductionEfficiency_percent]]),IF([1]!ExistingBMPs5[[#This Row],[BMP_type]]="Stream Restoration",[1]!Stream_Nutrients[TP (lbs/ft/yr)]*[1]!ExistingBMPs5[[#This Row],[lengthTreatedStream_ft]],0))</f>
        <v>#VALUE!</v>
      </c>
      <c r="Z17" s="426" t="e">
        <f>IF([1]!ExistingBMPs5[[#This Row],[TN_ReductionEfficiency_percent]]&gt;0,IF([1]!ExistingBMPs5[[#This Row],[BMP_type]]="Street Sweeping",[1]!ExistingBMPs5[[#This Row],[TN_Load_lbPerY]]*[1]!ExistingBMPs5[[#This Row],[TN_ReductionEfficiency_percent]],INDEX([1]!Loading_Rates[#All],MATCH([1]!ExistingBMPs5[[#This Row],[drainageLandCoverClass]],[1]!Loading_Rates[[#All],[Source]],0),4)*[1]!ExistingBMPs5[[#This Row],[drainageArea_ac]]*[1]!ExistingBMPs5[[#This Row],[TN_ReductionEfficiency_percent]]),IF([1]!ExistingBMPs5[[#This Row],[BMP_type]]="Stream Restoration",[1]!Stream_Nutrients[TN (lbs/ft/yr)]*[1]!ExistingBMPs5[[#This Row],[lengthTreatedStream_ft]],0))</f>
        <v>#VALUE!</v>
      </c>
    </row>
    <row r="18" spans="1:26">
      <c r="A18" s="427"/>
      <c r="B18" s="427" t="s">
        <v>428</v>
      </c>
      <c r="C18" s="410" t="s">
        <v>429</v>
      </c>
      <c r="D18" s="410"/>
      <c r="E18" s="410"/>
      <c r="F18" s="415">
        <v>2012</v>
      </c>
      <c r="G18" s="409" t="s">
        <v>430</v>
      </c>
      <c r="H18" s="416"/>
      <c r="I18" s="417"/>
      <c r="J18" s="418"/>
      <c r="K18" s="418">
        <v>2000</v>
      </c>
      <c r="L18" s="419" t="e">
        <f>[1]!ExistingBMPs5[[#This Row],[drainageArea_ac]]*[1]!ExistingBMPs5[[#This Row],[impervFraction_percent]]</f>
        <v>#VALUE!</v>
      </c>
      <c r="M18" s="419" t="e">
        <f>IFERROR(MIN([1]!ExistingBMPs5[[#This Row],[treatmentDepth_in]]*[1]!ExistingBMPs5[[#This Row],[drainageArea_ac]]/[1]!ExistingBMPs5[[#This Row],[impervArea_ac]],2.5),NA())</f>
        <v>#N/A</v>
      </c>
      <c r="N18" s="417"/>
      <c r="O18" s="419" t="e">
        <f>IF([1]!ExistingBMPs5[[#This Row],[treatmentDepthNormalizedManual_inPerImpervAc]]&gt;0,[1]!ExistingBMPs5[[#This Row],[treatmentDepthNormalizedManual_inPerImpervAc]],[1]!ExistingBMPs5[[#This Row],[treatmentDepthNormalized_inPerImpervAc]])</f>
        <v>#VALUE!</v>
      </c>
      <c r="P18" s="420" t="e">
        <f>IF([1]!ExistingBMPs5[[#This Row],[BMP_type]]="Stream Restoration",NA(),IFERROR(INDEX([1]!Impervious[#All],MATCH([1]!ExistingBMPs5[[#This Row],[drainageLandCoverClass]],[1]!Impervious[[#All],[Source]],0),4),0))</f>
        <v>#VALUE!</v>
      </c>
      <c r="Q18" s="421" t="e">
        <f>IF([1]!ExistingBMPs5[[#This Row],[BMP_type]]="Street Sweeping",[1]!ExistingBMPs5[[#This Row],[lengthTreatedRoad_ft2]]*[1]!Street_Sweeping[Road Width (ft)]/43560*INDEX([1]!Loading_Rates[#All],MATCH([1]!ExistingBMPs5[[#This Row],[drainageLandCoverClass]],[1]!Loading_Rates[[#All],[Source]],0),2)*[1]!ExistingBMPs5[[#This Row],[impervFraction_percent]],IF([1]!ExistingBMPs5[[#This Row],[BMP_type]]="Stream Restoration",NA(),INDEX([1]!Loading_Rates[#All],MATCH([1]!ExistingBMPs5[[#This Row],[drainageLandCoverClass]],[1]!Loading_Rates[[#All],[Source]],0),2)*[1]!ExistingBMPs5[[#This Row],[drainageArea_ac]]))</f>
        <v>#VALUE!</v>
      </c>
      <c r="R18" s="421" t="e">
        <f>IF([1]!ExistingBMPs5[[#This Row],[BMP_type]]="Street Sweeping",[1]!ExistingBMPs5[[#This Row],[lengthTreatedRoad_ft2]]*[1]!Street_Sweeping[Road Width (ft)]/43560*INDEX([1]!Loading_Rates[#All],MATCH([1]!ExistingBMPs5[[#This Row],[drainageLandCoverClass]],[1]!Loading_Rates[[#All],[Source]],0),3)*[1]!ExistingBMPs5[[#This Row],[impervFraction_percent]],IF([1]!ExistingBMPs5[[#This Row],[BMP_type]]="Stream Restoration",NA(),INDEX([1]!Loading_Rates[#All],MATCH([1]!ExistingBMPs5[[#This Row],[drainageLandCoverClass]],[1]!Loading_Rates[[#All],[Source]],0),3)*[1]!ExistingBMPs5[[#This Row],[drainageArea_ac]]))</f>
        <v>#VALUE!</v>
      </c>
      <c r="S18" s="421" t="e">
        <f>IF([1]!ExistingBMPs5[[#This Row],[BMP_type]]="Street Sweeping",[1]!ExistingBMPs5[[#This Row],[lengthTreatedRoad_ft2]]*[1]!Street_Sweeping[Road Width (ft)]/43560*INDEX([1]!Loading_Rates[#All],MATCH([1]!ExistingBMPs5[[#This Row],[drainageLandCoverClass]],[1]!Loading_Rates[[#All],[Source]],0),4)*[1]!ExistingBMPs5[[#This Row],[impervFraction_percent]],IF([1]!ExistingBMPs5[[#This Row],[BMP_type]]="Stream Restoration",NA(),INDEX([1]!Loading_Rates[#All],MATCH([1]!ExistingBMPs5[[#This Row],[drainageLandCoverClass]],[1]!Loading_Rates[[#All],[Source]],0),4)*[1]!ExistingBMPs5[[#This Row],[drainageArea_ac]]))</f>
        <v>#VALUE!</v>
      </c>
      <c r="T18" s="420" t="e">
        <f>IF([1]!ExistingBMPs5[[#This Row],[BMP_type]]="RR",0.0326*[1]!ExistingBMPs5[[#This Row],[treatmentDepthNormalizedEffective_inPerImpervAc]]^5-0.2806*[1]!ExistingBMPs5[[#This Row],[treatmentDepthNormalizedEffective_inPerImpervAc]]^4+0.9816*[1]!ExistingBMPs5[[#This Row],[treatmentDepthNormalizedEffective_inPerImpervAc]]^3-1.8039*[1]!ExistingBMPs5[[#This Row],[treatmentDepthNormalizedEffective_inPerImpervAc]]^2+1.8292*[1]!ExistingBMPs5[[#This Row],[treatmentDepthNormalizedEffective_inPerImpervAc]]-0.0098,
IF([1]!ExistingBMPs5[[#This Row],[BMP_type]]="ST",0.0304*[1]!ExistingBMPs5[[#This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Row],[BMP_type]]="Street Sweeping",[1]!Street_Sweeping[TSS Reduction (%)],
IF(OR([1]!ExistingBMPs5[[#This Row],[BMP_type]]="Other",[1]!ExistingBMPs5[[#This Row],[BMP_type]]="Stream Restoration"),0,1))))</f>
        <v>#VALUE!</v>
      </c>
      <c r="U18" s="420" t="e">
        <f>IF([1]!ExistingBMPs5[[#This Row],[BMP_type]]="RR",0.0304*[1]!ExistingBMPs5[[#This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Row],[BMP_type]]="ST",0.0239*[1]!ExistingBMPs5[[#This Row],[treatmentDepthNormalizedEffective_inPerImpervAc]]^5-0.2058*[1]!ExistingBMPs5[[#This Row],[treatmentDepthNormalizedEffective_inPerImpervAc]]^4+0.7198*[1]!ExistingBMPs5[[#This Row],[treatmentDepthNormalizedEffective_inPerImpervAc]]^3-1.3229*[1]!ExistingBMPs5[[#This Row],[treatmentDepthNormalizedEffective_inPerImpervAc]]^2+1.3414*[1]!ExistingBMPs5[[#This Row],[treatmentDepthNormalizedEffective_inPerImpervAc]]-0.0072,
IF([1]!ExistingBMPs5[[#This Row],[BMP_type]]="Street Sweeping",[1]!Street_Sweeping[TP Reduction (%)],
IF(OR([1]!ExistingBMPs5[[#This Row],[BMP_type]]="Other",[1]!ExistingBMPs5[[#This Row],[BMP_type]]="Stream Restoration"),0,1))))</f>
        <v>#VALUE!</v>
      </c>
      <c r="V18" s="420" t="e">
        <f>IF([1]!ExistingBMPs5[[#This Row],[BMP_type]]="RR",0.0308*[1]!ExistingBMPs5[[#This Row],[treatmentDepthNormalizedEffective_inPerImpervAc]]^5-0.2562*[1]!ExistingBMPs5[[#This Row],[treatmentDepthNormalizedEffective_inPerImpervAc]]^4+0.8634*[1]!ExistingBMPs5[[#This Row],[treatmentDepthNormalizedEffective_inPerImpervAc]]^3-1.5285*[1]!ExistingBMPs5[[#This Row],[treatmentDepthNormalizedEffective_inPerImpervAc]]^2+1.501*[1]!ExistingBMPs5[[#This Row],[treatmentDepthNormalizedEffective_inPerImpervAc]]-0.013,IF([1]!ExistingBMPs5[[#This Row],[BMP_type]]="ST",0.0152*[1]!ExistingBMPs5[[#This Row],[treatmentDepthNormalizedEffective_inPerImpervAc]]^5-0.131*[1]!ExistingBMPs5[[#This Row],[treatmentDepthNormalizedEffective_inPerImpervAc]]^4+0.4581*[1]!ExistingBMPs5[[#This Row],[treatmentDepthNormalizedEffective_inPerImpervAc]]^3-0.8418*[1]!ExistingBMPs5[[#This Row],[treatmentDepthNormalizedEffective_inPerImpervAc]]^2+0.8536*[1]!ExistingBMPs5[[#This Row],[treatmentDepthNormalizedEffective_inPerImpervAc]]-0.0046,IF([1]!ExistingBMPs5[[#This Row],[BMP_type]]="Street Sweeping",[1]!Street_Sweeping[TN Reduction (%)],IF(OR([1]!ExistingBMPs5[[#This Row],[BMP_type]]="Other",[1]!ExistingBMPs5[[#This Row],[BMP_type]]="Stream Restoration"),0,1))))</f>
        <v>#VALUE!</v>
      </c>
      <c r="W18" s="421" t="e">
        <f>IF([1]!ExistingBMPs5[[#This Row],[TSS_ReductionEfficiency_percent]]&gt;0,IF([1]!ExistingBMPs5[[#This Row],[BMP_type]]="Street Sweeping",[1]!ExistingBMPs5[[#This Row],[TSS_Load_lbPerY]]*[1]!ExistingBMPs5[[#This Row],[TSS_ReductionEfficiency_percent]],INDEX([1]!Loading_Rates[#All],MATCH([1]!ExistingBMPs5[[#This Row],[drainageLandCoverClass]],[1]!Loading_Rates[[#All],[Source]],0),2)*[1]!ExistingBMPs5[[#This Row],[drainageArea_ac]]*[1]!ExistingBMPs5[[#This Row],[TSS_ReductionEfficiency_percent]]),IF([1]!ExistingBMPs5[[#This Row],[BMP_type]]="Stream Restoration",[1]!Stream_Nutrients[TSS (lbs/ft/yr)]*[1]!ExistingBMPs5[[#This Row],[lengthTreatedStream_ft]],0))</f>
        <v>#VALUE!</v>
      </c>
      <c r="X18" s="421" t="e">
        <f>[1]!ExistingBMPs5[[#This Row],[TSS_Reduction_lbPerY]]/2000</f>
        <v>#VALUE!</v>
      </c>
      <c r="Y18" s="421" t="e">
        <f>IF([1]!ExistingBMPs5[[#This Row],[TP_ReductionEfficiency_percent]]&gt;0,IF([1]!ExistingBMPs5[[#This Row],[BMP_type]]="Street Sweeping",[1]!ExistingBMPs5[[#This Row],[TP_Load_lbPerY]]*[1]!ExistingBMPs5[[#This Row],[TP_ReductionEfficiency_percent]],INDEX([1]!Loading_Rates[#All],MATCH([1]!ExistingBMPs5[[#This Row],[drainageLandCoverClass]],[1]!Loading_Rates[[#All],[Source]],0),3)*[1]!ExistingBMPs5[[#This Row],[drainageArea_ac]]*[1]!ExistingBMPs5[[#This Row],[TP_ReductionEfficiency_percent]]),IF([1]!ExistingBMPs5[[#This Row],[BMP_type]]="Stream Restoration",[1]!Stream_Nutrients[TP (lbs/ft/yr)]*[1]!ExistingBMPs5[[#This Row],[lengthTreatedStream_ft]],0))</f>
        <v>#VALUE!</v>
      </c>
      <c r="Z18" s="422" t="e">
        <f>IF([1]!ExistingBMPs5[[#This Row],[TN_ReductionEfficiency_percent]]&gt;0,IF([1]!ExistingBMPs5[[#This Row],[BMP_type]]="Street Sweeping",[1]!ExistingBMPs5[[#This Row],[TN_Load_lbPerY]]*[1]!ExistingBMPs5[[#This Row],[TN_ReductionEfficiency_percent]],INDEX([1]!Loading_Rates[#All],MATCH([1]!ExistingBMPs5[[#This Row],[drainageLandCoverClass]],[1]!Loading_Rates[[#All],[Source]],0),4)*[1]!ExistingBMPs5[[#This Row],[drainageArea_ac]]*[1]!ExistingBMPs5[[#This Row],[TN_ReductionEfficiency_percent]]),IF([1]!ExistingBMPs5[[#This Row],[BMP_type]]="Stream Restoration",[1]!Stream_Nutrients[TN (lbs/ft/yr)]*[1]!ExistingBMPs5[[#This Row],[lengthTreatedStream_ft]],0))</f>
        <v>#VALUE!</v>
      </c>
    </row>
    <row r="19" spans="1:26">
      <c r="A19" s="427"/>
      <c r="B19" s="427" t="s">
        <v>431</v>
      </c>
      <c r="C19" s="410" t="s">
        <v>429</v>
      </c>
      <c r="D19" s="410"/>
      <c r="E19" s="410"/>
      <c r="F19" s="415">
        <v>2015</v>
      </c>
      <c r="G19" s="415" t="s">
        <v>432</v>
      </c>
      <c r="H19" s="416"/>
      <c r="I19" s="417"/>
      <c r="J19" s="418"/>
      <c r="K19" s="418">
        <v>20000</v>
      </c>
      <c r="L19" s="423" t="e">
        <f>[1]!ExistingBMPs5[[#This Row],[drainageArea_ac]]*[1]!ExistingBMPs5[[#This Row],[impervFraction_percent]]</f>
        <v>#VALUE!</v>
      </c>
      <c r="M19" s="423" t="e">
        <f>IFERROR(MIN([1]!ExistingBMPs5[[#This Row],[treatmentDepth_in]]*[1]!ExistingBMPs5[[#This Row],[drainageArea_ac]]/[1]!ExistingBMPs5[[#This Row],[impervArea_ac]],2.5),NA())</f>
        <v>#N/A</v>
      </c>
      <c r="N19" s="417"/>
      <c r="O19" s="423" t="e">
        <f>IF([1]!ExistingBMPs5[[#This Row],[treatmentDepthNormalizedManual_inPerImpervAc]]&gt;0,[1]!ExistingBMPs5[[#This Row],[treatmentDepthNormalizedManual_inPerImpervAc]],[1]!ExistingBMPs5[[#This Row],[treatmentDepthNormalized_inPerImpervAc]])</f>
        <v>#VALUE!</v>
      </c>
      <c r="P19" s="424" t="e">
        <f>IF([1]!ExistingBMPs5[[#This Row],[BMP_type]]="Stream Restoration",NA(),IFERROR(INDEX([1]!Impervious[#All],MATCH([1]!ExistingBMPs5[[#This Row],[drainageLandCoverClass]],[1]!Impervious[[#All],[Source]],0),4),0))</f>
        <v>#VALUE!</v>
      </c>
      <c r="Q19" s="425" t="e">
        <f>IF([1]!ExistingBMPs5[[#This Row],[BMP_type]]="Street Sweeping",[1]!ExistingBMPs5[[#This Row],[lengthTreatedRoad_ft2]]*[1]!Street_Sweeping[Road Width (ft)]/43560*INDEX([1]!Loading_Rates[#All],MATCH([1]!ExistingBMPs5[[#This Row],[drainageLandCoverClass]],[1]!Loading_Rates[[#All],[Source]],0),2)*[1]!ExistingBMPs5[[#This Row],[impervFraction_percent]],IF([1]!ExistingBMPs5[[#This Row],[BMP_type]]="Stream Restoration",NA(),INDEX([1]!Loading_Rates[#All],MATCH([1]!ExistingBMPs5[[#This Row],[drainageLandCoverClass]],[1]!Loading_Rates[[#All],[Source]],0),2)*[1]!ExistingBMPs5[[#This Row],[drainageArea_ac]]))</f>
        <v>#VALUE!</v>
      </c>
      <c r="R19" s="425" t="e">
        <f>IF([1]!ExistingBMPs5[[#This Row],[BMP_type]]="Street Sweeping",[1]!ExistingBMPs5[[#This Row],[lengthTreatedRoad_ft2]]*[1]!Street_Sweeping[Road Width (ft)]/43560*INDEX([1]!Loading_Rates[#All],MATCH([1]!ExistingBMPs5[[#This Row],[drainageLandCoverClass]],[1]!Loading_Rates[[#All],[Source]],0),3)*[1]!ExistingBMPs5[[#This Row],[impervFraction_percent]],IF([1]!ExistingBMPs5[[#This Row],[BMP_type]]="Stream Restoration",NA(),INDEX([1]!Loading_Rates[#All],MATCH([1]!ExistingBMPs5[[#This Row],[drainageLandCoverClass]],[1]!Loading_Rates[[#All],[Source]],0),3)*[1]!ExistingBMPs5[[#This Row],[drainageArea_ac]]))</f>
        <v>#VALUE!</v>
      </c>
      <c r="S19" s="425" t="e">
        <f>IF([1]!ExistingBMPs5[[#This Row],[BMP_type]]="Street Sweeping",[1]!ExistingBMPs5[[#This Row],[lengthTreatedRoad_ft2]]*[1]!Street_Sweeping[Road Width (ft)]/43560*INDEX([1]!Loading_Rates[#All],MATCH([1]!ExistingBMPs5[[#This Row],[drainageLandCoverClass]],[1]!Loading_Rates[[#All],[Source]],0),4)*[1]!ExistingBMPs5[[#This Row],[impervFraction_percent]],IF([1]!ExistingBMPs5[[#This Row],[BMP_type]]="Stream Restoration",NA(),INDEX([1]!Loading_Rates[#All],MATCH([1]!ExistingBMPs5[[#This Row],[drainageLandCoverClass]],[1]!Loading_Rates[[#All],[Source]],0),4)*[1]!ExistingBMPs5[[#This Row],[drainageArea_ac]]))</f>
        <v>#VALUE!</v>
      </c>
      <c r="T19" s="424" t="e">
        <f>IF([1]!ExistingBMPs5[[#This Row],[BMP_type]]="RR",0.0326*[1]!ExistingBMPs5[[#This Row],[treatmentDepthNormalizedEffective_inPerImpervAc]]^5-0.2806*[1]!ExistingBMPs5[[#This Row],[treatmentDepthNormalizedEffective_inPerImpervAc]]^4+0.9816*[1]!ExistingBMPs5[[#This Row],[treatmentDepthNormalizedEffective_inPerImpervAc]]^3-1.8039*[1]!ExistingBMPs5[[#This Row],[treatmentDepthNormalizedEffective_inPerImpervAc]]^2+1.8292*[1]!ExistingBMPs5[[#This Row],[treatmentDepthNormalizedEffective_inPerImpervAc]]-0.0098,
IF([1]!ExistingBMPs5[[#This Row],[BMP_type]]="ST",0.0304*[1]!ExistingBMPs5[[#This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Row],[BMP_type]]="Street Sweeping",[1]!Street_Sweeping[TSS Reduction (%)],
IF(OR([1]!ExistingBMPs5[[#This Row],[BMP_type]]="Other",[1]!ExistingBMPs5[[#This Row],[BMP_type]]="Stream Restoration"),0,1))))</f>
        <v>#VALUE!</v>
      </c>
      <c r="U19" s="424" t="e">
        <f>IF([1]!ExistingBMPs5[[#This Row],[BMP_type]]="RR",0.0304*[1]!ExistingBMPs5[[#This Row],[treatmentDepthNormalizedEffective_inPerImpervAc]]^5-0.2619*[1]!ExistingBMPs5[[#This Row],[treatmentDepthNormalizedEffective_inPerImpervAc]]^4+0.9161*[1]!ExistingBMPs5[[#This Row],[treatmentDepthNormalizedEffective_inPerImpervAc]]^3-1.6837*[1]!ExistingBMPs5[[#This Row],[treatmentDepthNormalizedEffective_inPerImpervAc]]^2+1.7072*[1]!ExistingBMPs5[[#This Row],[treatmentDepthNormalizedEffective_inPerImpervAc]]-0.0091,
IF([1]!ExistingBMPs5[[#This Row],[BMP_type]]="ST",0.0239*[1]!ExistingBMPs5[[#This Row],[treatmentDepthNormalizedEffective_inPerImpervAc]]^5-0.2058*[1]!ExistingBMPs5[[#This Row],[treatmentDepthNormalizedEffective_inPerImpervAc]]^4+0.7198*[1]!ExistingBMPs5[[#This Row],[treatmentDepthNormalizedEffective_inPerImpervAc]]^3-1.3229*[1]!ExistingBMPs5[[#This Row],[treatmentDepthNormalizedEffective_inPerImpervAc]]^2+1.3414*[1]!ExistingBMPs5[[#This Row],[treatmentDepthNormalizedEffective_inPerImpervAc]]-0.0072,
IF([1]!ExistingBMPs5[[#This Row],[BMP_type]]="Street Sweeping",[1]!Street_Sweeping[TP Reduction (%)],
IF(OR([1]!ExistingBMPs5[[#This Row],[BMP_type]]="Other",[1]!ExistingBMPs5[[#This Row],[BMP_type]]="Stream Restoration"),0,1))))</f>
        <v>#VALUE!</v>
      </c>
      <c r="V19" s="424" t="e">
        <f>IF([1]!ExistingBMPs5[[#This Row],[BMP_type]]="RR",0.0308*[1]!ExistingBMPs5[[#This Row],[treatmentDepthNormalizedEffective_inPerImpervAc]]^5-0.2562*[1]!ExistingBMPs5[[#This Row],[treatmentDepthNormalizedEffective_inPerImpervAc]]^4+0.8634*[1]!ExistingBMPs5[[#This Row],[treatmentDepthNormalizedEffective_inPerImpervAc]]^3-1.5285*[1]!ExistingBMPs5[[#This Row],[treatmentDepthNormalizedEffective_inPerImpervAc]]^2+1.501*[1]!ExistingBMPs5[[#This Row],[treatmentDepthNormalizedEffective_inPerImpervAc]]-0.013,IF([1]!ExistingBMPs5[[#This Row],[BMP_type]]="ST",0.0152*[1]!ExistingBMPs5[[#This Row],[treatmentDepthNormalizedEffective_inPerImpervAc]]^5-0.131*[1]!ExistingBMPs5[[#This Row],[treatmentDepthNormalizedEffective_inPerImpervAc]]^4+0.4581*[1]!ExistingBMPs5[[#This Row],[treatmentDepthNormalizedEffective_inPerImpervAc]]^3-0.8418*[1]!ExistingBMPs5[[#This Row],[treatmentDepthNormalizedEffective_inPerImpervAc]]^2+0.8536*[1]!ExistingBMPs5[[#This Row],[treatmentDepthNormalizedEffective_inPerImpervAc]]-0.0046,IF([1]!ExistingBMPs5[[#This Row],[BMP_type]]="Street Sweeping",[1]!Street_Sweeping[TN Reduction (%)],IF(OR([1]!ExistingBMPs5[[#This Row],[BMP_type]]="Other",[1]!ExistingBMPs5[[#This Row],[BMP_type]]="Stream Restoration"),0,1))))</f>
        <v>#VALUE!</v>
      </c>
      <c r="W19" s="425" t="e">
        <f>IF([1]!ExistingBMPs5[[#This Row],[TSS_ReductionEfficiency_percent]]&gt;0,IF([1]!ExistingBMPs5[[#This Row],[BMP_type]]="Street Sweeping",[1]!ExistingBMPs5[[#This Row],[TSS_Load_lbPerY]]*[1]!ExistingBMPs5[[#This Row],[TSS_ReductionEfficiency_percent]],INDEX([1]!Loading_Rates[#All],MATCH([1]!ExistingBMPs5[[#This Row],[drainageLandCoverClass]],[1]!Loading_Rates[[#All],[Source]],0),2)*[1]!ExistingBMPs5[[#This Row],[drainageArea_ac]]*[1]!ExistingBMPs5[[#This Row],[TSS_ReductionEfficiency_percent]]),IF([1]!ExistingBMPs5[[#This Row],[BMP_type]]="Stream Restoration",[1]!Stream_Nutrients[TSS (lbs/ft/yr)]*[1]!ExistingBMPs5[[#This Row],[lengthTreatedStream_ft]],0))</f>
        <v>#VALUE!</v>
      </c>
      <c r="X19" s="425" t="e">
        <f>[1]!ExistingBMPs5[[#This Row],[TSS_Reduction_lbPerY]]/2000</f>
        <v>#VALUE!</v>
      </c>
      <c r="Y19" s="425" t="e">
        <f>IF([1]!ExistingBMPs5[[#This Row],[TP_ReductionEfficiency_percent]]&gt;0,IF([1]!ExistingBMPs5[[#This Row],[BMP_type]]="Street Sweeping",[1]!ExistingBMPs5[[#This Row],[TP_Load_lbPerY]]*[1]!ExistingBMPs5[[#This Row],[TP_ReductionEfficiency_percent]],INDEX([1]!Loading_Rates[#All],MATCH([1]!ExistingBMPs5[[#This Row],[drainageLandCoverClass]],[1]!Loading_Rates[[#All],[Source]],0),3)*[1]!ExistingBMPs5[[#This Row],[drainageArea_ac]]*[1]!ExistingBMPs5[[#This Row],[TP_ReductionEfficiency_percent]]),IF([1]!ExistingBMPs5[[#This Row],[BMP_type]]="Stream Restoration",[1]!Stream_Nutrients[TP (lbs/ft/yr)]*[1]!ExistingBMPs5[[#This Row],[lengthTreatedStream_ft]],0))</f>
        <v>#VALUE!</v>
      </c>
      <c r="Z19" s="426" t="e">
        <f>IF([1]!ExistingBMPs5[[#This Row],[TN_ReductionEfficiency_percent]]&gt;0,IF([1]!ExistingBMPs5[[#This Row],[BMP_type]]="Street Sweeping",[1]!ExistingBMPs5[[#This Row],[TN_Load_lbPerY]]*[1]!ExistingBMPs5[[#This Row],[TN_ReductionEfficiency_percent]],INDEX([1]!Loading_Rates[#All],MATCH([1]!ExistingBMPs5[[#This Row],[drainageLandCoverClass]],[1]!Loading_Rates[[#All],[Source]],0),4)*[1]!ExistingBMPs5[[#This Row],[drainageArea_ac]]*[1]!ExistingBMPs5[[#This Row],[TN_ReductionEfficiency_percent]]),IF([1]!ExistingBMPs5[[#This Row],[BMP_type]]="Stream Restoration",[1]!Stream_Nutrients[TN (lbs/ft/yr)]*[1]!ExistingBMPs5[[#This Row],[lengthTreatedStream_ft]],0))</f>
        <v>#VALUE!</v>
      </c>
    </row>
  </sheetData>
  <autoFilter ref="A11:AD11" xr:uid="{499185BC-4CD8-4747-830A-2F106A1D47A3}"/>
  <conditionalFormatting sqref="G12:G19">
    <cfRule type="expression" dxfId="3" priority="1">
      <formula>OR($B12="Stream Restoration")</formula>
    </cfRule>
  </conditionalFormatting>
  <conditionalFormatting sqref="H12:I19 N12:N19">
    <cfRule type="expression" dxfId="2" priority="4">
      <formula>OR($B12="Stream Restoration",$B12="Street Sweeping")</formula>
    </cfRule>
  </conditionalFormatting>
  <conditionalFormatting sqref="J12:J19">
    <cfRule type="expression" dxfId="1" priority="3">
      <formula>OR($B12="RR",$B12="ST",$B12="Street Sweeping")</formula>
    </cfRule>
  </conditionalFormatting>
  <conditionalFormatting sqref="K12:K19">
    <cfRule type="expression" dxfId="0" priority="2">
      <formula>OR($B12="RR",$B12="ST",$B12="Stream Restoration")</formula>
    </cfRule>
  </conditionalFormatting>
  <dataValidations count="3">
    <dataValidation type="list" allowBlank="1" showInputMessage="1" showErrorMessage="1" sqref="C9 C12:C19" xr:uid="{EA368107-F445-7645-958F-56BA53E1F310}">
      <formula1>"RR,ST,Street Sweeping,Stream Restoration"</formula1>
    </dataValidation>
    <dataValidation type="list" allowBlank="1" showInputMessage="1" showErrorMessage="1" sqref="E9 E12:E19" xr:uid="{EE3B70DC-62AB-4649-87C9-C4ECC6770B12}">
      <formula1>"Existing,Proposed"</formula1>
    </dataValidation>
    <dataValidation type="list" allowBlank="1" showInputMessage="1" showErrorMessage="1" sqref="D9 D12:D19" xr:uid="{AE9FBB94-48B7-584E-B558-C268BD4D81BC}">
      <formula1>"Urban,Agriculture"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8D537-C02A-834A-A27A-BA1A528D8EF4}">
          <x14:formula1>
            <xm:f>'[Chiques_Creek_Urban_BMPCalculatorVer3+AKA.xlsx]Loading'!#REF!</xm:f>
          </x14:formula1>
          <xm:sqref>G12:G19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zoomScale="120" zoomScaleNormal="120" workbookViewId="0"/>
  </sheetViews>
  <sheetFormatPr baseColWidth="10" defaultColWidth="8.83203125"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67"/>
  <sheetViews>
    <sheetView topLeftCell="B67" zoomScale="120" zoomScaleNormal="120" workbookViewId="0">
      <selection activeCell="J86" sqref="J86"/>
    </sheetView>
  </sheetViews>
  <sheetFormatPr baseColWidth="10" defaultColWidth="9.1640625" defaultRowHeight="15"/>
  <cols>
    <col min="1" max="1" width="20.5" style="273" customWidth="1"/>
    <col min="2" max="2" width="13" style="274" customWidth="1"/>
    <col min="3" max="3" width="16" style="274" customWidth="1"/>
    <col min="4" max="4" width="13.83203125" style="274" customWidth="1"/>
    <col min="5" max="5" width="14.83203125" style="274" customWidth="1"/>
    <col min="6" max="6" width="4.1640625" style="273" customWidth="1"/>
    <col min="7" max="7" width="18.5" style="274" customWidth="1"/>
    <col min="8" max="8" width="1.6640625" style="273" customWidth="1"/>
    <col min="9" max="9" width="31.83203125" style="273" customWidth="1"/>
    <col min="10" max="10" width="12.5" style="273" customWidth="1"/>
    <col min="11" max="12" width="12.5" style="312" customWidth="1"/>
    <col min="13" max="13" width="10" style="273" customWidth="1"/>
    <col min="14" max="14" width="60.5" style="273" customWidth="1"/>
    <col min="15" max="15" width="12.83203125" style="273" customWidth="1"/>
    <col min="16" max="16384" width="9.1640625" style="273"/>
  </cols>
  <sheetData>
    <row r="1" spans="1:14" ht="15.75" customHeight="1" thickBot="1">
      <c r="A1" s="493" t="s">
        <v>269</v>
      </c>
      <c r="B1" s="494"/>
      <c r="C1" s="494"/>
      <c r="D1" s="494"/>
      <c r="E1" s="495"/>
      <c r="H1" s="275"/>
      <c r="I1" s="276" t="s">
        <v>190</v>
      </c>
      <c r="J1" s="352" t="s">
        <v>4</v>
      </c>
      <c r="K1" s="352" t="s">
        <v>270</v>
      </c>
      <c r="L1" s="352" t="s">
        <v>271</v>
      </c>
    </row>
    <row r="2" spans="1:14" ht="21.75" customHeight="1">
      <c r="A2" s="277" t="s">
        <v>0</v>
      </c>
      <c r="B2" s="278" t="s">
        <v>51</v>
      </c>
      <c r="C2" s="337" t="s">
        <v>191</v>
      </c>
      <c r="D2" s="278" t="s">
        <v>192</v>
      </c>
      <c r="E2" s="348" t="s">
        <v>193</v>
      </c>
      <c r="G2" s="279" t="s">
        <v>194</v>
      </c>
      <c r="H2" s="275"/>
      <c r="I2" s="273" t="s">
        <v>195</v>
      </c>
      <c r="J2" s="376">
        <f>B4</f>
        <v>323.45679012345676</v>
      </c>
      <c r="N2" s="280" t="s">
        <v>196</v>
      </c>
    </row>
    <row r="3" spans="1:14" ht="17.25" customHeight="1">
      <c r="A3" s="281" t="s">
        <v>9</v>
      </c>
      <c r="B3" s="338">
        <f>+'MMW Output'!C22</f>
        <v>1180.2469135802469</v>
      </c>
      <c r="C3" s="338">
        <f>+'MMW Output'!D22</f>
        <v>169.19251650000001</v>
      </c>
      <c r="D3" s="338">
        <f>+'MMW Output'!E22</f>
        <v>1744.8164999999999</v>
      </c>
      <c r="E3" s="344">
        <f>+'MMW Output'!F22</f>
        <v>893.02499999999998</v>
      </c>
      <c r="F3" s="282"/>
      <c r="G3" s="354">
        <f t="shared" ref="G3:G18" si="0">C3*2000</f>
        <v>338385.033</v>
      </c>
      <c r="H3" s="275"/>
      <c r="I3" s="273" t="s">
        <v>197</v>
      </c>
      <c r="J3" s="376">
        <v>10000</v>
      </c>
    </row>
    <row r="4" spans="1:14">
      <c r="A4" s="283" t="s">
        <v>10</v>
      </c>
      <c r="B4" s="339">
        <f>+'MMW Output'!C23</f>
        <v>323.45679012345676</v>
      </c>
      <c r="C4" s="339">
        <f>+'MMW Output'!D23</f>
        <v>473.41140525000003</v>
      </c>
      <c r="D4" s="339">
        <f>+'MMW Output'!E23</f>
        <v>3426.3495000000003</v>
      </c>
      <c r="E4" s="345">
        <f>+'MMW Output'!F23</f>
        <v>1474.4835</v>
      </c>
      <c r="G4" s="355">
        <f t="shared" si="0"/>
        <v>946822.81050000002</v>
      </c>
      <c r="H4" s="275"/>
      <c r="I4" s="273" t="s">
        <v>272</v>
      </c>
      <c r="J4" s="273">
        <v>0.35</v>
      </c>
      <c r="K4" s="312">
        <v>0.28999999999999998</v>
      </c>
      <c r="L4" s="312">
        <v>0.5</v>
      </c>
    </row>
    <row r="5" spans="1:14">
      <c r="A5" s="283" t="s">
        <v>11</v>
      </c>
      <c r="B5" s="339">
        <f>+'MMW Output'!C24</f>
        <v>417.28395061728395</v>
      </c>
      <c r="C5" s="339">
        <f>+'MMW Output'!D24</f>
        <v>0.69060599999999994</v>
      </c>
      <c r="D5" s="339">
        <f>+'MMW Output'!E24</f>
        <v>59.975999999999999</v>
      </c>
      <c r="E5" s="345">
        <f>+'MMW Output'!F24</f>
        <v>4.8510000000000009</v>
      </c>
      <c r="G5" s="355">
        <f t="shared" si="0"/>
        <v>1381.212</v>
      </c>
      <c r="H5" s="275"/>
      <c r="I5" s="280" t="s">
        <v>279</v>
      </c>
      <c r="J5" s="280">
        <f>(J3/J2)*G4*J4</f>
        <v>10245201.022013359</v>
      </c>
      <c r="K5" s="280">
        <f>(J3/J2)*D4*K4</f>
        <v>30719.446471374049</v>
      </c>
      <c r="L5" s="280">
        <f>(J3/J2)*E4*L4</f>
        <v>22792.588454198474</v>
      </c>
    </row>
    <row r="6" spans="1:14" ht="18.75" customHeight="1">
      <c r="A6" s="283" t="s">
        <v>12</v>
      </c>
      <c r="B6" s="339">
        <f>+'MMW Output'!C25</f>
        <v>14.814814814814813</v>
      </c>
      <c r="C6" s="339">
        <f>+'MMW Output'!D25</f>
        <v>3.2854500000000002E-2</v>
      </c>
      <c r="D6" s="339">
        <f>+'MMW Output'!E25</f>
        <v>6.1739999999999995</v>
      </c>
      <c r="E6" s="345">
        <f>+'MMW Output'!F25</f>
        <v>0.44100000000000006</v>
      </c>
      <c r="G6" s="355">
        <f t="shared" si="0"/>
        <v>65.709000000000003</v>
      </c>
      <c r="H6" s="275"/>
    </row>
    <row r="7" spans="1:14">
      <c r="A7" s="283" t="s">
        <v>13</v>
      </c>
      <c r="B7" s="339">
        <f>+'MMW Output'!C26</f>
        <v>0</v>
      </c>
      <c r="C7" s="339">
        <f>+'MMW Output'!D26</f>
        <v>0</v>
      </c>
      <c r="D7" s="339">
        <f>+'MMW Output'!E26</f>
        <v>0</v>
      </c>
      <c r="E7" s="345">
        <f>+'MMW Output'!F26</f>
        <v>0</v>
      </c>
      <c r="G7" s="355">
        <f t="shared" si="0"/>
        <v>0</v>
      </c>
      <c r="H7" s="275"/>
      <c r="I7" s="276" t="s">
        <v>198</v>
      </c>
    </row>
    <row r="8" spans="1:14">
      <c r="A8" s="283" t="s">
        <v>14</v>
      </c>
      <c r="B8" s="339">
        <f>+'MMW Output'!C27</f>
        <v>0</v>
      </c>
      <c r="C8" s="339">
        <f>+'MMW Output'!D27</f>
        <v>0</v>
      </c>
      <c r="D8" s="339">
        <f>+'MMW Output'!E27</f>
        <v>0</v>
      </c>
      <c r="E8" s="345">
        <f>+'MMW Output'!F27</f>
        <v>0</v>
      </c>
      <c r="G8" s="355">
        <f t="shared" si="0"/>
        <v>0</v>
      </c>
      <c r="H8" s="275"/>
    </row>
    <row r="9" spans="1:14">
      <c r="A9" s="283" t="s">
        <v>15</v>
      </c>
      <c r="B9" s="339">
        <f>+'MMW Output'!C28</f>
        <v>111.1111111111111</v>
      </c>
      <c r="C9" s="339">
        <f>+'MMW Output'!D28</f>
        <v>5.4832837500000009</v>
      </c>
      <c r="D9" s="339">
        <f>+'MMW Output'!E28</f>
        <v>135.60750000000002</v>
      </c>
      <c r="E9" s="345">
        <f>+'MMW Output'!F28</f>
        <v>16.9785</v>
      </c>
      <c r="G9" s="355">
        <f t="shared" si="0"/>
        <v>10966.567500000001</v>
      </c>
      <c r="H9" s="275"/>
      <c r="I9" s="273" t="s">
        <v>195</v>
      </c>
      <c r="J9" s="376">
        <f>B4</f>
        <v>323.45679012345676</v>
      </c>
      <c r="N9" s="280" t="s">
        <v>199</v>
      </c>
    </row>
    <row r="10" spans="1:14" ht="15.75" customHeight="1">
      <c r="A10" s="283" t="s">
        <v>16</v>
      </c>
      <c r="B10" s="339">
        <f>+'MMW Output'!C29</f>
        <v>49.382716049382715</v>
      </c>
      <c r="C10" s="339">
        <f>+'MMW Output'!D29</f>
        <v>6.1740000000000003E-2</v>
      </c>
      <c r="D10" s="339">
        <f>+'MMW Output'!E29</f>
        <v>29.988</v>
      </c>
      <c r="E10" s="345">
        <f>+'MMW Output'!F29</f>
        <v>1.1025</v>
      </c>
      <c r="G10" s="355">
        <f t="shared" si="0"/>
        <v>123.48</v>
      </c>
      <c r="H10" s="275"/>
      <c r="I10" s="273" t="s">
        <v>197</v>
      </c>
      <c r="J10" s="273">
        <v>10000</v>
      </c>
    </row>
    <row r="11" spans="1:14">
      <c r="A11" s="283" t="s">
        <v>17</v>
      </c>
      <c r="B11" s="339">
        <f>+'MMW Output'!C30</f>
        <v>0</v>
      </c>
      <c r="C11" s="339">
        <f>+'MMW Output'!D30</f>
        <v>0</v>
      </c>
      <c r="D11" s="339">
        <f>+'MMW Output'!E30</f>
        <v>0</v>
      </c>
      <c r="E11" s="345">
        <f>+'MMW Output'!F30</f>
        <v>0</v>
      </c>
      <c r="G11" s="355">
        <f t="shared" si="0"/>
        <v>0</v>
      </c>
      <c r="H11" s="275"/>
      <c r="I11" s="273" t="s">
        <v>272</v>
      </c>
      <c r="J11" s="376">
        <v>0.3</v>
      </c>
      <c r="K11" s="312">
        <v>0.08</v>
      </c>
      <c r="L11" s="312">
        <v>0.22</v>
      </c>
    </row>
    <row r="12" spans="1:14">
      <c r="A12" s="284" t="s">
        <v>18</v>
      </c>
      <c r="B12" s="339">
        <f>+'MMW Output'!C31</f>
        <v>0</v>
      </c>
      <c r="C12" s="339">
        <f>+'MMW Output'!D31</f>
        <v>0</v>
      </c>
      <c r="D12" s="339">
        <f>+'MMW Output'!E31</f>
        <v>0</v>
      </c>
      <c r="E12" s="349">
        <f>+'MMW Output'!F31</f>
        <v>0</v>
      </c>
      <c r="F12" s="285"/>
      <c r="G12" s="356">
        <f t="shared" si="0"/>
        <v>0</v>
      </c>
      <c r="H12" s="275"/>
      <c r="I12" s="280" t="s">
        <v>279</v>
      </c>
      <c r="J12" s="280">
        <f>(J10/J9)*G4*J11</f>
        <v>8781600.8760114517</v>
      </c>
      <c r="K12" s="280">
        <f>(J10/J9)*D4*K11</f>
        <v>8474.3300610687038</v>
      </c>
      <c r="L12" s="280">
        <f>(J10/J9)*E4*L11</f>
        <v>10028.738919847328</v>
      </c>
    </row>
    <row r="13" spans="1:14" ht="19.5" customHeight="1">
      <c r="A13" s="281" t="s">
        <v>19</v>
      </c>
      <c r="B13" s="338">
        <f>+'MMW Output'!C32</f>
        <v>2000</v>
      </c>
      <c r="C13" s="338">
        <f>+'MMW Output'!D32</f>
        <v>9.8619727500000014</v>
      </c>
      <c r="D13" s="338">
        <f>+'MMW Output'!E32</f>
        <v>532.94849999999997</v>
      </c>
      <c r="E13" s="345">
        <f>+'MMW Output'!F32</f>
        <v>59.975999999999999</v>
      </c>
      <c r="F13" s="282"/>
      <c r="G13" s="354">
        <f t="shared" si="0"/>
        <v>19723.945500000002</v>
      </c>
      <c r="H13" s="275"/>
    </row>
    <row r="14" spans="1:14" ht="22.5" customHeight="1">
      <c r="A14" s="283" t="s">
        <v>20</v>
      </c>
      <c r="B14" s="339">
        <f>+'MMW Output'!C33</f>
        <v>293.82716049382714</v>
      </c>
      <c r="C14" s="339">
        <f>+'MMW Output'!D33</f>
        <v>7.9404254999999999</v>
      </c>
      <c r="D14" s="339">
        <f>+'MMW Output'!E33</f>
        <v>327.88349999999997</v>
      </c>
      <c r="E14" s="345">
        <f>+'MMW Output'!F33</f>
        <v>33.736499999999999</v>
      </c>
      <c r="G14" s="355">
        <f t="shared" si="0"/>
        <v>15880.851000000001</v>
      </c>
      <c r="H14" s="275"/>
      <c r="I14" s="276" t="s">
        <v>200</v>
      </c>
      <c r="N14" s="280" t="s">
        <v>201</v>
      </c>
    </row>
    <row r="15" spans="1:14" ht="15.75" customHeight="1">
      <c r="A15" s="283" t="s">
        <v>21</v>
      </c>
      <c r="B15" s="339">
        <f>+'MMW Output'!C34</f>
        <v>79.012345679012341</v>
      </c>
      <c r="C15" s="339">
        <f>+'MMW Output'!D34</f>
        <v>2.1564900000000002</v>
      </c>
      <c r="D15" s="339">
        <f>+'MMW Output'!E34</f>
        <v>89.081999999999994</v>
      </c>
      <c r="E15" s="345">
        <f>+'MMW Output'!F34</f>
        <v>9.261000000000001</v>
      </c>
      <c r="G15" s="355">
        <f t="shared" si="0"/>
        <v>4312.9800000000005</v>
      </c>
      <c r="H15" s="275"/>
      <c r="I15" s="273" t="s">
        <v>195</v>
      </c>
      <c r="J15" s="376">
        <f>B4</f>
        <v>323.45679012345676</v>
      </c>
      <c r="N15" s="280" t="s">
        <v>202</v>
      </c>
    </row>
    <row r="16" spans="1:14">
      <c r="A16" s="283" t="s">
        <v>22</v>
      </c>
      <c r="B16" s="339">
        <f>+'MMW Output'!C35</f>
        <v>0</v>
      </c>
      <c r="C16" s="339">
        <f>+'MMW Output'!D35</f>
        <v>0</v>
      </c>
      <c r="D16" s="339">
        <f>+'MMW Output'!E35</f>
        <v>0</v>
      </c>
      <c r="E16" s="345">
        <f>+'MMW Output'!F35</f>
        <v>0</v>
      </c>
      <c r="G16" s="355">
        <f t="shared" si="0"/>
        <v>0</v>
      </c>
      <c r="H16" s="275"/>
      <c r="I16" s="273" t="s">
        <v>203</v>
      </c>
      <c r="J16" s="376">
        <v>10</v>
      </c>
      <c r="N16" s="280" t="s">
        <v>204</v>
      </c>
    </row>
    <row r="17" spans="1:14">
      <c r="A17" s="283" t="s">
        <v>23</v>
      </c>
      <c r="B17" s="339">
        <f>+'MMW Output'!C36</f>
        <v>0</v>
      </c>
      <c r="C17" s="339">
        <f>+'MMW Output'!D36</f>
        <v>0</v>
      </c>
      <c r="D17" s="339">
        <f>+'MMW Output'!E36</f>
        <v>0</v>
      </c>
      <c r="E17" s="345">
        <f>+'MMW Output'!F36</f>
        <v>0</v>
      </c>
      <c r="G17" s="355">
        <f t="shared" si="0"/>
        <v>0</v>
      </c>
      <c r="H17" s="275"/>
      <c r="I17" s="273" t="s">
        <v>205</v>
      </c>
      <c r="J17" s="273">
        <f>(J16*5280*100)/43560</f>
        <v>121.21212121212122</v>
      </c>
    </row>
    <row r="18" spans="1:14">
      <c r="A18" s="284" t="s">
        <v>24</v>
      </c>
      <c r="B18" s="339">
        <f>+'MMW Output'!C37</f>
        <v>0</v>
      </c>
      <c r="C18" s="339">
        <f>+'MMW Output'!D37</f>
        <v>0</v>
      </c>
      <c r="D18" s="339">
        <f>+'MMW Output'!E37</f>
        <v>0</v>
      </c>
      <c r="E18" s="349">
        <f>+'MMW Output'!F37</f>
        <v>0</v>
      </c>
      <c r="F18" s="285"/>
      <c r="G18" s="356">
        <f t="shared" si="0"/>
        <v>0</v>
      </c>
      <c r="H18" s="275"/>
      <c r="I18" s="273" t="s">
        <v>197</v>
      </c>
      <c r="J18" s="273">
        <f>J17*2</f>
        <v>242.42424242424244</v>
      </c>
    </row>
    <row r="19" spans="1:14" ht="15" customHeight="1">
      <c r="A19" s="281" t="s">
        <v>25</v>
      </c>
      <c r="B19" s="340" t="s">
        <v>26</v>
      </c>
      <c r="C19" s="338">
        <f>+'MMW Output'!D38</f>
        <v>0</v>
      </c>
      <c r="D19" s="338">
        <f>+'MMW Output'!E38</f>
        <v>629.30700000000002</v>
      </c>
      <c r="E19" s="345">
        <f>+'MMW Output'!F38</f>
        <v>165.375</v>
      </c>
      <c r="F19" s="282"/>
      <c r="G19" s="354"/>
      <c r="H19" s="275"/>
      <c r="I19" s="273" t="s">
        <v>272</v>
      </c>
      <c r="J19" s="273">
        <v>0.54</v>
      </c>
      <c r="K19" s="312">
        <v>0.41</v>
      </c>
      <c r="L19" s="312">
        <v>0.4</v>
      </c>
    </row>
    <row r="20" spans="1:14" ht="15" customHeight="1">
      <c r="A20" s="283" t="s">
        <v>27</v>
      </c>
      <c r="B20" s="341" t="s">
        <v>26</v>
      </c>
      <c r="C20" s="339">
        <f>+'MMW Output'!D39</f>
        <v>0</v>
      </c>
      <c r="D20" s="339">
        <f>+'MMW Output'!E39</f>
        <v>0</v>
      </c>
      <c r="E20" s="345">
        <f>+'MMW Output'!F39</f>
        <v>0</v>
      </c>
      <c r="G20" s="355">
        <f>C20*2000</f>
        <v>0</v>
      </c>
      <c r="H20" s="275"/>
      <c r="I20" s="280" t="s">
        <v>279</v>
      </c>
      <c r="J20" s="280">
        <f>((J18/J15)*J19*G4)+(J17*(C31-C32))</f>
        <v>737608.07300353725</v>
      </c>
      <c r="K20" s="280">
        <f>((J18/J15)*K19*D4)+(J17*(D31-D32))</f>
        <v>2319.4389601788707</v>
      </c>
      <c r="L20" s="280">
        <f>((J18/J15)*L19*E4)+(J17*(E31-E32))</f>
        <v>993.1765655753527</v>
      </c>
    </row>
    <row r="21" spans="1:14" s="287" customFormat="1" ht="15" customHeight="1">
      <c r="A21" s="336" t="s">
        <v>206</v>
      </c>
      <c r="B21" s="342" t="s">
        <v>26</v>
      </c>
      <c r="C21" s="339">
        <f>+'MMW Output'!D40</f>
        <v>707.203035</v>
      </c>
      <c r="D21" s="339">
        <f>+'MMW Output'!E40</f>
        <v>813.64499999999998</v>
      </c>
      <c r="E21" s="345">
        <f>+'MMW Output'!F40</f>
        <v>476.28000000000003</v>
      </c>
      <c r="F21" s="313"/>
      <c r="G21" s="357">
        <f>C21*2000</f>
        <v>1414406.07</v>
      </c>
      <c r="H21" s="286"/>
      <c r="K21" s="313"/>
      <c r="L21" s="313"/>
    </row>
    <row r="22" spans="1:14" s="313" customFormat="1" ht="15" customHeight="1">
      <c r="A22" s="336" t="s">
        <v>29</v>
      </c>
      <c r="B22" s="342"/>
      <c r="C22" s="339">
        <f>+'MMW Output'!D41</f>
        <v>0</v>
      </c>
      <c r="D22" s="339">
        <f>+'MMW Output'!E41</f>
        <v>21699.846000000001</v>
      </c>
      <c r="E22" s="345">
        <f>+'MMW Output'!F41</f>
        <v>295.911</v>
      </c>
      <c r="G22" s="357"/>
      <c r="H22" s="286"/>
      <c r="I22" s="289" t="s">
        <v>208</v>
      </c>
      <c r="J22" s="287"/>
      <c r="M22" s="287"/>
      <c r="N22" s="287"/>
    </row>
    <row r="23" spans="1:14" s="313" customFormat="1" ht="15" customHeight="1">
      <c r="A23" s="336" t="s">
        <v>30</v>
      </c>
      <c r="B23" s="342"/>
      <c r="C23" s="339">
        <f>+'MMW Output'!D42</f>
        <v>0</v>
      </c>
      <c r="D23" s="339">
        <f>+'MMW Output'!E42</f>
        <v>495.46350000000001</v>
      </c>
      <c r="E23" s="345">
        <f>+'MMW Output'!F42</f>
        <v>352.8</v>
      </c>
      <c r="G23" s="357"/>
      <c r="H23" s="286"/>
      <c r="I23" s="273"/>
      <c r="J23" s="273"/>
      <c r="K23" s="312"/>
      <c r="L23" s="312"/>
      <c r="M23" s="273"/>
      <c r="N23" s="273"/>
    </row>
    <row r="24" spans="1:14" s="313" customFormat="1" ht="15" customHeight="1" thickBot="1">
      <c r="A24" s="336" t="s">
        <v>31</v>
      </c>
      <c r="B24" s="342"/>
      <c r="C24" s="339">
        <f>+'MMW Output'!D43</f>
        <v>0</v>
      </c>
      <c r="D24" s="339">
        <f>+'MMW Output'!E43</f>
        <v>920.14650000000006</v>
      </c>
      <c r="E24" s="349">
        <f>+'MMW Output'!F43</f>
        <v>0</v>
      </c>
      <c r="G24" s="357"/>
      <c r="H24" s="286"/>
      <c r="I24" s="299" t="s">
        <v>266</v>
      </c>
      <c r="J24" s="298"/>
      <c r="K24" s="298"/>
      <c r="L24" s="298"/>
      <c r="M24" s="273"/>
      <c r="N24" s="273"/>
    </row>
    <row r="25" spans="1:14" s="287" customFormat="1" ht="15" customHeight="1" thickBot="1">
      <c r="A25" s="288" t="s">
        <v>207</v>
      </c>
      <c r="B25" s="343">
        <f>SUM(B3:B21)</f>
        <v>4469.1358024691353</v>
      </c>
      <c r="C25" s="343">
        <f t="shared" ref="C25" si="1">SUM(C3:C21)</f>
        <v>1376.0343292499999</v>
      </c>
      <c r="D25" s="343">
        <f>SUM(D3:D24)</f>
        <v>30911.233500000002</v>
      </c>
      <c r="E25" s="350">
        <f>SUM(E3:E24)</f>
        <v>3784.2210000000005</v>
      </c>
      <c r="F25" s="347"/>
      <c r="G25" s="346">
        <f>SUM(G3:G21)</f>
        <v>2752068.6584999999</v>
      </c>
      <c r="H25" s="286"/>
      <c r="I25" s="273" t="s">
        <v>214</v>
      </c>
      <c r="J25" s="298">
        <v>500</v>
      </c>
      <c r="K25" s="298"/>
      <c r="L25" s="298"/>
      <c r="M25" s="273"/>
      <c r="N25" s="273"/>
    </row>
    <row r="26" spans="1:14" ht="15" customHeight="1">
      <c r="A26" s="496" t="s">
        <v>209</v>
      </c>
      <c r="B26" s="497"/>
      <c r="C26" s="497"/>
      <c r="H26" s="275"/>
      <c r="I26" s="273" t="s">
        <v>215</v>
      </c>
      <c r="J26" s="298">
        <v>115</v>
      </c>
      <c r="K26" s="373">
        <v>0.192</v>
      </c>
      <c r="L26" s="373">
        <v>0.17399999999999999</v>
      </c>
    </row>
    <row r="27" spans="1:14" s="287" customFormat="1" ht="15" customHeight="1">
      <c r="A27" s="498" t="s">
        <v>307</v>
      </c>
      <c r="B27" s="499"/>
      <c r="C27" s="499"/>
      <c r="D27" s="290"/>
      <c r="E27" s="290"/>
      <c r="G27" s="290"/>
      <c r="H27" s="286"/>
      <c r="I27" s="273" t="s">
        <v>274</v>
      </c>
      <c r="J27" s="298">
        <f>J25*J26</f>
        <v>57500</v>
      </c>
      <c r="K27" s="298">
        <f>J25*K26</f>
        <v>96</v>
      </c>
      <c r="L27" s="298">
        <f>J25*L26</f>
        <v>87</v>
      </c>
      <c r="M27" s="273"/>
      <c r="N27" s="273"/>
    </row>
    <row r="28" spans="1:14" s="287" customFormat="1" ht="15" customHeight="1" thickBot="1">
      <c r="A28" s="291" t="s">
        <v>210</v>
      </c>
      <c r="B28" s="291" t="s">
        <v>211</v>
      </c>
      <c r="C28" s="290"/>
      <c r="D28" s="290"/>
      <c r="E28" s="290"/>
      <c r="G28" s="290"/>
      <c r="H28" s="286"/>
      <c r="I28" s="273"/>
      <c r="J28" s="298"/>
      <c r="K28" s="298"/>
      <c r="L28" s="298"/>
      <c r="M28" s="273"/>
      <c r="N28" s="273"/>
    </row>
    <row r="29" spans="1:14" s="287" customFormat="1" ht="29.25" customHeight="1" thickBot="1">
      <c r="A29" s="292" t="s">
        <v>212</v>
      </c>
      <c r="B29" s="293">
        <f>SUM(B30:B39)</f>
        <v>2096.2962962962961</v>
      </c>
      <c r="C29" s="294" t="s">
        <v>213</v>
      </c>
      <c r="D29" s="294" t="s">
        <v>282</v>
      </c>
      <c r="E29" s="294" t="s">
        <v>283</v>
      </c>
      <c r="F29" s="295"/>
      <c r="G29" s="294"/>
      <c r="H29" s="286"/>
      <c r="I29" s="351" t="s">
        <v>267</v>
      </c>
      <c r="K29" s="313"/>
      <c r="L29" s="313"/>
    </row>
    <row r="30" spans="1:14" s="287" customFormat="1" ht="15" customHeight="1">
      <c r="A30" s="296" t="s">
        <v>9</v>
      </c>
      <c r="B30" s="297">
        <f t="shared" ref="B30:B39" si="2">B3</f>
        <v>1180.2469135802469</v>
      </c>
      <c r="C30" s="287">
        <f>G3/B30</f>
        <v>286.70698402719665</v>
      </c>
      <c r="D30" s="287">
        <f>D3/B30</f>
        <v>1.4783487081589959</v>
      </c>
      <c r="E30" s="287">
        <f>E3/B30</f>
        <v>0.7566425209205021</v>
      </c>
      <c r="G30" s="290"/>
      <c r="H30" s="286"/>
      <c r="I30" s="287" t="s">
        <v>268</v>
      </c>
      <c r="J30" s="287">
        <v>0.1</v>
      </c>
      <c r="K30" s="313"/>
      <c r="L30" s="313"/>
    </row>
    <row r="31" spans="1:14" s="287" customFormat="1">
      <c r="A31" s="296" t="s">
        <v>10</v>
      </c>
      <c r="B31" s="297">
        <f t="shared" si="2"/>
        <v>323.45679012345676</v>
      </c>
      <c r="C31" s="313">
        <f t="shared" ref="C31:C39" si="3">G4/B31</f>
        <v>2927.2002920038171</v>
      </c>
      <c r="D31" s="313">
        <f t="shared" ref="D31:D39" si="4">D4/B31</f>
        <v>10.59291257633588</v>
      </c>
      <c r="E31" s="313">
        <f t="shared" ref="E31:E39" si="5">E4/B31</f>
        <v>4.5585176908396949</v>
      </c>
      <c r="G31" s="290"/>
      <c r="H31" s="286"/>
      <c r="I31" s="287" t="s">
        <v>273</v>
      </c>
      <c r="J31" s="287">
        <f>J30*J27</f>
        <v>5750</v>
      </c>
      <c r="K31" s="313">
        <f>J30*K27</f>
        <v>9.6000000000000014</v>
      </c>
      <c r="L31" s="313">
        <f>J30*L27</f>
        <v>8.7000000000000011</v>
      </c>
    </row>
    <row r="32" spans="1:14" s="287" customFormat="1" ht="15" customHeight="1">
      <c r="A32" s="296" t="s">
        <v>11</v>
      </c>
      <c r="B32" s="297">
        <f t="shared" si="2"/>
        <v>417.28395061728395</v>
      </c>
      <c r="C32" s="313">
        <f t="shared" si="3"/>
        <v>3.3100050887573964</v>
      </c>
      <c r="D32" s="313">
        <f t="shared" si="4"/>
        <v>0.14372946745562129</v>
      </c>
      <c r="E32" s="313">
        <f t="shared" si="5"/>
        <v>1.1625177514792901E-2</v>
      </c>
      <c r="G32" s="290"/>
      <c r="H32" s="286"/>
      <c r="K32" s="313"/>
      <c r="L32" s="313"/>
    </row>
    <row r="33" spans="1:14" s="287" customFormat="1" ht="15" customHeight="1">
      <c r="A33" s="296" t="s">
        <v>12</v>
      </c>
      <c r="B33" s="297">
        <f t="shared" si="2"/>
        <v>14.814814814814813</v>
      </c>
      <c r="C33" s="313">
        <f t="shared" si="3"/>
        <v>4.4353575000000003</v>
      </c>
      <c r="D33" s="313">
        <f t="shared" si="4"/>
        <v>0.41674500000000003</v>
      </c>
      <c r="E33" s="313">
        <f t="shared" si="5"/>
        <v>2.9767500000000006E-2</v>
      </c>
      <c r="G33" s="290"/>
      <c r="H33" s="286"/>
      <c r="I33" s="280" t="s">
        <v>275</v>
      </c>
      <c r="J33" s="300">
        <f>J27+J31</f>
        <v>63250</v>
      </c>
      <c r="K33" s="300">
        <f t="shared" ref="K33:L33" si="6">K27+K31</f>
        <v>105.6</v>
      </c>
      <c r="L33" s="300">
        <f t="shared" si="6"/>
        <v>95.7</v>
      </c>
      <c r="M33" s="273"/>
      <c r="N33" s="273"/>
    </row>
    <row r="34" spans="1:14" s="287" customFormat="1" ht="15" customHeight="1">
      <c r="A34" s="296" t="s">
        <v>13</v>
      </c>
      <c r="B34" s="297">
        <f t="shared" si="2"/>
        <v>0</v>
      </c>
      <c r="C34" s="313" t="e">
        <f t="shared" si="3"/>
        <v>#DIV/0!</v>
      </c>
      <c r="D34" s="313" t="e">
        <f t="shared" si="4"/>
        <v>#DIV/0!</v>
      </c>
      <c r="E34" s="313" t="e">
        <f t="shared" si="5"/>
        <v>#DIV/0!</v>
      </c>
      <c r="G34" s="290"/>
      <c r="H34" s="286"/>
      <c r="I34" s="273"/>
      <c r="J34" s="298"/>
      <c r="K34" s="298"/>
      <c r="L34" s="298"/>
      <c r="M34" s="273"/>
      <c r="N34" s="273"/>
    </row>
    <row r="35" spans="1:14" s="287" customFormat="1" ht="15" customHeight="1">
      <c r="A35" s="296" t="s">
        <v>14</v>
      </c>
      <c r="B35" s="297">
        <f t="shared" si="2"/>
        <v>0</v>
      </c>
      <c r="C35" s="313" t="e">
        <f t="shared" si="3"/>
        <v>#DIV/0!</v>
      </c>
      <c r="D35" s="313" t="e">
        <f t="shared" si="4"/>
        <v>#DIV/0!</v>
      </c>
      <c r="E35" s="313" t="e">
        <f t="shared" si="5"/>
        <v>#DIV/0!</v>
      </c>
      <c r="G35" s="290"/>
      <c r="H35" s="286"/>
      <c r="I35" s="276" t="s">
        <v>217</v>
      </c>
      <c r="J35" s="298"/>
      <c r="K35" s="298"/>
      <c r="L35" s="298"/>
      <c r="M35" s="273"/>
      <c r="N35" s="273"/>
    </row>
    <row r="36" spans="1:14" s="287" customFormat="1" ht="15" customHeight="1">
      <c r="A36" s="296" t="s">
        <v>15</v>
      </c>
      <c r="B36" s="297">
        <f t="shared" si="2"/>
        <v>111.1111111111111</v>
      </c>
      <c r="C36" s="313">
        <f t="shared" si="3"/>
        <v>98.699107500000025</v>
      </c>
      <c r="D36" s="313">
        <f t="shared" si="4"/>
        <v>1.2204675000000003</v>
      </c>
      <c r="E36" s="313">
        <f t="shared" si="5"/>
        <v>0.15280650000000001</v>
      </c>
      <c r="G36" s="290"/>
      <c r="H36" s="286"/>
      <c r="I36" s="273" t="s">
        <v>195</v>
      </c>
      <c r="J36" s="298">
        <f>B3</f>
        <v>1180.2469135802469</v>
      </c>
      <c r="K36" s="298"/>
      <c r="L36" s="298"/>
      <c r="M36" s="273"/>
      <c r="N36" s="273"/>
    </row>
    <row r="37" spans="1:14" s="287" customFormat="1" ht="15" customHeight="1">
      <c r="A37" s="296" t="s">
        <v>16</v>
      </c>
      <c r="B37" s="297">
        <f t="shared" si="2"/>
        <v>49.382716049382715</v>
      </c>
      <c r="C37" s="313">
        <f t="shared" si="3"/>
        <v>2.50047</v>
      </c>
      <c r="D37" s="313">
        <f t="shared" si="4"/>
        <v>0.60725700000000005</v>
      </c>
      <c r="E37" s="313">
        <f t="shared" si="5"/>
        <v>2.2325625000000002E-2</v>
      </c>
      <c r="G37" s="290"/>
      <c r="H37" s="286"/>
      <c r="I37" s="273" t="s">
        <v>197</v>
      </c>
      <c r="J37" s="298">
        <v>480</v>
      </c>
      <c r="K37" s="298"/>
      <c r="L37" s="298"/>
      <c r="M37" s="273"/>
      <c r="N37" s="273"/>
    </row>
    <row r="38" spans="1:14" s="287" customFormat="1" ht="15" customHeight="1">
      <c r="A38" s="296" t="s">
        <v>17</v>
      </c>
      <c r="B38" s="297">
        <f t="shared" si="2"/>
        <v>0</v>
      </c>
      <c r="C38" s="313" t="e">
        <f t="shared" si="3"/>
        <v>#DIV/0!</v>
      </c>
      <c r="D38" s="313" t="e">
        <f t="shared" si="4"/>
        <v>#DIV/0!</v>
      </c>
      <c r="E38" s="313" t="e">
        <f t="shared" si="5"/>
        <v>#DIV/0!</v>
      </c>
      <c r="G38" s="290"/>
      <c r="H38" s="286"/>
      <c r="I38" s="273" t="s">
        <v>218</v>
      </c>
      <c r="J38" s="298">
        <v>0.3</v>
      </c>
      <c r="K38" s="298">
        <v>0.3</v>
      </c>
      <c r="L38" s="298">
        <v>0.3</v>
      </c>
      <c r="M38" s="273"/>
      <c r="N38" s="273"/>
    </row>
    <row r="39" spans="1:14" ht="16" thickBot="1">
      <c r="A39" s="296" t="s">
        <v>18</v>
      </c>
      <c r="B39" s="360">
        <f t="shared" si="2"/>
        <v>0</v>
      </c>
      <c r="C39" s="313" t="e">
        <f t="shared" si="3"/>
        <v>#DIV/0!</v>
      </c>
      <c r="D39" s="313" t="e">
        <f t="shared" si="4"/>
        <v>#DIV/0!</v>
      </c>
      <c r="E39" s="313" t="e">
        <f t="shared" si="5"/>
        <v>#DIV/0!</v>
      </c>
      <c r="H39" s="275"/>
      <c r="I39" s="280" t="s">
        <v>279</v>
      </c>
      <c r="J39" s="300">
        <f>(J37/J36)*J38*G3</f>
        <v>41285.805699916316</v>
      </c>
      <c r="K39" s="300">
        <f>(J37/J36)*K38*D3</f>
        <v>212.88221397489539</v>
      </c>
      <c r="L39" s="300">
        <f>(J37/J36)*L38*E3</f>
        <v>108.95652301255231</v>
      </c>
    </row>
    <row r="40" spans="1:14" s="312" customFormat="1" ht="31.5" customHeight="1">
      <c r="A40" s="359"/>
      <c r="B40" s="313"/>
      <c r="C40" s="274"/>
      <c r="D40" s="274"/>
      <c r="E40" s="274"/>
      <c r="G40" s="274"/>
      <c r="H40" s="275"/>
      <c r="J40" s="298"/>
      <c r="K40" s="298"/>
      <c r="L40" s="298"/>
    </row>
    <row r="41" spans="1:14">
      <c r="A41" s="312"/>
      <c r="B41" s="312"/>
      <c r="F41" s="312"/>
      <c r="H41" s="275"/>
      <c r="I41" s="276" t="s">
        <v>219</v>
      </c>
      <c r="J41" s="298"/>
      <c r="K41" s="298"/>
      <c r="L41" s="298"/>
    </row>
    <row r="42" spans="1:14">
      <c r="A42" s="312"/>
      <c r="B42" s="312"/>
      <c r="C42" s="280" t="s">
        <v>288</v>
      </c>
      <c r="D42" s="280">
        <v>20000</v>
      </c>
      <c r="E42" s="363" t="s">
        <v>287</v>
      </c>
      <c r="F42" s="312"/>
      <c r="H42" s="275"/>
      <c r="I42" s="273" t="s">
        <v>195</v>
      </c>
      <c r="J42" s="298">
        <f>B4</f>
        <v>323.45679012345676</v>
      </c>
      <c r="K42" s="298"/>
      <c r="L42" s="298"/>
    </row>
    <row r="43" spans="1:14">
      <c r="A43" s="312"/>
      <c r="B43" s="312"/>
      <c r="C43" s="280" t="s">
        <v>216</v>
      </c>
      <c r="D43" s="280">
        <v>11000</v>
      </c>
      <c r="E43" s="363" t="s">
        <v>287</v>
      </c>
      <c r="F43" s="312"/>
      <c r="H43" s="275"/>
      <c r="I43" s="273" t="s">
        <v>220</v>
      </c>
      <c r="J43" s="298">
        <v>200</v>
      </c>
      <c r="K43" s="298"/>
      <c r="L43" s="298"/>
    </row>
    <row r="44" spans="1:14">
      <c r="A44" s="312"/>
      <c r="B44" s="312"/>
      <c r="C44" s="280"/>
      <c r="D44" s="280"/>
      <c r="E44" s="363"/>
      <c r="F44" s="312"/>
      <c r="H44" s="275"/>
      <c r="I44" s="280" t="s">
        <v>279</v>
      </c>
      <c r="J44" s="300">
        <f>(C31-C32)*J43</f>
        <v>584778.05738301191</v>
      </c>
      <c r="K44" s="300">
        <f>(D31-D32)*J43</f>
        <v>2089.8366217760517</v>
      </c>
      <c r="L44" s="300">
        <f>(E31-E32)*J43</f>
        <v>909.37850266498049</v>
      </c>
    </row>
    <row r="45" spans="1:14">
      <c r="A45" s="312"/>
      <c r="B45" s="312"/>
      <c r="C45" s="280"/>
      <c r="D45" s="280"/>
      <c r="F45" s="312"/>
      <c r="H45" s="275"/>
      <c r="J45" s="298"/>
      <c r="K45" s="298"/>
      <c r="L45" s="298"/>
    </row>
    <row r="46" spans="1:14">
      <c r="A46" s="312"/>
      <c r="B46" s="312"/>
      <c r="F46" s="312"/>
      <c r="H46" s="275"/>
      <c r="I46" s="276" t="s">
        <v>221</v>
      </c>
      <c r="J46" s="298"/>
      <c r="K46" s="298"/>
      <c r="L46" s="298"/>
    </row>
    <row r="47" spans="1:14">
      <c r="A47" s="313"/>
      <c r="B47" s="313"/>
      <c r="F47" s="312"/>
      <c r="H47" s="275"/>
      <c r="I47" s="273" t="s">
        <v>222</v>
      </c>
      <c r="J47" s="298">
        <f>D42</f>
        <v>20000</v>
      </c>
      <c r="K47" s="298"/>
      <c r="L47" s="298"/>
    </row>
    <row r="48" spans="1:14">
      <c r="A48" s="313"/>
      <c r="B48" s="313"/>
      <c r="F48" s="312"/>
      <c r="H48" s="275"/>
      <c r="I48" s="273" t="s">
        <v>214</v>
      </c>
      <c r="J48" s="298">
        <v>10000</v>
      </c>
      <c r="K48" s="298"/>
      <c r="L48" s="298"/>
    </row>
    <row r="49" spans="1:12">
      <c r="A49" s="313"/>
      <c r="B49" s="313"/>
      <c r="F49" s="312"/>
      <c r="H49" s="275"/>
      <c r="I49" s="273" t="s">
        <v>223</v>
      </c>
      <c r="J49" s="298">
        <v>115</v>
      </c>
      <c r="K49" s="298">
        <v>0.192</v>
      </c>
      <c r="L49" s="298">
        <v>0.17399999999999999</v>
      </c>
    </row>
    <row r="50" spans="1:12">
      <c r="A50" s="312"/>
      <c r="B50" s="313"/>
      <c r="F50" s="312"/>
      <c r="H50" s="275"/>
      <c r="I50" s="280" t="s">
        <v>279</v>
      </c>
      <c r="J50" s="300">
        <f>J48*J49</f>
        <v>1150000</v>
      </c>
      <c r="K50" s="300">
        <f>J48*K49</f>
        <v>1920</v>
      </c>
      <c r="L50" s="300">
        <f>J48*L49</f>
        <v>1739.9999999999998</v>
      </c>
    </row>
    <row r="51" spans="1:12">
      <c r="A51" s="312"/>
      <c r="B51" s="312"/>
      <c r="C51" s="312"/>
      <c r="D51" s="312"/>
      <c r="E51" s="312"/>
      <c r="F51" s="312"/>
      <c r="G51" s="312"/>
      <c r="H51" s="275"/>
      <c r="I51" s="280"/>
      <c r="J51" s="300"/>
      <c r="K51" s="300"/>
      <c r="L51" s="300"/>
    </row>
    <row r="52" spans="1:12">
      <c r="A52" s="312"/>
      <c r="B52" s="312"/>
      <c r="C52" s="312"/>
      <c r="D52" s="312"/>
      <c r="E52" s="312"/>
      <c r="F52" s="312"/>
      <c r="G52" s="312"/>
      <c r="H52" s="275"/>
      <c r="I52" s="301" t="s">
        <v>224</v>
      </c>
      <c r="J52" s="300"/>
      <c r="K52" s="300"/>
      <c r="L52" s="300"/>
    </row>
    <row r="53" spans="1:12">
      <c r="B53" s="273"/>
      <c r="C53" s="273"/>
      <c r="D53" s="273"/>
      <c r="E53" s="273"/>
      <c r="G53" s="273"/>
      <c r="H53" s="275"/>
      <c r="I53" s="302" t="s">
        <v>195</v>
      </c>
      <c r="J53" s="303">
        <f>B4</f>
        <v>323.45679012345676</v>
      </c>
      <c r="K53" s="303"/>
      <c r="L53" s="303"/>
    </row>
    <row r="54" spans="1:12">
      <c r="B54" s="273"/>
      <c r="E54" s="273"/>
      <c r="G54" s="273"/>
      <c r="H54" s="275"/>
      <c r="I54" s="302" t="s">
        <v>197</v>
      </c>
      <c r="J54" s="303">
        <v>1000</v>
      </c>
      <c r="K54" s="303"/>
      <c r="L54" s="303"/>
    </row>
    <row r="55" spans="1:12">
      <c r="B55" s="273"/>
      <c r="E55" s="273"/>
      <c r="G55" s="273"/>
      <c r="H55" s="275"/>
      <c r="I55" s="302" t="s">
        <v>272</v>
      </c>
      <c r="J55" s="303">
        <v>0.16</v>
      </c>
      <c r="K55" s="303">
        <v>0.05</v>
      </c>
      <c r="L55" s="303">
        <v>0.1</v>
      </c>
    </row>
    <row r="56" spans="1:12">
      <c r="B56" s="273"/>
      <c r="E56" s="273"/>
      <c r="G56" s="273"/>
      <c r="H56" s="275"/>
      <c r="I56" s="280" t="s">
        <v>279</v>
      </c>
      <c r="J56" s="300">
        <f>(J54/J53)*J55*G4</f>
        <v>468352.04672061076</v>
      </c>
      <c r="K56" s="300">
        <f>(J54/J53)*K55*D4</f>
        <v>529.64562881679399</v>
      </c>
      <c r="L56" s="300">
        <f>(J54/J53)*L55*E4</f>
        <v>455.85176908396949</v>
      </c>
    </row>
    <row r="57" spans="1:12">
      <c r="B57" s="273"/>
      <c r="E57" s="273"/>
      <c r="G57" s="273"/>
      <c r="H57" s="275"/>
      <c r="I57" s="280"/>
      <c r="J57" s="300"/>
      <c r="K57" s="300"/>
      <c r="L57" s="300"/>
    </row>
    <row r="58" spans="1:12">
      <c r="B58" s="273"/>
      <c r="C58" s="273"/>
      <c r="D58" s="273"/>
      <c r="E58" s="273"/>
      <c r="G58" s="273"/>
      <c r="H58" s="275"/>
      <c r="I58" s="301" t="s">
        <v>225</v>
      </c>
      <c r="J58" s="300"/>
      <c r="K58" s="300"/>
      <c r="L58" s="300"/>
    </row>
    <row r="59" spans="1:12">
      <c r="B59" s="273"/>
      <c r="C59" s="273"/>
      <c r="D59" s="273"/>
      <c r="E59" s="273"/>
      <c r="G59" s="273"/>
      <c r="H59" s="275"/>
      <c r="I59" s="302" t="s">
        <v>222</v>
      </c>
      <c r="J59" s="303">
        <f>D43</f>
        <v>11000</v>
      </c>
      <c r="K59" s="303"/>
      <c r="L59" s="303"/>
    </row>
    <row r="60" spans="1:12">
      <c r="A60" s="304"/>
      <c r="B60" s="273"/>
      <c r="C60" s="273"/>
      <c r="D60" s="273"/>
      <c r="E60" s="273"/>
      <c r="G60" s="273"/>
      <c r="H60" s="275"/>
      <c r="I60" s="302" t="s">
        <v>226</v>
      </c>
      <c r="J60" s="303">
        <v>5280</v>
      </c>
      <c r="K60" s="303"/>
      <c r="L60" s="303"/>
    </row>
    <row r="61" spans="1:12">
      <c r="B61" s="273"/>
      <c r="C61" s="273"/>
      <c r="D61" s="273"/>
      <c r="E61" s="273"/>
      <c r="G61" s="273"/>
      <c r="H61" s="275"/>
      <c r="I61" s="302" t="s">
        <v>278</v>
      </c>
      <c r="J61" s="303">
        <v>2.5499999999999998</v>
      </c>
      <c r="K61" s="303">
        <v>0.02</v>
      </c>
      <c r="L61" s="361">
        <v>3.5000000000000001E-3</v>
      </c>
    </row>
    <row r="62" spans="1:12">
      <c r="B62" s="273"/>
      <c r="C62" s="273"/>
      <c r="D62" s="273"/>
      <c r="E62" s="273"/>
      <c r="G62" s="273"/>
      <c r="H62" s="275"/>
      <c r="I62" s="280" t="s">
        <v>279</v>
      </c>
      <c r="J62" s="300">
        <f>J60*J61</f>
        <v>13463.999999999998</v>
      </c>
      <c r="K62" s="300">
        <f>J60*K61</f>
        <v>105.60000000000001</v>
      </c>
      <c r="L62" s="300">
        <f>J60*L61</f>
        <v>18.48</v>
      </c>
    </row>
    <row r="63" spans="1:12">
      <c r="B63" s="273"/>
      <c r="C63" s="273"/>
      <c r="D63" s="273"/>
      <c r="E63" s="273"/>
      <c r="G63" s="273"/>
      <c r="H63" s="275"/>
      <c r="I63" s="280"/>
      <c r="J63" s="300"/>
      <c r="K63" s="300"/>
      <c r="L63" s="300"/>
    </row>
    <row r="64" spans="1:12">
      <c r="B64" s="273"/>
      <c r="C64" s="273"/>
      <c r="D64" s="273"/>
      <c r="E64" s="273"/>
      <c r="G64" s="273"/>
      <c r="H64" s="275"/>
      <c r="I64" s="276" t="s">
        <v>227</v>
      </c>
      <c r="J64" s="298"/>
      <c r="K64" s="298"/>
      <c r="L64" s="298"/>
    </row>
    <row r="65" spans="2:12" s="312" customFormat="1">
      <c r="H65" s="275"/>
      <c r="I65" s="299" t="s">
        <v>277</v>
      </c>
      <c r="J65" s="298"/>
      <c r="K65" s="298"/>
      <c r="L65" s="298"/>
    </row>
    <row r="66" spans="2:12" s="312" customFormat="1">
      <c r="H66" s="275"/>
      <c r="I66" s="358" t="s">
        <v>195</v>
      </c>
      <c r="J66" s="298">
        <f>B4</f>
        <v>323.45679012345676</v>
      </c>
      <c r="K66" s="298"/>
      <c r="L66" s="298"/>
    </row>
    <row r="67" spans="2:12" s="312" customFormat="1">
      <c r="H67" s="275"/>
      <c r="I67" s="358" t="s">
        <v>197</v>
      </c>
      <c r="J67" s="298">
        <v>10000</v>
      </c>
      <c r="K67" s="298"/>
      <c r="L67" s="298"/>
    </row>
    <row r="68" spans="2:12" s="312" customFormat="1">
      <c r="H68" s="275"/>
      <c r="I68" s="358" t="s">
        <v>272</v>
      </c>
      <c r="J68" s="298">
        <v>0</v>
      </c>
      <c r="K68" s="298">
        <v>0.28999999999999998</v>
      </c>
      <c r="L68" s="298">
        <v>0.44</v>
      </c>
    </row>
    <row r="69" spans="2:12" s="312" customFormat="1">
      <c r="H69" s="275"/>
      <c r="I69" s="312" t="s">
        <v>279</v>
      </c>
      <c r="J69" s="298"/>
      <c r="K69" s="298">
        <f>(J67/J66)*D4*K68</f>
        <v>30719.446471374049</v>
      </c>
      <c r="L69" s="298">
        <f>(J67/J66)*E4*L68</f>
        <v>20057.477839694657</v>
      </c>
    </row>
    <row r="70" spans="2:12" s="312" customFormat="1">
      <c r="H70" s="275"/>
      <c r="I70" s="353"/>
      <c r="J70" s="298"/>
      <c r="K70" s="298"/>
      <c r="L70" s="298"/>
    </row>
    <row r="71" spans="2:12" s="312" customFormat="1">
      <c r="H71" s="275"/>
      <c r="I71" s="299" t="s">
        <v>280</v>
      </c>
      <c r="J71" s="298"/>
      <c r="K71" s="298"/>
      <c r="L71" s="298"/>
    </row>
    <row r="72" spans="2:12" s="312" customFormat="1">
      <c r="H72" s="275"/>
      <c r="I72" s="358" t="s">
        <v>272</v>
      </c>
      <c r="J72" s="298">
        <v>0</v>
      </c>
      <c r="K72" s="298">
        <v>0.15</v>
      </c>
      <c r="L72" s="298">
        <v>0.1</v>
      </c>
    </row>
    <row r="73" spans="2:12" s="312" customFormat="1">
      <c r="H73" s="275"/>
      <c r="I73" s="358" t="s">
        <v>279</v>
      </c>
      <c r="J73" s="298">
        <v>0</v>
      </c>
      <c r="K73" s="298">
        <f>(J67/J66)*D22*K72</f>
        <v>100630.96522900765</v>
      </c>
      <c r="L73" s="298">
        <f>(J67/J66)*E22*L72</f>
        <v>914.83935114503822</v>
      </c>
    </row>
    <row r="74" spans="2:12" s="312" customFormat="1">
      <c r="H74" s="275"/>
      <c r="I74" s="353"/>
      <c r="J74" s="298"/>
      <c r="K74" s="298"/>
      <c r="L74" s="298"/>
    </row>
    <row r="75" spans="2:12" s="312" customFormat="1">
      <c r="H75" s="275"/>
      <c r="I75" s="280" t="s">
        <v>281</v>
      </c>
      <c r="J75" s="300">
        <v>0</v>
      </c>
      <c r="K75" s="300">
        <f>K69+K73</f>
        <v>131350.41170038169</v>
      </c>
      <c r="L75" s="300">
        <f>L69+L73</f>
        <v>20972.317190839694</v>
      </c>
    </row>
    <row r="76" spans="2:12" s="312" customFormat="1">
      <c r="H76" s="275"/>
      <c r="I76" s="353"/>
      <c r="J76" s="298"/>
      <c r="K76" s="298"/>
      <c r="L76" s="298"/>
    </row>
    <row r="77" spans="2:12">
      <c r="B77" s="273"/>
      <c r="C77" s="273"/>
      <c r="D77" s="273"/>
      <c r="E77" s="273"/>
      <c r="G77" s="273"/>
      <c r="H77" s="275"/>
      <c r="J77" s="298"/>
      <c r="K77" s="298"/>
      <c r="L77" s="298"/>
    </row>
    <row r="78" spans="2:12">
      <c r="B78" s="273"/>
      <c r="C78" s="273"/>
      <c r="D78" s="273"/>
      <c r="E78" s="273"/>
      <c r="G78" s="273"/>
      <c r="H78" s="275"/>
      <c r="I78" s="276" t="s">
        <v>228</v>
      </c>
      <c r="J78" s="298"/>
      <c r="K78" s="298"/>
      <c r="L78" s="298"/>
    </row>
    <row r="79" spans="2:12">
      <c r="B79" s="273"/>
      <c r="C79" s="273"/>
      <c r="D79" s="273"/>
      <c r="E79" s="273"/>
      <c r="G79" s="273"/>
      <c r="H79" s="275"/>
      <c r="I79" s="273" t="s">
        <v>284</v>
      </c>
      <c r="J79" s="298">
        <v>0</v>
      </c>
      <c r="K79" s="298">
        <f>D19</f>
        <v>629.30700000000002</v>
      </c>
      <c r="L79" s="298">
        <f>E19</f>
        <v>165.375</v>
      </c>
    </row>
    <row r="80" spans="2:12" s="312" customFormat="1">
      <c r="H80" s="275"/>
      <c r="I80" s="312" t="s">
        <v>285</v>
      </c>
      <c r="J80" s="298">
        <v>0</v>
      </c>
      <c r="K80" s="298">
        <v>0.5</v>
      </c>
      <c r="L80" s="298">
        <v>0.5</v>
      </c>
    </row>
    <row r="81" spans="2:13" s="312" customFormat="1">
      <c r="H81" s="275"/>
      <c r="I81" s="312" t="s">
        <v>272</v>
      </c>
      <c r="J81" s="298">
        <v>0</v>
      </c>
      <c r="K81" s="298">
        <v>0.75</v>
      </c>
      <c r="L81" s="298">
        <v>0.75</v>
      </c>
    </row>
    <row r="82" spans="2:13" s="312" customFormat="1">
      <c r="H82" s="275"/>
      <c r="I82" s="280" t="s">
        <v>279</v>
      </c>
      <c r="J82" s="298"/>
      <c r="K82" s="300">
        <f>K79*K80*K81</f>
        <v>235.99012500000001</v>
      </c>
      <c r="L82" s="300">
        <f>L79*L80*L81</f>
        <v>62.015625</v>
      </c>
    </row>
    <row r="83" spans="2:13" s="312" customFormat="1">
      <c r="H83" s="275"/>
      <c r="J83" s="298"/>
      <c r="K83" s="298"/>
      <c r="L83" s="298"/>
    </row>
    <row r="84" spans="2:13" s="312" customFormat="1">
      <c r="H84" s="275"/>
      <c r="J84" s="298"/>
      <c r="K84" s="298"/>
      <c r="L84" s="298"/>
    </row>
    <row r="85" spans="2:13">
      <c r="B85" s="273"/>
      <c r="C85" s="273"/>
      <c r="D85" s="273"/>
      <c r="E85" s="273"/>
      <c r="G85" s="273"/>
      <c r="H85" s="275"/>
      <c r="J85" s="298"/>
      <c r="K85" s="298"/>
      <c r="L85" s="298"/>
    </row>
    <row r="86" spans="2:13">
      <c r="B86" s="273"/>
      <c r="C86" s="273"/>
      <c r="D86" s="273"/>
      <c r="E86" s="273"/>
      <c r="G86" s="273"/>
      <c r="H86" s="275"/>
      <c r="I86" s="304" t="s">
        <v>276</v>
      </c>
      <c r="J86" s="305">
        <f>J5+J12+J20+J33+J39+J44+J50+J56+J62</f>
        <v>22085539.880831886</v>
      </c>
      <c r="K86" s="305">
        <f>K5+K12+K20+K33+K39+K44+K50+K56+K62+K75+K82</f>
        <v>178063.18178257108</v>
      </c>
      <c r="L86" s="305">
        <f>L5+L12+L20+L33+L39+L44+L50+L56+L62+L75+L82</f>
        <v>58177.203550222359</v>
      </c>
    </row>
    <row r="87" spans="2:13">
      <c r="B87" s="273"/>
      <c r="C87" s="273"/>
      <c r="D87" s="273"/>
      <c r="E87" s="273"/>
      <c r="G87" s="273"/>
      <c r="H87" s="275"/>
      <c r="I87" s="362" t="s">
        <v>286</v>
      </c>
      <c r="J87" s="362">
        <f>J86/G25*100</f>
        <v>802.50686379566889</v>
      </c>
      <c r="K87" s="362">
        <f>K86/D25*100</f>
        <v>576.04683353244729</v>
      </c>
      <c r="L87" s="362">
        <f>L86/E25*100</f>
        <v>1537.3627372772983</v>
      </c>
    </row>
    <row r="88" spans="2:13">
      <c r="B88" s="273"/>
      <c r="C88" s="273"/>
      <c r="D88" s="273"/>
      <c r="E88" s="273"/>
      <c r="G88" s="273"/>
      <c r="H88" s="312"/>
    </row>
    <row r="89" spans="2:13">
      <c r="B89" s="273"/>
      <c r="C89" s="273"/>
      <c r="D89" s="273"/>
      <c r="E89" s="273"/>
      <c r="G89" s="273"/>
      <c r="H89" s="312"/>
    </row>
    <row r="90" spans="2:13">
      <c r="B90" s="273"/>
      <c r="C90" s="273"/>
      <c r="D90" s="273"/>
      <c r="E90" s="273"/>
      <c r="G90" s="273"/>
      <c r="H90" s="312"/>
    </row>
    <row r="91" spans="2:13">
      <c r="B91" s="273"/>
      <c r="C91" s="273"/>
      <c r="D91" s="273"/>
      <c r="E91" s="273"/>
      <c r="G91" s="273"/>
      <c r="H91" s="312"/>
      <c r="I91" s="304"/>
      <c r="J91" s="304"/>
      <c r="K91" s="304"/>
      <c r="L91" s="304"/>
      <c r="M91" s="304"/>
    </row>
    <row r="92" spans="2:13">
      <c r="B92" s="273"/>
      <c r="C92" s="273"/>
      <c r="D92" s="273"/>
      <c r="E92" s="273"/>
      <c r="G92" s="273"/>
      <c r="H92" s="312"/>
      <c r="I92" s="304"/>
      <c r="J92" s="304"/>
      <c r="K92" s="304"/>
      <c r="L92" s="304"/>
      <c r="M92" s="304"/>
    </row>
    <row r="93" spans="2:13">
      <c r="B93" s="273"/>
      <c r="C93" s="273"/>
      <c r="D93" s="273"/>
      <c r="E93" s="273"/>
      <c r="G93" s="273"/>
      <c r="H93" s="312"/>
      <c r="I93" s="304"/>
      <c r="J93" s="304"/>
      <c r="K93" s="304"/>
      <c r="L93" s="304"/>
      <c r="M93" s="304"/>
    </row>
    <row r="94" spans="2:13">
      <c r="B94" s="273"/>
      <c r="C94" s="273"/>
      <c r="D94" s="273"/>
      <c r="E94" s="273"/>
      <c r="G94" s="273"/>
      <c r="H94" s="312"/>
    </row>
    <row r="95" spans="2:13">
      <c r="B95" s="273"/>
      <c r="C95" s="273"/>
      <c r="D95" s="273"/>
      <c r="E95" s="273"/>
      <c r="G95" s="273"/>
      <c r="H95" s="312"/>
      <c r="I95" s="306"/>
      <c r="J95" s="306"/>
      <c r="K95" s="306"/>
      <c r="L95" s="306"/>
      <c r="M95" s="306"/>
    </row>
    <row r="96" spans="2:13">
      <c r="B96" s="273"/>
      <c r="C96" s="273"/>
      <c r="D96" s="273"/>
      <c r="E96" s="273"/>
      <c r="G96" s="273"/>
      <c r="H96" s="312"/>
      <c r="I96" s="306"/>
      <c r="J96" s="306"/>
      <c r="K96" s="306"/>
      <c r="L96" s="306"/>
      <c r="M96" s="306"/>
    </row>
    <row r="97" spans="8:8" s="273" customFormat="1">
      <c r="H97" s="312"/>
    </row>
    <row r="98" spans="8:8" s="273" customFormat="1">
      <c r="H98" s="312"/>
    </row>
    <row r="99" spans="8:8" s="273" customFormat="1">
      <c r="H99" s="312"/>
    </row>
    <row r="100" spans="8:8" s="273" customFormat="1">
      <c r="H100" s="312"/>
    </row>
    <row r="101" spans="8:8" s="273" customFormat="1">
      <c r="H101" s="312"/>
    </row>
    <row r="102" spans="8:8" s="273" customFormat="1">
      <c r="H102" s="312"/>
    </row>
    <row r="103" spans="8:8" s="273" customFormat="1">
      <c r="H103" s="312"/>
    </row>
    <row r="104" spans="8:8" s="273" customFormat="1">
      <c r="H104" s="312"/>
    </row>
    <row r="105" spans="8:8" s="273" customFormat="1">
      <c r="H105" s="312"/>
    </row>
    <row r="106" spans="8:8" s="273" customFormat="1">
      <c r="H106" s="312"/>
    </row>
    <row r="107" spans="8:8" s="273" customFormat="1">
      <c r="H107" s="312"/>
    </row>
    <row r="108" spans="8:8" s="273" customFormat="1">
      <c r="H108" s="312"/>
    </row>
    <row r="109" spans="8:8" s="273" customFormat="1">
      <c r="H109" s="312"/>
    </row>
    <row r="110" spans="8:8" s="273" customFormat="1">
      <c r="H110" s="312"/>
    </row>
    <row r="111" spans="8:8" s="273" customFormat="1">
      <c r="H111" s="312"/>
    </row>
    <row r="112" spans="8:8" s="273" customFormat="1">
      <c r="H112" s="312"/>
    </row>
    <row r="113" spans="2:8" s="273" customFormat="1">
      <c r="H113" s="312"/>
    </row>
    <row r="114" spans="2:8" s="273" customFormat="1">
      <c r="B114" s="274"/>
      <c r="C114" s="274"/>
      <c r="D114" s="274"/>
      <c r="E114" s="274"/>
      <c r="G114" s="274"/>
      <c r="H114" s="312"/>
    </row>
    <row r="115" spans="2:8" s="273" customFormat="1">
      <c r="B115" s="274"/>
      <c r="C115" s="274"/>
      <c r="D115" s="274"/>
      <c r="E115" s="274"/>
      <c r="G115" s="274"/>
      <c r="H115" s="312"/>
    </row>
    <row r="116" spans="2:8" s="273" customFormat="1">
      <c r="B116" s="274"/>
      <c r="C116" s="274"/>
      <c r="D116" s="274"/>
      <c r="E116" s="274"/>
      <c r="G116" s="274"/>
      <c r="H116" s="312"/>
    </row>
    <row r="117" spans="2:8" s="273" customFormat="1">
      <c r="H117" s="312"/>
    </row>
    <row r="118" spans="2:8" s="273" customFormat="1">
      <c r="H118" s="312"/>
    </row>
    <row r="119" spans="2:8" s="273" customFormat="1">
      <c r="H119" s="312"/>
    </row>
    <row r="120" spans="2:8" s="273" customFormat="1">
      <c r="B120" s="274"/>
      <c r="C120" s="274"/>
      <c r="D120" s="274"/>
      <c r="E120" s="274"/>
      <c r="G120" s="274"/>
      <c r="H120" s="312"/>
    </row>
    <row r="121" spans="2:8" s="273" customFormat="1">
      <c r="B121" s="274"/>
      <c r="C121" s="274"/>
      <c r="D121" s="274"/>
      <c r="E121" s="274"/>
      <c r="G121" s="274"/>
      <c r="H121" s="312"/>
    </row>
    <row r="122" spans="2:8" s="273" customFormat="1">
      <c r="B122" s="274"/>
      <c r="C122" s="274"/>
      <c r="D122" s="274"/>
      <c r="E122" s="274"/>
      <c r="G122" s="274"/>
      <c r="H122" s="312"/>
    </row>
    <row r="123" spans="2:8" s="273" customFormat="1">
      <c r="B123" s="274"/>
      <c r="C123" s="274"/>
      <c r="D123" s="274"/>
      <c r="E123" s="274"/>
      <c r="G123" s="274"/>
      <c r="H123" s="312"/>
    </row>
    <row r="124" spans="2:8" s="273" customFormat="1">
      <c r="B124" s="274"/>
      <c r="C124" s="274"/>
      <c r="D124" s="274"/>
      <c r="E124" s="274"/>
      <c r="G124" s="274"/>
      <c r="H124" s="312"/>
    </row>
    <row r="125" spans="2:8" s="273" customFormat="1">
      <c r="B125" s="274"/>
      <c r="C125" s="274"/>
      <c r="D125" s="274"/>
      <c r="E125" s="274"/>
      <c r="G125" s="274"/>
      <c r="H125" s="312"/>
    </row>
    <row r="126" spans="2:8" s="273" customFormat="1">
      <c r="B126" s="274"/>
      <c r="C126" s="274"/>
      <c r="D126" s="274"/>
      <c r="E126" s="274"/>
      <c r="G126" s="274"/>
      <c r="H126" s="312"/>
    </row>
    <row r="127" spans="2:8" s="273" customFormat="1">
      <c r="B127" s="274"/>
      <c r="C127" s="274"/>
      <c r="D127" s="274"/>
      <c r="E127" s="274"/>
      <c r="G127" s="274"/>
      <c r="H127" s="312"/>
    </row>
    <row r="128" spans="2:8" s="273" customFormat="1">
      <c r="B128" s="274"/>
      <c r="C128" s="274"/>
      <c r="D128" s="274"/>
      <c r="E128" s="274"/>
      <c r="G128" s="274"/>
      <c r="H128" s="312"/>
    </row>
    <row r="129" spans="8:8" s="273" customFormat="1">
      <c r="H129" s="312"/>
    </row>
    <row r="130" spans="8:8" s="273" customFormat="1">
      <c r="H130" s="312"/>
    </row>
    <row r="131" spans="8:8" s="273" customFormat="1">
      <c r="H131" s="312"/>
    </row>
    <row r="132" spans="8:8" s="273" customFormat="1">
      <c r="H132" s="312"/>
    </row>
    <row r="133" spans="8:8" s="273" customFormat="1">
      <c r="H133" s="312"/>
    </row>
    <row r="134" spans="8:8" s="273" customFormat="1">
      <c r="H134" s="312"/>
    </row>
    <row r="135" spans="8:8" s="273" customFormat="1">
      <c r="H135" s="312"/>
    </row>
    <row r="136" spans="8:8" s="273" customFormat="1">
      <c r="H136" s="312"/>
    </row>
    <row r="137" spans="8:8" s="273" customFormat="1">
      <c r="H137" s="312"/>
    </row>
    <row r="138" spans="8:8" s="273" customFormat="1">
      <c r="H138" s="312"/>
    </row>
    <row r="139" spans="8:8" s="273" customFormat="1">
      <c r="H139" s="312"/>
    </row>
    <row r="140" spans="8:8" s="273" customFormat="1">
      <c r="H140" s="312"/>
    </row>
    <row r="141" spans="8:8" s="273" customFormat="1">
      <c r="H141" s="312"/>
    </row>
    <row r="142" spans="8:8" s="273" customFormat="1">
      <c r="H142" s="312"/>
    </row>
    <row r="143" spans="8:8" s="273" customFormat="1">
      <c r="H143" s="312"/>
    </row>
    <row r="144" spans="8:8" s="273" customFormat="1">
      <c r="H144" s="312"/>
    </row>
    <row r="145" spans="8:8" s="273" customFormat="1">
      <c r="H145" s="312"/>
    </row>
    <row r="146" spans="8:8" s="273" customFormat="1">
      <c r="H146" s="312"/>
    </row>
    <row r="147" spans="8:8" s="273" customFormat="1">
      <c r="H147" s="312"/>
    </row>
    <row r="148" spans="8:8" s="273" customFormat="1">
      <c r="H148" s="312"/>
    </row>
    <row r="149" spans="8:8" s="273" customFormat="1">
      <c r="H149" s="312"/>
    </row>
    <row r="150" spans="8:8" s="273" customFormat="1">
      <c r="H150" s="312"/>
    </row>
    <row r="151" spans="8:8" s="273" customFormat="1">
      <c r="H151" s="312"/>
    </row>
    <row r="152" spans="8:8" s="273" customFormat="1">
      <c r="H152" s="312"/>
    </row>
    <row r="153" spans="8:8" s="273" customFormat="1">
      <c r="H153" s="312"/>
    </row>
    <row r="154" spans="8:8" s="273" customFormat="1">
      <c r="H154" s="312"/>
    </row>
    <row r="155" spans="8:8" s="273" customFormat="1">
      <c r="H155" s="312"/>
    </row>
    <row r="156" spans="8:8" s="273" customFormat="1">
      <c r="H156" s="312"/>
    </row>
    <row r="157" spans="8:8" s="273" customFormat="1">
      <c r="H157" s="312"/>
    </row>
    <row r="158" spans="8:8" s="273" customFormat="1">
      <c r="H158" s="312"/>
    </row>
    <row r="159" spans="8:8" s="273" customFormat="1">
      <c r="H159" s="312"/>
    </row>
    <row r="160" spans="8:8" s="273" customFormat="1">
      <c r="H160" s="312"/>
    </row>
    <row r="161" spans="8:8" s="273" customFormat="1">
      <c r="H161" s="312"/>
    </row>
    <row r="162" spans="8:8" s="273" customFormat="1">
      <c r="H162" s="312"/>
    </row>
    <row r="163" spans="8:8" s="273" customFormat="1">
      <c r="H163" s="312"/>
    </row>
    <row r="164" spans="8:8" s="273" customFormat="1">
      <c r="H164" s="312"/>
    </row>
    <row r="165" spans="8:8" s="273" customFormat="1">
      <c r="H165" s="312"/>
    </row>
    <row r="166" spans="8:8" s="273" customFormat="1">
      <c r="H166" s="312"/>
    </row>
    <row r="167" spans="8:8" s="273" customFormat="1">
      <c r="H167" s="312"/>
    </row>
  </sheetData>
  <mergeCells count="3">
    <mergeCell ref="A1:E1"/>
    <mergeCell ref="A26:C26"/>
    <mergeCell ref="A27:C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67"/>
  <sheetViews>
    <sheetView zoomScale="120" zoomScaleNormal="120" workbookViewId="0">
      <selection activeCell="J48" sqref="J48"/>
    </sheetView>
  </sheetViews>
  <sheetFormatPr baseColWidth="10" defaultColWidth="9.1640625" defaultRowHeight="15"/>
  <cols>
    <col min="1" max="1" width="20.5" style="364" customWidth="1"/>
    <col min="2" max="2" width="13" style="274" customWidth="1"/>
    <col min="3" max="3" width="16" style="274" customWidth="1"/>
    <col min="4" max="4" width="13.83203125" style="274" customWidth="1"/>
    <col min="5" max="5" width="14.83203125" style="274" customWidth="1"/>
    <col min="6" max="6" width="4.1640625" style="364" customWidth="1"/>
    <col min="7" max="7" width="18.5" style="274" customWidth="1"/>
    <col min="8" max="8" width="1.6640625" style="364" customWidth="1"/>
    <col min="9" max="9" width="31.83203125" style="364" customWidth="1"/>
    <col min="10" max="12" width="12.5" style="364" customWidth="1"/>
    <col min="13" max="13" width="10" style="364" customWidth="1"/>
    <col min="14" max="14" width="60.5" style="364" customWidth="1"/>
    <col min="15" max="15" width="12.83203125" style="364" customWidth="1"/>
    <col min="16" max="16384" width="9.1640625" style="364"/>
  </cols>
  <sheetData>
    <row r="1" spans="1:14" ht="15.75" customHeight="1" thickBot="1">
      <c r="A1" s="493" t="s">
        <v>269</v>
      </c>
      <c r="B1" s="494"/>
      <c r="C1" s="494"/>
      <c r="D1" s="494"/>
      <c r="E1" s="495"/>
      <c r="H1" s="275"/>
      <c r="I1" s="276" t="s">
        <v>190</v>
      </c>
      <c r="J1" s="352" t="s">
        <v>4</v>
      </c>
      <c r="K1" s="352" t="s">
        <v>270</v>
      </c>
      <c r="L1" s="352" t="s">
        <v>271</v>
      </c>
    </row>
    <row r="2" spans="1:14" ht="21.75" customHeight="1">
      <c r="A2" s="277" t="s">
        <v>0</v>
      </c>
      <c r="B2" s="278" t="s">
        <v>51</v>
      </c>
      <c r="C2" s="337" t="s">
        <v>191</v>
      </c>
      <c r="D2" s="278" t="s">
        <v>192</v>
      </c>
      <c r="E2" s="348" t="s">
        <v>193</v>
      </c>
      <c r="G2" s="279" t="s">
        <v>194</v>
      </c>
      <c r="H2" s="275"/>
      <c r="I2" s="364" t="s">
        <v>195</v>
      </c>
      <c r="J2" s="364">
        <f>B4</f>
        <v>323.45679012345676</v>
      </c>
      <c r="N2" s="280" t="s">
        <v>196</v>
      </c>
    </row>
    <row r="3" spans="1:14" ht="17.25" customHeight="1">
      <c r="A3" s="281" t="s">
        <v>9</v>
      </c>
      <c r="B3" s="338">
        <f>+'MMW Output'!C22</f>
        <v>1180.2469135802469</v>
      </c>
      <c r="C3" s="338">
        <f>+'MMW Output'!D22</f>
        <v>169.19251650000001</v>
      </c>
      <c r="D3" s="338">
        <f>+'MMW Output'!E22</f>
        <v>1744.8164999999999</v>
      </c>
      <c r="E3" s="344">
        <f>+'MMW Output'!F22</f>
        <v>893.02499999999998</v>
      </c>
      <c r="F3" s="282"/>
      <c r="G3" s="354">
        <f t="shared" ref="G3:G18" si="0">C3*2000</f>
        <v>338385.033</v>
      </c>
      <c r="H3" s="275"/>
      <c r="I3" s="364" t="s">
        <v>197</v>
      </c>
      <c r="J3" s="364">
        <v>0</v>
      </c>
    </row>
    <row r="4" spans="1:14">
      <c r="A4" s="283" t="s">
        <v>10</v>
      </c>
      <c r="B4" s="339">
        <f>+'MMW Output'!C23</f>
        <v>323.45679012345676</v>
      </c>
      <c r="C4" s="339">
        <f>+'MMW Output'!D23</f>
        <v>473.41140525000003</v>
      </c>
      <c r="D4" s="339">
        <f>+'MMW Output'!E23</f>
        <v>3426.3495000000003</v>
      </c>
      <c r="E4" s="345">
        <f>+'MMW Output'!F23</f>
        <v>1474.4835</v>
      </c>
      <c r="G4" s="355">
        <f t="shared" si="0"/>
        <v>946822.81050000002</v>
      </c>
      <c r="H4" s="275"/>
      <c r="I4" s="364" t="s">
        <v>272</v>
      </c>
      <c r="J4" s="364">
        <v>0.35</v>
      </c>
      <c r="K4" s="364">
        <v>0.28999999999999998</v>
      </c>
      <c r="L4" s="364">
        <v>0.5</v>
      </c>
    </row>
    <row r="5" spans="1:14">
      <c r="A5" s="283" t="s">
        <v>11</v>
      </c>
      <c r="B5" s="339">
        <f>+'MMW Output'!C24</f>
        <v>417.28395061728395</v>
      </c>
      <c r="C5" s="339">
        <f>+'MMW Output'!D24</f>
        <v>0.69060599999999994</v>
      </c>
      <c r="D5" s="339">
        <f>+'MMW Output'!E24</f>
        <v>59.975999999999999</v>
      </c>
      <c r="E5" s="345">
        <f>+'MMW Output'!F24</f>
        <v>4.8510000000000009</v>
      </c>
      <c r="G5" s="355">
        <f t="shared" si="0"/>
        <v>1381.212</v>
      </c>
      <c r="H5" s="275"/>
      <c r="I5" s="280" t="s">
        <v>279</v>
      </c>
      <c r="J5" s="280">
        <f>(J3/J2)*G4*J4</f>
        <v>0</v>
      </c>
      <c r="K5" s="280">
        <f>(J3/J2)*D4*K4</f>
        <v>0</v>
      </c>
      <c r="L5" s="280">
        <f>(J3/J2)*E4*L4</f>
        <v>0</v>
      </c>
    </row>
    <row r="6" spans="1:14" ht="18.75" customHeight="1">
      <c r="A6" s="283" t="s">
        <v>12</v>
      </c>
      <c r="B6" s="339">
        <f>+'MMW Output'!C25</f>
        <v>14.814814814814813</v>
      </c>
      <c r="C6" s="339">
        <f>+'MMW Output'!D25</f>
        <v>3.2854500000000002E-2</v>
      </c>
      <c r="D6" s="339">
        <f>+'MMW Output'!E25</f>
        <v>6.1739999999999995</v>
      </c>
      <c r="E6" s="345">
        <f>+'MMW Output'!F25</f>
        <v>0.44100000000000006</v>
      </c>
      <c r="G6" s="355">
        <f t="shared" si="0"/>
        <v>65.709000000000003</v>
      </c>
      <c r="H6" s="275"/>
    </row>
    <row r="7" spans="1:14">
      <c r="A7" s="283" t="s">
        <v>13</v>
      </c>
      <c r="B7" s="339">
        <f>+'MMW Output'!C26</f>
        <v>0</v>
      </c>
      <c r="C7" s="339">
        <f>+'MMW Output'!D26</f>
        <v>0</v>
      </c>
      <c r="D7" s="339">
        <f>+'MMW Output'!E26</f>
        <v>0</v>
      </c>
      <c r="E7" s="345">
        <f>+'MMW Output'!F26</f>
        <v>0</v>
      </c>
      <c r="G7" s="355">
        <f t="shared" si="0"/>
        <v>0</v>
      </c>
      <c r="H7" s="275"/>
      <c r="I7" s="276" t="s">
        <v>198</v>
      </c>
    </row>
    <row r="8" spans="1:14">
      <c r="A8" s="283" t="s">
        <v>14</v>
      </c>
      <c r="B8" s="339">
        <f>+'MMW Output'!C27</f>
        <v>0</v>
      </c>
      <c r="C8" s="339">
        <f>+'MMW Output'!D27</f>
        <v>0</v>
      </c>
      <c r="D8" s="339">
        <f>+'MMW Output'!E27</f>
        <v>0</v>
      </c>
      <c r="E8" s="345">
        <f>+'MMW Output'!F27</f>
        <v>0</v>
      </c>
      <c r="G8" s="355">
        <f t="shared" si="0"/>
        <v>0</v>
      </c>
      <c r="H8" s="275"/>
    </row>
    <row r="9" spans="1:14">
      <c r="A9" s="283" t="s">
        <v>15</v>
      </c>
      <c r="B9" s="339">
        <f>+'MMW Output'!C28</f>
        <v>111.1111111111111</v>
      </c>
      <c r="C9" s="339">
        <f>+'MMW Output'!D28</f>
        <v>5.4832837500000009</v>
      </c>
      <c r="D9" s="339">
        <f>+'MMW Output'!E28</f>
        <v>135.60750000000002</v>
      </c>
      <c r="E9" s="345">
        <f>+'MMW Output'!F28</f>
        <v>16.9785</v>
      </c>
      <c r="G9" s="355">
        <f t="shared" si="0"/>
        <v>10966.567500000001</v>
      </c>
      <c r="H9" s="275"/>
      <c r="I9" s="364" t="s">
        <v>195</v>
      </c>
      <c r="J9" s="364">
        <f>B4</f>
        <v>323.45679012345676</v>
      </c>
      <c r="N9" s="280" t="s">
        <v>199</v>
      </c>
    </row>
    <row r="10" spans="1:14" ht="15.75" customHeight="1">
      <c r="A10" s="283" t="s">
        <v>16</v>
      </c>
      <c r="B10" s="339">
        <f>+'MMW Output'!C29</f>
        <v>49.382716049382715</v>
      </c>
      <c r="C10" s="339">
        <f>+'MMW Output'!D29</f>
        <v>6.1740000000000003E-2</v>
      </c>
      <c r="D10" s="339">
        <f>+'MMW Output'!E29</f>
        <v>29.988</v>
      </c>
      <c r="E10" s="345">
        <f>+'MMW Output'!F29</f>
        <v>1.1025</v>
      </c>
      <c r="G10" s="355">
        <f t="shared" si="0"/>
        <v>123.48</v>
      </c>
      <c r="H10" s="275"/>
      <c r="I10" s="364" t="s">
        <v>197</v>
      </c>
      <c r="J10" s="364">
        <v>0</v>
      </c>
    </row>
    <row r="11" spans="1:14">
      <c r="A11" s="283" t="s">
        <v>17</v>
      </c>
      <c r="B11" s="339">
        <f>+'MMW Output'!C30</f>
        <v>0</v>
      </c>
      <c r="C11" s="339">
        <f>+'MMW Output'!D30</f>
        <v>0</v>
      </c>
      <c r="D11" s="339">
        <f>+'MMW Output'!E30</f>
        <v>0</v>
      </c>
      <c r="E11" s="345">
        <f>+'MMW Output'!F30</f>
        <v>0</v>
      </c>
      <c r="G11" s="355">
        <f t="shared" si="0"/>
        <v>0</v>
      </c>
      <c r="H11" s="275"/>
      <c r="I11" s="364" t="s">
        <v>272</v>
      </c>
      <c r="J11" s="364">
        <v>0.3</v>
      </c>
      <c r="K11" s="364">
        <v>0.08</v>
      </c>
      <c r="L11" s="364">
        <v>0.22</v>
      </c>
    </row>
    <row r="12" spans="1:14">
      <c r="A12" s="284" t="s">
        <v>18</v>
      </c>
      <c r="B12" s="339">
        <f>+'MMW Output'!C31</f>
        <v>0</v>
      </c>
      <c r="C12" s="339">
        <f>+'MMW Output'!D31</f>
        <v>0</v>
      </c>
      <c r="D12" s="339">
        <f>+'MMW Output'!E31</f>
        <v>0</v>
      </c>
      <c r="E12" s="349">
        <f>+'MMW Output'!F31</f>
        <v>0</v>
      </c>
      <c r="F12" s="285"/>
      <c r="G12" s="356">
        <f t="shared" si="0"/>
        <v>0</v>
      </c>
      <c r="H12" s="275"/>
      <c r="I12" s="280" t="s">
        <v>279</v>
      </c>
      <c r="J12" s="280">
        <f>(J10/J9)*G4*J11</f>
        <v>0</v>
      </c>
      <c r="K12" s="280">
        <f>(J10/J9)*D4*K11</f>
        <v>0</v>
      </c>
      <c r="L12" s="280">
        <f>(J10/J9)*E4*L11</f>
        <v>0</v>
      </c>
    </row>
    <row r="13" spans="1:14" ht="19.5" customHeight="1">
      <c r="A13" s="281" t="s">
        <v>19</v>
      </c>
      <c r="B13" s="338">
        <f>+'MMW Output'!C32</f>
        <v>2000</v>
      </c>
      <c r="C13" s="338">
        <f>+'MMW Output'!D32</f>
        <v>9.8619727500000014</v>
      </c>
      <c r="D13" s="338">
        <f>+'MMW Output'!E32</f>
        <v>532.94849999999997</v>
      </c>
      <c r="E13" s="345">
        <f>+'MMW Output'!F32</f>
        <v>59.975999999999999</v>
      </c>
      <c r="F13" s="282"/>
      <c r="G13" s="354">
        <f t="shared" si="0"/>
        <v>19723.945500000002</v>
      </c>
      <c r="H13" s="275"/>
    </row>
    <row r="14" spans="1:14" ht="22.5" customHeight="1">
      <c r="A14" s="283" t="s">
        <v>20</v>
      </c>
      <c r="B14" s="339">
        <f>+'MMW Output'!C33</f>
        <v>293.82716049382714</v>
      </c>
      <c r="C14" s="339">
        <f>+'MMW Output'!D33</f>
        <v>7.9404254999999999</v>
      </c>
      <c r="D14" s="339">
        <f>+'MMW Output'!E33</f>
        <v>327.88349999999997</v>
      </c>
      <c r="E14" s="345">
        <f>+'MMW Output'!F33</f>
        <v>33.736499999999999</v>
      </c>
      <c r="G14" s="355">
        <f t="shared" si="0"/>
        <v>15880.851000000001</v>
      </c>
      <c r="H14" s="275"/>
      <c r="I14" s="276" t="s">
        <v>200</v>
      </c>
      <c r="N14" s="280" t="s">
        <v>201</v>
      </c>
    </row>
    <row r="15" spans="1:14" ht="15.75" customHeight="1">
      <c r="A15" s="283" t="s">
        <v>21</v>
      </c>
      <c r="B15" s="339">
        <f>+'MMW Output'!C34</f>
        <v>79.012345679012341</v>
      </c>
      <c r="C15" s="339">
        <f>+'MMW Output'!D34</f>
        <v>2.1564900000000002</v>
      </c>
      <c r="D15" s="339">
        <f>+'MMW Output'!E34</f>
        <v>89.081999999999994</v>
      </c>
      <c r="E15" s="345">
        <f>+'MMW Output'!F34</f>
        <v>9.261000000000001</v>
      </c>
      <c r="G15" s="355">
        <f t="shared" si="0"/>
        <v>4312.9800000000005</v>
      </c>
      <c r="H15" s="275"/>
      <c r="I15" s="364" t="s">
        <v>195</v>
      </c>
      <c r="J15" s="364">
        <f>B4</f>
        <v>323.45679012345676</v>
      </c>
      <c r="N15" s="280" t="s">
        <v>202</v>
      </c>
    </row>
    <row r="16" spans="1:14">
      <c r="A16" s="283" t="s">
        <v>22</v>
      </c>
      <c r="B16" s="339">
        <f>+'MMW Output'!C35</f>
        <v>0</v>
      </c>
      <c r="C16" s="339">
        <f>+'MMW Output'!D35</f>
        <v>0</v>
      </c>
      <c r="D16" s="339">
        <f>+'MMW Output'!E35</f>
        <v>0</v>
      </c>
      <c r="E16" s="345">
        <f>+'MMW Output'!F35</f>
        <v>0</v>
      </c>
      <c r="G16" s="355">
        <f t="shared" si="0"/>
        <v>0</v>
      </c>
      <c r="H16" s="275"/>
      <c r="I16" s="364" t="s">
        <v>203</v>
      </c>
      <c r="J16" s="364">
        <v>0</v>
      </c>
      <c r="N16" s="280" t="s">
        <v>204</v>
      </c>
    </row>
    <row r="17" spans="1:14">
      <c r="A17" s="283" t="s">
        <v>23</v>
      </c>
      <c r="B17" s="339">
        <f>+'MMW Output'!C36</f>
        <v>0</v>
      </c>
      <c r="C17" s="339">
        <f>+'MMW Output'!D36</f>
        <v>0</v>
      </c>
      <c r="D17" s="339">
        <f>+'MMW Output'!E36</f>
        <v>0</v>
      </c>
      <c r="E17" s="345">
        <f>+'MMW Output'!F36</f>
        <v>0</v>
      </c>
      <c r="G17" s="355">
        <f t="shared" si="0"/>
        <v>0</v>
      </c>
      <c r="H17" s="275"/>
      <c r="I17" s="364" t="s">
        <v>205</v>
      </c>
      <c r="J17" s="364">
        <f>(J16*5280*100)/43560</f>
        <v>0</v>
      </c>
    </row>
    <row r="18" spans="1:14">
      <c r="A18" s="284" t="s">
        <v>24</v>
      </c>
      <c r="B18" s="339">
        <f>+'MMW Output'!C37</f>
        <v>0</v>
      </c>
      <c r="C18" s="339">
        <f>+'MMW Output'!D37</f>
        <v>0</v>
      </c>
      <c r="D18" s="339">
        <f>+'MMW Output'!E37</f>
        <v>0</v>
      </c>
      <c r="E18" s="349">
        <f>+'MMW Output'!F37</f>
        <v>0</v>
      </c>
      <c r="F18" s="285"/>
      <c r="G18" s="356">
        <f t="shared" si="0"/>
        <v>0</v>
      </c>
      <c r="H18" s="275"/>
      <c r="I18" s="364" t="s">
        <v>197</v>
      </c>
      <c r="J18" s="364">
        <f>J17*2</f>
        <v>0</v>
      </c>
    </row>
    <row r="19" spans="1:14" ht="15" customHeight="1">
      <c r="A19" s="281" t="s">
        <v>25</v>
      </c>
      <c r="B19" s="340" t="s">
        <v>26</v>
      </c>
      <c r="C19" s="338">
        <f>+'MMW Output'!D38</f>
        <v>0</v>
      </c>
      <c r="D19" s="338">
        <f>+'MMW Output'!E38</f>
        <v>629.30700000000002</v>
      </c>
      <c r="E19" s="345">
        <f>+'MMW Output'!F38</f>
        <v>165.375</v>
      </c>
      <c r="F19" s="282"/>
      <c r="G19" s="354"/>
      <c r="H19" s="275"/>
      <c r="I19" s="364" t="s">
        <v>272</v>
      </c>
      <c r="J19" s="364">
        <v>0.54</v>
      </c>
      <c r="K19" s="364">
        <v>0.41</v>
      </c>
      <c r="L19" s="364">
        <v>0.4</v>
      </c>
    </row>
    <row r="20" spans="1:14" ht="15" customHeight="1">
      <c r="A20" s="283" t="s">
        <v>27</v>
      </c>
      <c r="B20" s="341" t="s">
        <v>26</v>
      </c>
      <c r="C20" s="339">
        <f>+'MMW Output'!D39</f>
        <v>0</v>
      </c>
      <c r="D20" s="339">
        <f>+'MMW Output'!E39</f>
        <v>0</v>
      </c>
      <c r="E20" s="345">
        <f>+'MMW Output'!F39</f>
        <v>0</v>
      </c>
      <c r="G20" s="355">
        <f>C20*2000</f>
        <v>0</v>
      </c>
      <c r="H20" s="275"/>
      <c r="I20" s="280" t="s">
        <v>279</v>
      </c>
      <c r="J20" s="280">
        <f>((J18/J15)*J19*G4)+(J17*(C31-C32))</f>
        <v>0</v>
      </c>
      <c r="K20" s="280">
        <f>((J18/J15)*K19*D4)+(J17*(D31-D32))</f>
        <v>0</v>
      </c>
      <c r="L20" s="280">
        <f>((J18/J15)*L19*E4)+(J17*(E31-E32))</f>
        <v>0</v>
      </c>
    </row>
    <row r="21" spans="1:14" s="365" customFormat="1" ht="15" customHeight="1">
      <c r="A21" s="336" t="s">
        <v>206</v>
      </c>
      <c r="B21" s="342" t="s">
        <v>26</v>
      </c>
      <c r="C21" s="339">
        <f>+'MMW Output'!D40</f>
        <v>707.203035</v>
      </c>
      <c r="D21" s="339">
        <f>+'MMW Output'!E40</f>
        <v>813.64499999999998</v>
      </c>
      <c r="E21" s="345">
        <f>+'MMW Output'!F40</f>
        <v>476.28000000000003</v>
      </c>
      <c r="G21" s="357">
        <f>C21*2000</f>
        <v>1414406.07</v>
      </c>
      <c r="H21" s="286"/>
    </row>
    <row r="22" spans="1:14" s="365" customFormat="1" ht="15" customHeight="1">
      <c r="A22" s="336" t="s">
        <v>29</v>
      </c>
      <c r="B22" s="342"/>
      <c r="C22" s="339">
        <f>+'MMW Output'!D41</f>
        <v>0</v>
      </c>
      <c r="D22" s="339">
        <f>+'MMW Output'!E41</f>
        <v>21699.846000000001</v>
      </c>
      <c r="E22" s="345">
        <f>+'MMW Output'!F41</f>
        <v>295.911</v>
      </c>
      <c r="G22" s="357"/>
      <c r="H22" s="286"/>
      <c r="I22" s="289" t="s">
        <v>208</v>
      </c>
    </row>
    <row r="23" spans="1:14" s="365" customFormat="1" ht="15" customHeight="1">
      <c r="A23" s="336" t="s">
        <v>30</v>
      </c>
      <c r="B23" s="342"/>
      <c r="C23" s="339">
        <f>+'MMW Output'!D42</f>
        <v>0</v>
      </c>
      <c r="D23" s="339">
        <f>+'MMW Output'!E42</f>
        <v>495.46350000000001</v>
      </c>
      <c r="E23" s="345">
        <f>+'MMW Output'!F42</f>
        <v>352.8</v>
      </c>
      <c r="G23" s="357"/>
      <c r="H23" s="286"/>
      <c r="I23" s="364"/>
      <c r="J23" s="364"/>
      <c r="K23" s="364"/>
      <c r="L23" s="364"/>
      <c r="M23" s="364"/>
      <c r="N23" s="364"/>
    </row>
    <row r="24" spans="1:14" s="365" customFormat="1" ht="15" customHeight="1" thickBot="1">
      <c r="A24" s="336" t="s">
        <v>31</v>
      </c>
      <c r="B24" s="342"/>
      <c r="C24" s="339">
        <f>+'MMW Output'!D43</f>
        <v>0</v>
      </c>
      <c r="D24" s="339">
        <f>+'MMW Output'!E43</f>
        <v>920.14650000000006</v>
      </c>
      <c r="E24" s="349">
        <f>+'MMW Output'!F43</f>
        <v>0</v>
      </c>
      <c r="G24" s="357"/>
      <c r="H24" s="286"/>
      <c r="I24" s="299" t="s">
        <v>266</v>
      </c>
      <c r="J24" s="298"/>
      <c r="K24" s="298"/>
      <c r="L24" s="298"/>
      <c r="M24" s="364"/>
      <c r="N24" s="364"/>
    </row>
    <row r="25" spans="1:14" s="365" customFormat="1" ht="15" customHeight="1" thickBot="1">
      <c r="A25" s="288" t="s">
        <v>207</v>
      </c>
      <c r="B25" s="343">
        <f>SUM(B3:B21)</f>
        <v>4469.1358024691353</v>
      </c>
      <c r="C25" s="343">
        <f t="shared" ref="C25" si="1">SUM(C3:C21)</f>
        <v>1376.0343292499999</v>
      </c>
      <c r="D25" s="343">
        <f>SUM(D3:D24)</f>
        <v>30911.233500000002</v>
      </c>
      <c r="E25" s="350">
        <f>SUM(E3:E24)</f>
        <v>3784.2210000000005</v>
      </c>
      <c r="F25" s="347"/>
      <c r="G25" s="346">
        <f>SUM(G3:G21)</f>
        <v>2752068.6584999999</v>
      </c>
      <c r="H25" s="286"/>
      <c r="I25" s="364" t="s">
        <v>214</v>
      </c>
      <c r="J25" s="298">
        <v>0</v>
      </c>
      <c r="K25" s="298"/>
      <c r="L25" s="298"/>
      <c r="M25" s="364"/>
      <c r="N25" s="364"/>
    </row>
    <row r="26" spans="1:14" ht="15" customHeight="1">
      <c r="A26" s="496" t="s">
        <v>209</v>
      </c>
      <c r="B26" s="497"/>
      <c r="C26" s="497"/>
      <c r="H26" s="275"/>
      <c r="I26" s="364" t="s">
        <v>215</v>
      </c>
      <c r="J26" s="298">
        <v>115</v>
      </c>
      <c r="K26" s="373">
        <v>0.192</v>
      </c>
      <c r="L26" s="373">
        <v>0.17399999999999999</v>
      </c>
    </row>
    <row r="27" spans="1:14" s="365" customFormat="1" ht="15" customHeight="1">
      <c r="A27" s="498" t="s">
        <v>307</v>
      </c>
      <c r="B27" s="499"/>
      <c r="C27" s="499"/>
      <c r="D27" s="290"/>
      <c r="E27" s="290"/>
      <c r="G27" s="290"/>
      <c r="H27" s="286"/>
      <c r="I27" s="364" t="s">
        <v>274</v>
      </c>
      <c r="J27" s="298">
        <f>J25*J26</f>
        <v>0</v>
      </c>
      <c r="K27" s="298">
        <f>J25*K26</f>
        <v>0</v>
      </c>
      <c r="L27" s="298">
        <f>J25*L26</f>
        <v>0</v>
      </c>
      <c r="M27" s="364"/>
      <c r="N27" s="364"/>
    </row>
    <row r="28" spans="1:14" s="365" customFormat="1" ht="15" customHeight="1" thickBot="1">
      <c r="A28" s="291" t="s">
        <v>210</v>
      </c>
      <c r="B28" s="291" t="s">
        <v>211</v>
      </c>
      <c r="C28" s="290"/>
      <c r="D28" s="290"/>
      <c r="E28" s="290"/>
      <c r="G28" s="290"/>
      <c r="H28" s="286"/>
      <c r="I28" s="364"/>
      <c r="J28" s="298"/>
      <c r="K28" s="298"/>
      <c r="L28" s="298"/>
      <c r="M28" s="364"/>
      <c r="N28" s="364"/>
    </row>
    <row r="29" spans="1:14" s="365" customFormat="1" ht="29.25" customHeight="1" thickBot="1">
      <c r="A29" s="292" t="s">
        <v>212</v>
      </c>
      <c r="B29" s="293">
        <f>SUM(B30:B39)</f>
        <v>2096.2962962962961</v>
      </c>
      <c r="C29" s="294" t="s">
        <v>213</v>
      </c>
      <c r="D29" s="294" t="s">
        <v>282</v>
      </c>
      <c r="E29" s="294" t="s">
        <v>283</v>
      </c>
      <c r="F29" s="295"/>
      <c r="G29" s="294"/>
      <c r="H29" s="286"/>
      <c r="I29" s="351" t="s">
        <v>267</v>
      </c>
    </row>
    <row r="30" spans="1:14" s="365" customFormat="1" ht="15" customHeight="1">
      <c r="A30" s="296" t="s">
        <v>9</v>
      </c>
      <c r="B30" s="297">
        <f t="shared" ref="B30:B39" si="2">B3</f>
        <v>1180.2469135802469</v>
      </c>
      <c r="C30" s="365">
        <f>G3/B30</f>
        <v>286.70698402719665</v>
      </c>
      <c r="D30" s="365">
        <f>D3/B30</f>
        <v>1.4783487081589959</v>
      </c>
      <c r="E30" s="365">
        <f>E3/B30</f>
        <v>0.7566425209205021</v>
      </c>
      <c r="G30" s="290"/>
      <c r="H30" s="286"/>
      <c r="I30" s="365" t="s">
        <v>268</v>
      </c>
      <c r="J30" s="365">
        <v>0.1</v>
      </c>
    </row>
    <row r="31" spans="1:14" s="365" customFormat="1">
      <c r="A31" s="296" t="s">
        <v>10</v>
      </c>
      <c r="B31" s="297">
        <f t="shared" si="2"/>
        <v>323.45679012345676</v>
      </c>
      <c r="C31" s="365">
        <f t="shared" ref="C31:C39" si="3">G4/B31</f>
        <v>2927.2002920038171</v>
      </c>
      <c r="D31" s="365">
        <f t="shared" ref="D31:D39" si="4">D4/B31</f>
        <v>10.59291257633588</v>
      </c>
      <c r="E31" s="365">
        <f t="shared" ref="E31:E39" si="5">E4/B31</f>
        <v>4.5585176908396949</v>
      </c>
      <c r="G31" s="290"/>
      <c r="H31" s="286"/>
      <c r="I31" s="365" t="s">
        <v>273</v>
      </c>
      <c r="J31" s="365">
        <f>J30*J27</f>
        <v>0</v>
      </c>
      <c r="K31" s="365">
        <f>J30*K27</f>
        <v>0</v>
      </c>
      <c r="L31" s="365">
        <f>J30*L27</f>
        <v>0</v>
      </c>
    </row>
    <row r="32" spans="1:14" s="365" customFormat="1" ht="15" customHeight="1">
      <c r="A32" s="296" t="s">
        <v>11</v>
      </c>
      <c r="B32" s="297">
        <f t="shared" si="2"/>
        <v>417.28395061728395</v>
      </c>
      <c r="C32" s="365">
        <f t="shared" si="3"/>
        <v>3.3100050887573964</v>
      </c>
      <c r="D32" s="365">
        <f t="shared" si="4"/>
        <v>0.14372946745562129</v>
      </c>
      <c r="E32" s="365">
        <f t="shared" si="5"/>
        <v>1.1625177514792901E-2</v>
      </c>
      <c r="G32" s="290"/>
      <c r="H32" s="286"/>
    </row>
    <row r="33" spans="1:14" s="365" customFormat="1" ht="15" customHeight="1">
      <c r="A33" s="296" t="s">
        <v>12</v>
      </c>
      <c r="B33" s="297">
        <f t="shared" si="2"/>
        <v>14.814814814814813</v>
      </c>
      <c r="C33" s="365">
        <f t="shared" si="3"/>
        <v>4.4353575000000003</v>
      </c>
      <c r="D33" s="365">
        <f t="shared" si="4"/>
        <v>0.41674500000000003</v>
      </c>
      <c r="E33" s="365">
        <f t="shared" si="5"/>
        <v>2.9767500000000006E-2</v>
      </c>
      <c r="G33" s="290"/>
      <c r="H33" s="286"/>
      <c r="I33" s="280" t="s">
        <v>275</v>
      </c>
      <c r="J33" s="300">
        <f>J27+J31</f>
        <v>0</v>
      </c>
      <c r="K33" s="300">
        <f t="shared" ref="K33:L33" si="6">K27+K31</f>
        <v>0</v>
      </c>
      <c r="L33" s="300">
        <f t="shared" si="6"/>
        <v>0</v>
      </c>
      <c r="M33" s="364"/>
      <c r="N33" s="364"/>
    </row>
    <row r="34" spans="1:14" s="365" customFormat="1" ht="15" customHeight="1">
      <c r="A34" s="296" t="s">
        <v>13</v>
      </c>
      <c r="B34" s="297">
        <f t="shared" si="2"/>
        <v>0</v>
      </c>
      <c r="C34" s="365" t="e">
        <f t="shared" si="3"/>
        <v>#DIV/0!</v>
      </c>
      <c r="D34" s="365" t="e">
        <f t="shared" si="4"/>
        <v>#DIV/0!</v>
      </c>
      <c r="E34" s="365" t="e">
        <f t="shared" si="5"/>
        <v>#DIV/0!</v>
      </c>
      <c r="G34" s="290"/>
      <c r="H34" s="286"/>
      <c r="I34" s="364"/>
      <c r="J34" s="298"/>
      <c r="K34" s="298"/>
      <c r="L34" s="298"/>
      <c r="M34" s="364"/>
      <c r="N34" s="364"/>
    </row>
    <row r="35" spans="1:14" s="365" customFormat="1" ht="15" customHeight="1">
      <c r="A35" s="296" t="s">
        <v>14</v>
      </c>
      <c r="B35" s="297">
        <f t="shared" si="2"/>
        <v>0</v>
      </c>
      <c r="C35" s="365" t="e">
        <f t="shared" si="3"/>
        <v>#DIV/0!</v>
      </c>
      <c r="D35" s="365" t="e">
        <f t="shared" si="4"/>
        <v>#DIV/0!</v>
      </c>
      <c r="E35" s="365" t="e">
        <f t="shared" si="5"/>
        <v>#DIV/0!</v>
      </c>
      <c r="G35" s="290"/>
      <c r="H35" s="286"/>
      <c r="I35" s="276" t="s">
        <v>217</v>
      </c>
      <c r="J35" s="298"/>
      <c r="K35" s="298"/>
      <c r="L35" s="298"/>
      <c r="M35" s="364"/>
      <c r="N35" s="364"/>
    </row>
    <row r="36" spans="1:14" s="365" customFormat="1" ht="15" customHeight="1">
      <c r="A36" s="296" t="s">
        <v>15</v>
      </c>
      <c r="B36" s="297">
        <f t="shared" si="2"/>
        <v>111.1111111111111</v>
      </c>
      <c r="C36" s="365">
        <f t="shared" si="3"/>
        <v>98.699107500000025</v>
      </c>
      <c r="D36" s="365">
        <f t="shared" si="4"/>
        <v>1.2204675000000003</v>
      </c>
      <c r="E36" s="365">
        <f t="shared" si="5"/>
        <v>0.15280650000000001</v>
      </c>
      <c r="G36" s="290"/>
      <c r="H36" s="286"/>
      <c r="I36" s="364" t="s">
        <v>195</v>
      </c>
      <c r="J36" s="298">
        <f>B3</f>
        <v>1180.2469135802469</v>
      </c>
      <c r="K36" s="298"/>
      <c r="L36" s="298"/>
      <c r="M36" s="364"/>
      <c r="N36" s="364"/>
    </row>
    <row r="37" spans="1:14" s="365" customFormat="1" ht="15" customHeight="1">
      <c r="A37" s="296" t="s">
        <v>16</v>
      </c>
      <c r="B37" s="297">
        <f t="shared" si="2"/>
        <v>49.382716049382715</v>
      </c>
      <c r="C37" s="365">
        <f t="shared" si="3"/>
        <v>2.50047</v>
      </c>
      <c r="D37" s="365">
        <f t="shared" si="4"/>
        <v>0.60725700000000005</v>
      </c>
      <c r="E37" s="365">
        <f t="shared" si="5"/>
        <v>2.2325625000000002E-2</v>
      </c>
      <c r="G37" s="290"/>
      <c r="H37" s="286"/>
      <c r="I37" s="364" t="s">
        <v>197</v>
      </c>
      <c r="J37" s="298">
        <v>0</v>
      </c>
      <c r="K37" s="298"/>
      <c r="L37" s="298"/>
      <c r="M37" s="364"/>
      <c r="N37" s="364"/>
    </row>
    <row r="38" spans="1:14" s="365" customFormat="1" ht="15" customHeight="1">
      <c r="A38" s="296" t="s">
        <v>17</v>
      </c>
      <c r="B38" s="297">
        <f t="shared" si="2"/>
        <v>0</v>
      </c>
      <c r="C38" s="365" t="e">
        <f t="shared" si="3"/>
        <v>#DIV/0!</v>
      </c>
      <c r="D38" s="365" t="e">
        <f t="shared" si="4"/>
        <v>#DIV/0!</v>
      </c>
      <c r="E38" s="365" t="e">
        <f t="shared" si="5"/>
        <v>#DIV/0!</v>
      </c>
      <c r="G38" s="290"/>
      <c r="H38" s="286"/>
      <c r="I38" s="364" t="s">
        <v>218</v>
      </c>
      <c r="J38" s="298">
        <v>0.3</v>
      </c>
      <c r="K38" s="298">
        <v>0.3</v>
      </c>
      <c r="L38" s="298">
        <v>0.3</v>
      </c>
      <c r="M38" s="364"/>
      <c r="N38" s="364"/>
    </row>
    <row r="39" spans="1:14" ht="16" thickBot="1">
      <c r="A39" s="296" t="s">
        <v>18</v>
      </c>
      <c r="B39" s="360">
        <f t="shared" si="2"/>
        <v>0</v>
      </c>
      <c r="C39" s="365" t="e">
        <f t="shared" si="3"/>
        <v>#DIV/0!</v>
      </c>
      <c r="D39" s="365" t="e">
        <f t="shared" si="4"/>
        <v>#DIV/0!</v>
      </c>
      <c r="E39" s="365" t="e">
        <f t="shared" si="5"/>
        <v>#DIV/0!</v>
      </c>
      <c r="H39" s="275"/>
      <c r="I39" s="280" t="s">
        <v>279</v>
      </c>
      <c r="J39" s="300">
        <f>(J37/J36)*J38*G3</f>
        <v>0</v>
      </c>
      <c r="K39" s="300">
        <f>(J37/J36)*K38*D3</f>
        <v>0</v>
      </c>
      <c r="L39" s="300">
        <f>(J37/J36)*L38*E3</f>
        <v>0</v>
      </c>
    </row>
    <row r="40" spans="1:14" ht="31.5" customHeight="1">
      <c r="A40" s="359"/>
      <c r="B40" s="365"/>
      <c r="H40" s="275"/>
      <c r="J40" s="298"/>
      <c r="K40" s="298"/>
      <c r="L40" s="298"/>
    </row>
    <row r="41" spans="1:14">
      <c r="B41" s="364"/>
      <c r="H41" s="275"/>
      <c r="I41" s="276" t="s">
        <v>219</v>
      </c>
      <c r="J41" s="298"/>
      <c r="K41" s="298"/>
      <c r="L41" s="298"/>
    </row>
    <row r="42" spans="1:14">
      <c r="B42" s="364"/>
      <c r="C42" s="280" t="s">
        <v>288</v>
      </c>
      <c r="D42" s="280">
        <v>20000</v>
      </c>
      <c r="E42" s="363" t="s">
        <v>287</v>
      </c>
      <c r="H42" s="275"/>
      <c r="I42" s="364" t="s">
        <v>195</v>
      </c>
      <c r="J42" s="298">
        <f>B4</f>
        <v>323.45679012345676</v>
      </c>
      <c r="K42" s="298"/>
      <c r="L42" s="298"/>
    </row>
    <row r="43" spans="1:14">
      <c r="B43" s="364"/>
      <c r="C43" s="280" t="s">
        <v>216</v>
      </c>
      <c r="D43" s="280">
        <v>11000</v>
      </c>
      <c r="E43" s="363" t="s">
        <v>287</v>
      </c>
      <c r="H43" s="275"/>
      <c r="I43" s="364" t="s">
        <v>220</v>
      </c>
      <c r="J43" s="298">
        <v>0</v>
      </c>
      <c r="K43" s="298"/>
      <c r="L43" s="298"/>
    </row>
    <row r="44" spans="1:14">
      <c r="B44" s="364"/>
      <c r="C44" s="280"/>
      <c r="D44" s="280"/>
      <c r="E44" s="363"/>
      <c r="H44" s="275"/>
      <c r="I44" s="280" t="s">
        <v>279</v>
      </c>
      <c r="J44" s="300">
        <f>(C31-C32)*J43</f>
        <v>0</v>
      </c>
      <c r="K44" s="300">
        <f>(D31-D32)*J43</f>
        <v>0</v>
      </c>
      <c r="L44" s="300">
        <f>(E31-E32)*J43</f>
        <v>0</v>
      </c>
    </row>
    <row r="45" spans="1:14">
      <c r="B45" s="364"/>
      <c r="C45" s="280"/>
      <c r="D45" s="280"/>
      <c r="H45" s="275"/>
      <c r="J45" s="298"/>
      <c r="K45" s="298"/>
      <c r="L45" s="298"/>
    </row>
    <row r="46" spans="1:14">
      <c r="B46" s="364"/>
      <c r="H46" s="275"/>
      <c r="I46" s="276" t="s">
        <v>221</v>
      </c>
      <c r="J46" s="298"/>
      <c r="K46" s="298"/>
      <c r="L46" s="298"/>
    </row>
    <row r="47" spans="1:14">
      <c r="A47" s="365"/>
      <c r="B47" s="365"/>
      <c r="H47" s="275"/>
      <c r="I47" s="364" t="s">
        <v>222</v>
      </c>
      <c r="J47" s="298">
        <f>D42</f>
        <v>20000</v>
      </c>
      <c r="K47" s="298"/>
      <c r="L47" s="298"/>
    </row>
    <row r="48" spans="1:14">
      <c r="A48" s="365"/>
      <c r="B48" s="365"/>
      <c r="H48" s="275"/>
      <c r="I48" s="364" t="s">
        <v>214</v>
      </c>
      <c r="J48" s="298">
        <v>10000</v>
      </c>
      <c r="K48" s="298"/>
      <c r="L48" s="298"/>
    </row>
    <row r="49" spans="1:12">
      <c r="A49" s="365"/>
      <c r="B49" s="365"/>
      <c r="H49" s="275"/>
      <c r="I49" s="364" t="s">
        <v>223</v>
      </c>
      <c r="J49" s="298">
        <v>115</v>
      </c>
      <c r="K49" s="298">
        <v>0.192</v>
      </c>
      <c r="L49" s="298">
        <v>0.17399999999999999</v>
      </c>
    </row>
    <row r="50" spans="1:12">
      <c r="B50" s="365"/>
      <c r="H50" s="275"/>
      <c r="I50" s="280" t="s">
        <v>279</v>
      </c>
      <c r="J50" s="300">
        <f>J48*J49</f>
        <v>1150000</v>
      </c>
      <c r="K50" s="300">
        <f>J48*K49</f>
        <v>1920</v>
      </c>
      <c r="L50" s="300">
        <f>J48*L49</f>
        <v>1739.9999999999998</v>
      </c>
    </row>
    <row r="51" spans="1:12">
      <c r="B51" s="364"/>
      <c r="C51" s="364"/>
      <c r="D51" s="364"/>
      <c r="E51" s="364"/>
      <c r="G51" s="364"/>
      <c r="H51" s="275"/>
      <c r="I51" s="280"/>
      <c r="J51" s="300"/>
      <c r="K51" s="300"/>
      <c r="L51" s="300"/>
    </row>
    <row r="52" spans="1:12">
      <c r="B52" s="364"/>
      <c r="C52" s="364"/>
      <c r="D52" s="364"/>
      <c r="E52" s="364"/>
      <c r="G52" s="364"/>
      <c r="H52" s="275"/>
      <c r="I52" s="301" t="s">
        <v>224</v>
      </c>
      <c r="J52" s="300"/>
      <c r="K52" s="300"/>
      <c r="L52" s="300"/>
    </row>
    <row r="53" spans="1:12">
      <c r="B53" s="364"/>
      <c r="C53" s="364"/>
      <c r="D53" s="364"/>
      <c r="E53" s="364"/>
      <c r="G53" s="364"/>
      <c r="H53" s="275"/>
      <c r="I53" s="302" t="s">
        <v>195</v>
      </c>
      <c r="J53" s="303">
        <f>B4</f>
        <v>323.45679012345676</v>
      </c>
      <c r="K53" s="303"/>
      <c r="L53" s="303"/>
    </row>
    <row r="54" spans="1:12">
      <c r="B54" s="364"/>
      <c r="E54" s="364"/>
      <c r="G54" s="364"/>
      <c r="H54" s="275"/>
      <c r="I54" s="302" t="s">
        <v>197</v>
      </c>
      <c r="J54" s="303">
        <v>1000</v>
      </c>
      <c r="K54" s="303"/>
      <c r="L54" s="303"/>
    </row>
    <row r="55" spans="1:12">
      <c r="B55" s="364"/>
      <c r="E55" s="364"/>
      <c r="G55" s="364"/>
      <c r="H55" s="275"/>
      <c r="I55" s="302" t="s">
        <v>272</v>
      </c>
      <c r="J55" s="303">
        <v>0.16</v>
      </c>
      <c r="K55" s="303">
        <v>0.05</v>
      </c>
      <c r="L55" s="303">
        <v>0.1</v>
      </c>
    </row>
    <row r="56" spans="1:12">
      <c r="B56" s="364"/>
      <c r="E56" s="364"/>
      <c r="G56" s="364"/>
      <c r="H56" s="275"/>
      <c r="I56" s="280" t="s">
        <v>279</v>
      </c>
      <c r="J56" s="300">
        <f>(J54/J53)*J55*G4</f>
        <v>468352.04672061076</v>
      </c>
      <c r="K56" s="300">
        <f>(J54/J53)*K55*D4</f>
        <v>529.64562881679399</v>
      </c>
      <c r="L56" s="300">
        <f>(J54/J53)*L55*E4</f>
        <v>455.85176908396949</v>
      </c>
    </row>
    <row r="57" spans="1:12">
      <c r="B57" s="364"/>
      <c r="E57" s="364"/>
      <c r="G57" s="364"/>
      <c r="H57" s="275"/>
      <c r="I57" s="280"/>
      <c r="J57" s="300"/>
      <c r="K57" s="300"/>
      <c r="L57" s="300"/>
    </row>
    <row r="58" spans="1:12">
      <c r="B58" s="364"/>
      <c r="C58" s="364"/>
      <c r="D58" s="364"/>
      <c r="E58" s="364"/>
      <c r="G58" s="364"/>
      <c r="H58" s="275"/>
      <c r="I58" s="301" t="s">
        <v>225</v>
      </c>
      <c r="J58" s="300"/>
      <c r="K58" s="300"/>
      <c r="L58" s="300"/>
    </row>
    <row r="59" spans="1:12">
      <c r="B59" s="364"/>
      <c r="C59" s="364"/>
      <c r="D59" s="364"/>
      <c r="E59" s="364"/>
      <c r="G59" s="364"/>
      <c r="H59" s="275"/>
      <c r="I59" s="302" t="s">
        <v>222</v>
      </c>
      <c r="J59" s="303">
        <f>D43</f>
        <v>11000</v>
      </c>
      <c r="K59" s="303"/>
      <c r="L59" s="303"/>
    </row>
    <row r="60" spans="1:12">
      <c r="A60" s="304"/>
      <c r="B60" s="364"/>
      <c r="C60" s="364"/>
      <c r="D60" s="364"/>
      <c r="E60" s="364"/>
      <c r="G60" s="364"/>
      <c r="H60" s="275"/>
      <c r="I60" s="302" t="s">
        <v>226</v>
      </c>
      <c r="J60" s="303">
        <v>5280</v>
      </c>
      <c r="K60" s="303"/>
      <c r="L60" s="303"/>
    </row>
    <row r="61" spans="1:12">
      <c r="B61" s="364"/>
      <c r="C61" s="364"/>
      <c r="D61" s="364"/>
      <c r="E61" s="364"/>
      <c r="G61" s="364"/>
      <c r="H61" s="275"/>
      <c r="I61" s="302" t="s">
        <v>278</v>
      </c>
      <c r="J61" s="303">
        <v>2.5499999999999998</v>
      </c>
      <c r="K61" s="303">
        <v>0.02</v>
      </c>
      <c r="L61" s="361">
        <v>3.5000000000000001E-3</v>
      </c>
    </row>
    <row r="62" spans="1:12">
      <c r="B62" s="364"/>
      <c r="C62" s="364"/>
      <c r="D62" s="364"/>
      <c r="E62" s="364"/>
      <c r="G62" s="364"/>
      <c r="H62" s="275"/>
      <c r="I62" s="280" t="s">
        <v>279</v>
      </c>
      <c r="J62" s="300">
        <f>J60*J61</f>
        <v>13463.999999999998</v>
      </c>
      <c r="K62" s="300">
        <f>J60*K61</f>
        <v>105.60000000000001</v>
      </c>
      <c r="L62" s="300">
        <f>J60*L61</f>
        <v>18.48</v>
      </c>
    </row>
    <row r="63" spans="1:12">
      <c r="B63" s="364"/>
      <c r="C63" s="364"/>
      <c r="D63" s="364"/>
      <c r="E63" s="364"/>
      <c r="G63" s="364"/>
      <c r="H63" s="275"/>
      <c r="I63" s="280"/>
      <c r="J63" s="300"/>
      <c r="K63" s="300"/>
      <c r="L63" s="300"/>
    </row>
    <row r="64" spans="1:12">
      <c r="B64" s="364"/>
      <c r="C64" s="364"/>
      <c r="D64" s="364"/>
      <c r="E64" s="364"/>
      <c r="G64" s="364"/>
      <c r="H64" s="275"/>
      <c r="I64" s="276" t="s">
        <v>227</v>
      </c>
      <c r="J64" s="298"/>
      <c r="K64" s="298"/>
      <c r="L64" s="298"/>
    </row>
    <row r="65" spans="2:12">
      <c r="B65" s="364"/>
      <c r="C65" s="364"/>
      <c r="D65" s="364"/>
      <c r="E65" s="364"/>
      <c r="G65" s="364"/>
      <c r="H65" s="275"/>
      <c r="I65" s="299" t="s">
        <v>277</v>
      </c>
      <c r="J65" s="298"/>
      <c r="K65" s="298"/>
      <c r="L65" s="298"/>
    </row>
    <row r="66" spans="2:12">
      <c r="B66" s="364"/>
      <c r="C66" s="364"/>
      <c r="D66" s="364"/>
      <c r="E66" s="364"/>
      <c r="G66" s="364"/>
      <c r="H66" s="275"/>
      <c r="I66" s="358" t="s">
        <v>195</v>
      </c>
      <c r="J66" s="298">
        <f>B4</f>
        <v>323.45679012345676</v>
      </c>
      <c r="K66" s="298"/>
      <c r="L66" s="298"/>
    </row>
    <row r="67" spans="2:12">
      <c r="B67" s="364"/>
      <c r="C67" s="364"/>
      <c r="D67" s="364"/>
      <c r="E67" s="364"/>
      <c r="G67" s="364"/>
      <c r="H67" s="275"/>
      <c r="I67" s="358" t="s">
        <v>197</v>
      </c>
      <c r="J67" s="298">
        <v>10000</v>
      </c>
      <c r="K67" s="298"/>
      <c r="L67" s="298"/>
    </row>
    <row r="68" spans="2:12">
      <c r="B68" s="364"/>
      <c r="C68" s="364"/>
      <c r="D68" s="364"/>
      <c r="E68" s="364"/>
      <c r="G68" s="364"/>
      <c r="H68" s="275"/>
      <c r="I68" s="358" t="s">
        <v>272</v>
      </c>
      <c r="J68" s="298">
        <v>0</v>
      </c>
      <c r="K68" s="298">
        <v>0.28999999999999998</v>
      </c>
      <c r="L68" s="298">
        <v>0.44</v>
      </c>
    </row>
    <row r="69" spans="2:12">
      <c r="B69" s="364"/>
      <c r="C69" s="364"/>
      <c r="D69" s="364"/>
      <c r="E69" s="364"/>
      <c r="G69" s="364"/>
      <c r="H69" s="275"/>
      <c r="I69" s="364" t="s">
        <v>279</v>
      </c>
      <c r="J69" s="298"/>
      <c r="K69" s="298">
        <f>(J67/J66)*D4*K68</f>
        <v>30719.446471374049</v>
      </c>
      <c r="L69" s="298">
        <f>(J67/J66)*E4*L68</f>
        <v>20057.477839694657</v>
      </c>
    </row>
    <row r="70" spans="2:12">
      <c r="B70" s="364"/>
      <c r="C70" s="364"/>
      <c r="D70" s="364"/>
      <c r="E70" s="364"/>
      <c r="G70" s="364"/>
      <c r="H70" s="275"/>
      <c r="I70" s="353"/>
      <c r="J70" s="298"/>
      <c r="K70" s="298"/>
      <c r="L70" s="298"/>
    </row>
    <row r="71" spans="2:12">
      <c r="B71" s="364"/>
      <c r="C71" s="364"/>
      <c r="D71" s="364"/>
      <c r="E71" s="364"/>
      <c r="G71" s="364"/>
      <c r="H71" s="275"/>
      <c r="I71" s="299" t="s">
        <v>280</v>
      </c>
      <c r="J71" s="298"/>
      <c r="K71" s="298"/>
      <c r="L71" s="298"/>
    </row>
    <row r="72" spans="2:12">
      <c r="B72" s="364"/>
      <c r="C72" s="364"/>
      <c r="D72" s="364"/>
      <c r="E72" s="364"/>
      <c r="G72" s="364"/>
      <c r="H72" s="275"/>
      <c r="I72" s="358" t="s">
        <v>272</v>
      </c>
      <c r="J72" s="298">
        <v>0</v>
      </c>
      <c r="K72" s="298">
        <v>0.15</v>
      </c>
      <c r="L72" s="298">
        <v>0.1</v>
      </c>
    </row>
    <row r="73" spans="2:12">
      <c r="B73" s="364"/>
      <c r="C73" s="364"/>
      <c r="D73" s="364"/>
      <c r="E73" s="364"/>
      <c r="G73" s="364"/>
      <c r="H73" s="275"/>
      <c r="I73" s="358" t="s">
        <v>279</v>
      </c>
      <c r="J73" s="298">
        <v>0</v>
      </c>
      <c r="K73" s="298">
        <f>(J67/J66)*D22*K72</f>
        <v>100630.96522900765</v>
      </c>
      <c r="L73" s="298">
        <f>(J67/J66)*E22*L72</f>
        <v>914.83935114503822</v>
      </c>
    </row>
    <row r="74" spans="2:12">
      <c r="B74" s="364"/>
      <c r="C74" s="364"/>
      <c r="D74" s="364"/>
      <c r="E74" s="364"/>
      <c r="G74" s="364"/>
      <c r="H74" s="275"/>
      <c r="I74" s="353"/>
      <c r="J74" s="298"/>
      <c r="K74" s="298"/>
      <c r="L74" s="298"/>
    </row>
    <row r="75" spans="2:12">
      <c r="B75" s="364"/>
      <c r="C75" s="364"/>
      <c r="D75" s="364"/>
      <c r="E75" s="364"/>
      <c r="G75" s="364"/>
      <c r="H75" s="275"/>
      <c r="I75" s="280" t="s">
        <v>281</v>
      </c>
      <c r="J75" s="300">
        <v>0</v>
      </c>
      <c r="K75" s="300">
        <f>K69+K73</f>
        <v>131350.41170038169</v>
      </c>
      <c r="L75" s="300">
        <f>L69+L73</f>
        <v>20972.317190839694</v>
      </c>
    </row>
    <row r="76" spans="2:12">
      <c r="B76" s="364"/>
      <c r="C76" s="364"/>
      <c r="D76" s="364"/>
      <c r="E76" s="364"/>
      <c r="G76" s="364"/>
      <c r="H76" s="275"/>
      <c r="I76" s="353"/>
      <c r="J76" s="298"/>
      <c r="K76" s="298"/>
      <c r="L76" s="298"/>
    </row>
    <row r="77" spans="2:12">
      <c r="B77" s="364"/>
      <c r="C77" s="364"/>
      <c r="D77" s="364"/>
      <c r="E77" s="364"/>
      <c r="G77" s="364"/>
      <c r="H77" s="275"/>
      <c r="J77" s="298"/>
      <c r="K77" s="298"/>
      <c r="L77" s="298"/>
    </row>
    <row r="78" spans="2:12">
      <c r="B78" s="364"/>
      <c r="C78" s="364"/>
      <c r="D78" s="364"/>
      <c r="E78" s="364"/>
      <c r="G78" s="364"/>
      <c r="H78" s="275"/>
      <c r="I78" s="276" t="s">
        <v>228</v>
      </c>
      <c r="J78" s="298"/>
      <c r="K78" s="298"/>
      <c r="L78" s="298"/>
    </row>
    <row r="79" spans="2:12">
      <c r="B79" s="364"/>
      <c r="C79" s="364"/>
      <c r="D79" s="364"/>
      <c r="E79" s="364"/>
      <c r="G79" s="364"/>
      <c r="H79" s="275"/>
      <c r="I79" s="364" t="s">
        <v>284</v>
      </c>
      <c r="J79" s="298">
        <v>0</v>
      </c>
      <c r="K79" s="298">
        <f>D19</f>
        <v>629.30700000000002</v>
      </c>
      <c r="L79" s="298">
        <f>E19</f>
        <v>165.375</v>
      </c>
    </row>
    <row r="80" spans="2:12">
      <c r="B80" s="364"/>
      <c r="C80" s="364"/>
      <c r="D80" s="364"/>
      <c r="E80" s="364"/>
      <c r="G80" s="364"/>
      <c r="H80" s="275"/>
      <c r="I80" s="364" t="s">
        <v>285</v>
      </c>
      <c r="J80" s="298">
        <v>0</v>
      </c>
      <c r="K80" s="298">
        <v>0.5</v>
      </c>
      <c r="L80" s="298">
        <v>0.5</v>
      </c>
    </row>
    <row r="81" spans="2:13">
      <c r="B81" s="364"/>
      <c r="C81" s="364"/>
      <c r="D81" s="364"/>
      <c r="E81" s="364"/>
      <c r="G81" s="364"/>
      <c r="H81" s="275"/>
      <c r="I81" s="364" t="s">
        <v>272</v>
      </c>
      <c r="J81" s="298">
        <v>0</v>
      </c>
      <c r="K81" s="298">
        <v>0.75</v>
      </c>
      <c r="L81" s="298">
        <v>0.75</v>
      </c>
    </row>
    <row r="82" spans="2:13">
      <c r="B82" s="364"/>
      <c r="C82" s="364"/>
      <c r="D82" s="364"/>
      <c r="E82" s="364"/>
      <c r="G82" s="364"/>
      <c r="H82" s="275"/>
      <c r="I82" s="280" t="s">
        <v>279</v>
      </c>
      <c r="J82" s="298"/>
      <c r="K82" s="300">
        <f>K79*K80*K81</f>
        <v>235.99012500000001</v>
      </c>
      <c r="L82" s="300">
        <f>L79*L80*L81</f>
        <v>62.015625</v>
      </c>
    </row>
    <row r="83" spans="2:13">
      <c r="B83" s="364"/>
      <c r="C83" s="364"/>
      <c r="D83" s="364"/>
      <c r="E83" s="364"/>
      <c r="G83" s="364"/>
      <c r="H83" s="275"/>
      <c r="J83" s="298"/>
      <c r="K83" s="298"/>
      <c r="L83" s="298"/>
    </row>
    <row r="84" spans="2:13">
      <c r="B84" s="364"/>
      <c r="C84" s="364"/>
      <c r="D84" s="364"/>
      <c r="E84" s="364"/>
      <c r="G84" s="364"/>
      <c r="H84" s="275"/>
      <c r="J84" s="298"/>
      <c r="K84" s="298"/>
      <c r="L84" s="298"/>
    </row>
    <row r="85" spans="2:13">
      <c r="B85" s="364"/>
      <c r="C85" s="364"/>
      <c r="D85" s="364"/>
      <c r="E85" s="364"/>
      <c r="G85" s="364"/>
      <c r="H85" s="275"/>
      <c r="J85" s="298"/>
      <c r="K85" s="298"/>
      <c r="L85" s="298"/>
    </row>
    <row r="86" spans="2:13">
      <c r="B86" s="364"/>
      <c r="C86" s="364"/>
      <c r="D86" s="364"/>
      <c r="E86" s="364"/>
      <c r="G86" s="364"/>
      <c r="H86" s="275"/>
      <c r="I86" s="304" t="s">
        <v>276</v>
      </c>
      <c r="J86" s="305">
        <f>J5+J12+J20+J33+J39+J44+J50+J56+J62</f>
        <v>1631816.0467206107</v>
      </c>
      <c r="K86" s="305">
        <f>K5+K12+K20+K33+K39+K44+K50+K56+K62+K75+K82</f>
        <v>134141.64745419851</v>
      </c>
      <c r="L86" s="305">
        <f>L5+L12+L20+L33+L39+L44+L50+L56+L62+L75+L82</f>
        <v>23248.664584923663</v>
      </c>
    </row>
    <row r="87" spans="2:13">
      <c r="B87" s="364"/>
      <c r="C87" s="364"/>
      <c r="D87" s="364"/>
      <c r="E87" s="364"/>
      <c r="G87" s="364"/>
      <c r="H87" s="275"/>
      <c r="I87" s="362" t="s">
        <v>286</v>
      </c>
      <c r="J87" s="362">
        <f>J86/G25*100</f>
        <v>59.294161927269037</v>
      </c>
      <c r="K87" s="362">
        <f>K86/D25*100</f>
        <v>433.95760138202996</v>
      </c>
      <c r="L87" s="362">
        <f>L86/E25*100</f>
        <v>614.35800353424554</v>
      </c>
    </row>
    <row r="88" spans="2:13">
      <c r="B88" s="364"/>
      <c r="C88" s="364"/>
      <c r="D88" s="364"/>
      <c r="E88" s="364"/>
      <c r="G88" s="364"/>
    </row>
    <row r="89" spans="2:13">
      <c r="B89" s="364"/>
      <c r="C89" s="364"/>
      <c r="D89" s="364"/>
      <c r="E89" s="364"/>
      <c r="G89" s="364"/>
    </row>
    <row r="90" spans="2:13">
      <c r="B90" s="364"/>
      <c r="C90" s="364"/>
      <c r="D90" s="364"/>
      <c r="E90" s="364"/>
      <c r="G90" s="364"/>
    </row>
    <row r="91" spans="2:13">
      <c r="B91" s="364"/>
      <c r="C91" s="364"/>
      <c r="D91" s="364"/>
      <c r="E91" s="364"/>
      <c r="G91" s="364"/>
      <c r="I91" s="304"/>
      <c r="J91" s="304"/>
      <c r="K91" s="304"/>
      <c r="L91" s="304"/>
      <c r="M91" s="304"/>
    </row>
    <row r="92" spans="2:13">
      <c r="B92" s="364"/>
      <c r="C92" s="364"/>
      <c r="D92" s="364"/>
      <c r="E92" s="364"/>
      <c r="G92" s="364"/>
      <c r="I92" s="304"/>
      <c r="J92" s="304"/>
      <c r="K92" s="304"/>
      <c r="L92" s="304"/>
      <c r="M92" s="304"/>
    </row>
    <row r="93" spans="2:13">
      <c r="B93" s="364"/>
      <c r="C93" s="364"/>
      <c r="D93" s="364"/>
      <c r="E93" s="364"/>
      <c r="G93" s="364"/>
      <c r="I93" s="304"/>
      <c r="J93" s="304"/>
      <c r="K93" s="304"/>
      <c r="L93" s="304"/>
      <c r="M93" s="304"/>
    </row>
    <row r="94" spans="2:13">
      <c r="B94" s="364"/>
      <c r="C94" s="364"/>
      <c r="D94" s="364"/>
      <c r="E94" s="364"/>
      <c r="G94" s="364"/>
    </row>
    <row r="95" spans="2:13">
      <c r="B95" s="364"/>
      <c r="C95" s="364"/>
      <c r="D95" s="364"/>
      <c r="E95" s="364"/>
      <c r="G95" s="364"/>
      <c r="I95" s="306"/>
      <c r="J95" s="306"/>
      <c r="K95" s="306"/>
      <c r="L95" s="306"/>
      <c r="M95" s="306"/>
    </row>
    <row r="96" spans="2:13">
      <c r="B96" s="364"/>
      <c r="C96" s="364"/>
      <c r="D96" s="364"/>
      <c r="E96" s="364"/>
      <c r="G96" s="364"/>
      <c r="I96" s="306"/>
      <c r="J96" s="306"/>
      <c r="K96" s="306"/>
      <c r="L96" s="306"/>
      <c r="M96" s="306"/>
    </row>
    <row r="97" spans="2:7">
      <c r="B97" s="364"/>
      <c r="C97" s="364"/>
      <c r="D97" s="364"/>
      <c r="E97" s="364"/>
      <c r="G97" s="364"/>
    </row>
    <row r="98" spans="2:7">
      <c r="B98" s="364"/>
      <c r="C98" s="364"/>
      <c r="D98" s="364"/>
      <c r="E98" s="364"/>
      <c r="G98" s="364"/>
    </row>
    <row r="99" spans="2:7">
      <c r="B99" s="364"/>
      <c r="C99" s="364"/>
      <c r="D99" s="364"/>
      <c r="E99" s="364"/>
      <c r="G99" s="364"/>
    </row>
    <row r="100" spans="2:7">
      <c r="B100" s="364"/>
      <c r="C100" s="364"/>
      <c r="D100" s="364"/>
      <c r="E100" s="364"/>
      <c r="G100" s="364"/>
    </row>
    <row r="101" spans="2:7">
      <c r="B101" s="364"/>
      <c r="C101" s="364"/>
      <c r="D101" s="364"/>
      <c r="E101" s="364"/>
      <c r="G101" s="364"/>
    </row>
    <row r="102" spans="2:7">
      <c r="B102" s="364"/>
      <c r="C102" s="364"/>
      <c r="D102" s="364"/>
      <c r="E102" s="364"/>
      <c r="G102" s="364"/>
    </row>
    <row r="103" spans="2:7">
      <c r="B103" s="364"/>
      <c r="C103" s="364"/>
      <c r="D103" s="364"/>
      <c r="E103" s="364"/>
      <c r="G103" s="364"/>
    </row>
    <row r="104" spans="2:7">
      <c r="B104" s="364"/>
      <c r="C104" s="364"/>
      <c r="D104" s="364"/>
      <c r="E104" s="364"/>
      <c r="G104" s="364"/>
    </row>
    <row r="105" spans="2:7">
      <c r="B105" s="364"/>
      <c r="C105" s="364"/>
      <c r="D105" s="364"/>
      <c r="E105" s="364"/>
      <c r="G105" s="364"/>
    </row>
    <row r="106" spans="2:7">
      <c r="B106" s="364"/>
      <c r="C106" s="364"/>
      <c r="D106" s="364"/>
      <c r="E106" s="364"/>
      <c r="G106" s="364"/>
    </row>
    <row r="107" spans="2:7">
      <c r="B107" s="364"/>
      <c r="C107" s="364"/>
      <c r="D107" s="364"/>
      <c r="E107" s="364"/>
      <c r="G107" s="364"/>
    </row>
    <row r="108" spans="2:7">
      <c r="B108" s="364"/>
      <c r="C108" s="364"/>
      <c r="D108" s="364"/>
      <c r="E108" s="364"/>
      <c r="G108" s="364"/>
    </row>
    <row r="109" spans="2:7">
      <c r="B109" s="364"/>
      <c r="C109" s="364"/>
      <c r="D109" s="364"/>
      <c r="E109" s="364"/>
      <c r="G109" s="364"/>
    </row>
    <row r="110" spans="2:7">
      <c r="B110" s="364"/>
      <c r="C110" s="364"/>
      <c r="D110" s="364"/>
      <c r="E110" s="364"/>
      <c r="G110" s="364"/>
    </row>
    <row r="111" spans="2:7">
      <c r="B111" s="364"/>
      <c r="C111" s="364"/>
      <c r="D111" s="364"/>
      <c r="E111" s="364"/>
      <c r="G111" s="364"/>
    </row>
    <row r="112" spans="2:7">
      <c r="B112" s="364"/>
      <c r="C112" s="364"/>
      <c r="D112" s="364"/>
      <c r="E112" s="364"/>
      <c r="G112" s="364"/>
    </row>
    <row r="113" spans="2:7">
      <c r="B113" s="364"/>
      <c r="C113" s="364"/>
      <c r="D113" s="364"/>
      <c r="E113" s="364"/>
      <c r="G113" s="364"/>
    </row>
    <row r="117" spans="2:7">
      <c r="B117" s="364"/>
      <c r="C117" s="364"/>
      <c r="D117" s="364"/>
      <c r="E117" s="364"/>
      <c r="G117" s="364"/>
    </row>
    <row r="118" spans="2:7">
      <c r="B118" s="364"/>
      <c r="C118" s="364"/>
      <c r="D118" s="364"/>
      <c r="E118" s="364"/>
      <c r="G118" s="364"/>
    </row>
    <row r="119" spans="2:7">
      <c r="B119" s="364"/>
      <c r="C119" s="364"/>
      <c r="D119" s="364"/>
      <c r="E119" s="364"/>
      <c r="G119" s="364"/>
    </row>
    <row r="129" s="364" customFormat="1"/>
    <row r="130" s="364" customFormat="1"/>
    <row r="131" s="364" customFormat="1"/>
    <row r="132" s="364" customFormat="1"/>
    <row r="133" s="364" customFormat="1"/>
    <row r="134" s="364" customFormat="1"/>
    <row r="135" s="364" customFormat="1"/>
    <row r="136" s="364" customFormat="1"/>
    <row r="137" s="364" customFormat="1"/>
    <row r="138" s="364" customFormat="1"/>
    <row r="139" s="364" customFormat="1"/>
    <row r="140" s="364" customFormat="1"/>
    <row r="141" s="364" customFormat="1"/>
    <row r="142" s="364" customFormat="1"/>
    <row r="143" s="364" customFormat="1"/>
    <row r="144" s="364" customFormat="1"/>
    <row r="145" s="364" customFormat="1"/>
    <row r="146" s="364" customFormat="1"/>
    <row r="147" s="364" customFormat="1"/>
    <row r="148" s="364" customFormat="1"/>
    <row r="149" s="364" customFormat="1"/>
    <row r="150" s="364" customFormat="1"/>
    <row r="151" s="364" customFormat="1"/>
    <row r="152" s="364" customFormat="1"/>
    <row r="153" s="364" customFormat="1"/>
    <row r="154" s="364" customFormat="1"/>
    <row r="155" s="364" customFormat="1"/>
    <row r="156" s="364" customFormat="1"/>
    <row r="157" s="364" customFormat="1"/>
    <row r="158" s="364" customFormat="1"/>
    <row r="159" s="364" customFormat="1"/>
    <row r="160" s="364" customFormat="1"/>
    <row r="161" s="364" customFormat="1"/>
    <row r="162" s="364" customFormat="1"/>
    <row r="163" s="364" customFormat="1"/>
    <row r="164" s="364" customFormat="1"/>
    <row r="165" s="364" customFormat="1"/>
    <row r="166" s="364" customFormat="1"/>
    <row r="167" s="364" customFormat="1"/>
  </sheetData>
  <mergeCells count="3">
    <mergeCell ref="A1:E1"/>
    <mergeCell ref="A26:C26"/>
    <mergeCell ref="A27:C2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7"/>
  <sheetViews>
    <sheetView zoomScale="80" zoomScaleNormal="80" workbookViewId="0">
      <selection activeCell="J10" sqref="J10"/>
    </sheetView>
  </sheetViews>
  <sheetFormatPr baseColWidth="10" defaultColWidth="8.83203125" defaultRowHeight="15"/>
  <cols>
    <col min="6" max="6" width="16.5" customWidth="1"/>
    <col min="7" max="7" width="11.6640625" customWidth="1"/>
    <col min="8" max="8" width="11.5" customWidth="1"/>
    <col min="10" max="10" width="20" customWidth="1"/>
    <col min="11" max="11" width="13.1640625" customWidth="1"/>
    <col min="12" max="12" width="11.83203125" customWidth="1"/>
  </cols>
  <sheetData>
    <row r="1" spans="1:12" s="384" customFormat="1" ht="24">
      <c r="F1" s="500" t="s">
        <v>373</v>
      </c>
      <c r="G1" s="500"/>
      <c r="H1" s="500"/>
      <c r="J1" s="500" t="s">
        <v>374</v>
      </c>
      <c r="K1" s="500"/>
      <c r="L1" s="500"/>
    </row>
    <row r="2" spans="1:12" s="224" customFormat="1">
      <c r="F2" s="366" t="s">
        <v>290</v>
      </c>
      <c r="G2" s="366" t="s">
        <v>291</v>
      </c>
      <c r="H2" s="366" t="s">
        <v>292</v>
      </c>
      <c r="J2" s="366" t="s">
        <v>290</v>
      </c>
      <c r="K2" s="366" t="s">
        <v>291</v>
      </c>
      <c r="L2" s="366" t="s">
        <v>292</v>
      </c>
    </row>
    <row r="3" spans="1:12" s="224" customFormat="1">
      <c r="F3" s="367"/>
      <c r="G3" s="367"/>
      <c r="H3" s="367"/>
    </row>
    <row r="4" spans="1:12">
      <c r="A4" s="368" t="s">
        <v>299</v>
      </c>
      <c r="F4" s="370">
        <f>+'Agricultural BMPs (Existing)'!G25</f>
        <v>2752068.6584999999</v>
      </c>
      <c r="G4" s="370">
        <f>+'Agricultural BMPs (Existing)'!D25</f>
        <v>30911.233500000002</v>
      </c>
      <c r="H4" s="370">
        <f>+'Agricultural BMPs (Existing)'!E25</f>
        <v>3784.2210000000005</v>
      </c>
    </row>
    <row r="5" spans="1:12">
      <c r="F5" s="370"/>
      <c r="G5" s="370"/>
      <c r="H5" s="370"/>
    </row>
    <row r="6" spans="1:12">
      <c r="A6" s="368" t="s">
        <v>293</v>
      </c>
      <c r="F6" s="370">
        <v>0</v>
      </c>
      <c r="G6" s="370">
        <v>0</v>
      </c>
      <c r="H6" s="370">
        <v>0</v>
      </c>
    </row>
    <row r="7" spans="1:12">
      <c r="F7" s="370"/>
      <c r="G7" s="370"/>
      <c r="H7" s="370"/>
    </row>
    <row r="8" spans="1:12">
      <c r="A8" s="368" t="s">
        <v>294</v>
      </c>
      <c r="F8" s="370">
        <v>0</v>
      </c>
      <c r="G8" s="370">
        <v>0</v>
      </c>
      <c r="H8" s="370">
        <v>0</v>
      </c>
    </row>
    <row r="9" spans="1:12">
      <c r="F9" s="370"/>
      <c r="G9" s="370"/>
      <c r="H9" s="370"/>
      <c r="J9" s="385" t="s">
        <v>375</v>
      </c>
    </row>
    <row r="10" spans="1:12">
      <c r="A10" s="368" t="s">
        <v>295</v>
      </c>
      <c r="F10" s="370">
        <f>+'Agricultural BMPs (Existing)'!J86</f>
        <v>22085539.880831886</v>
      </c>
      <c r="G10" s="370">
        <f>+'Agricultural BMPs (Existing)'!K86</f>
        <v>178063.18178257108</v>
      </c>
      <c r="H10" s="370">
        <f>+'Agricultural BMPs (Existing)'!L86</f>
        <v>58177.203550222359</v>
      </c>
    </row>
    <row r="11" spans="1:12">
      <c r="F11" s="370"/>
      <c r="G11" s="370"/>
      <c r="H11" s="370"/>
    </row>
    <row r="12" spans="1:12">
      <c r="A12" s="368" t="s">
        <v>296</v>
      </c>
      <c r="F12" s="370">
        <f>+'Agricultural BMPs (Proposed)'!J86</f>
        <v>1631816.0467206107</v>
      </c>
      <c r="G12" s="370">
        <f>+'Agricultural BMPs (Proposed)'!K86</f>
        <v>134141.64745419851</v>
      </c>
      <c r="H12" s="370">
        <f>+'Agricultural BMPs (Proposed)'!L86</f>
        <v>23248.664584923663</v>
      </c>
    </row>
    <row r="13" spans="1:12">
      <c r="F13" s="370"/>
      <c r="G13" s="370"/>
      <c r="H13" s="370"/>
    </row>
    <row r="14" spans="1:12">
      <c r="F14" s="370"/>
      <c r="G14" s="370"/>
      <c r="H14" s="370"/>
    </row>
    <row r="15" spans="1:12">
      <c r="A15" s="224" t="s">
        <v>297</v>
      </c>
      <c r="F15" s="370">
        <f>SUM(F6:F12)</f>
        <v>23717355.927552495</v>
      </c>
      <c r="G15" s="370">
        <f>SUM(G6:G12)</f>
        <v>312204.82923676958</v>
      </c>
      <c r="H15" s="370">
        <f>SUM(H6:H12)</f>
        <v>81425.868135146025</v>
      </c>
    </row>
    <row r="16" spans="1:12" s="267" customFormat="1">
      <c r="A16" s="224" t="s">
        <v>298</v>
      </c>
      <c r="F16" s="370">
        <f>F4-F15</f>
        <v>-20965287.269052494</v>
      </c>
      <c r="G16" s="370">
        <f>G4-G15</f>
        <v>-281293.59573676961</v>
      </c>
      <c r="H16" s="370">
        <f>H4-H15</f>
        <v>-77641.64713514602</v>
      </c>
    </row>
    <row r="17" spans="1:8">
      <c r="A17" s="224" t="s">
        <v>289</v>
      </c>
      <c r="F17" s="369">
        <f>(F15/F4)*100</f>
        <v>861.80102572293788</v>
      </c>
      <c r="G17" s="369">
        <f>(G15/G4)*100</f>
        <v>1010.0044349144772</v>
      </c>
      <c r="H17" s="369">
        <f>(H15/H4)*100</f>
        <v>2151.7207408115437</v>
      </c>
    </row>
    <row r="20" spans="1:8">
      <c r="A20" s="224" t="s">
        <v>302</v>
      </c>
      <c r="F20" s="370">
        <f>F4-(F6+F10)</f>
        <v>-19333471.222331885</v>
      </c>
      <c r="G20" s="370">
        <f t="shared" ref="G20:H20" si="0">G4-(G6+G10)</f>
        <v>-147151.94828257107</v>
      </c>
      <c r="H20" s="370">
        <f t="shared" si="0"/>
        <v>-54392.982550222361</v>
      </c>
    </row>
    <row r="21" spans="1:8">
      <c r="A21" s="224" t="s">
        <v>305</v>
      </c>
      <c r="F21" s="370">
        <f>F8+F12</f>
        <v>1631816.0467206107</v>
      </c>
      <c r="G21" s="370">
        <f t="shared" ref="G21:H21" si="1">G8+G12</f>
        <v>134141.64745419851</v>
      </c>
      <c r="H21" s="370">
        <f t="shared" si="1"/>
        <v>23248.664584923663</v>
      </c>
    </row>
    <row r="22" spans="1:8">
      <c r="A22" s="224" t="s">
        <v>303</v>
      </c>
      <c r="F22" s="369">
        <f>(F21/F20)*100</f>
        <v>-8.4403676295631662</v>
      </c>
      <c r="G22" s="369">
        <f t="shared" ref="G22:H22" si="2">(G21/G20)*100</f>
        <v>-91.158594242062421</v>
      </c>
      <c r="H22" s="369">
        <f t="shared" si="2"/>
        <v>-42.742029384870754</v>
      </c>
    </row>
    <row r="24" spans="1:8" s="267" customFormat="1"/>
    <row r="26" spans="1:8" s="368" customFormat="1">
      <c r="A26" s="368" t="s">
        <v>304</v>
      </c>
    </row>
    <row r="27" spans="1:8" s="368" customFormat="1">
      <c r="A27" s="368" t="s">
        <v>306</v>
      </c>
    </row>
  </sheetData>
  <mergeCells count="2">
    <mergeCell ref="F1:H1"/>
    <mergeCell ref="J1:L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H25"/>
  <sheetViews>
    <sheetView workbookViewId="0">
      <selection activeCell="A3" sqref="A3:XFD24"/>
    </sheetView>
  </sheetViews>
  <sheetFormatPr baseColWidth="10" defaultColWidth="8.83203125" defaultRowHeight="15"/>
  <cols>
    <col min="6" max="6" width="12.5" customWidth="1"/>
  </cols>
  <sheetData>
    <row r="3" spans="1:8" s="1" customFormat="1" ht="13">
      <c r="A3" s="38" t="s">
        <v>329</v>
      </c>
      <c r="H3" s="38" t="s">
        <v>349</v>
      </c>
    </row>
    <row r="4" spans="1:8" s="1" customFormat="1" ht="13">
      <c r="A4" s="38"/>
    </row>
    <row r="5" spans="1:8" s="1" customFormat="1" ht="13">
      <c r="A5" s="1" t="s">
        <v>330</v>
      </c>
      <c r="C5" s="100"/>
      <c r="D5" s="1" t="s">
        <v>331</v>
      </c>
      <c r="F5" s="100" t="s">
        <v>348</v>
      </c>
      <c r="H5" s="1" t="s">
        <v>350</v>
      </c>
    </row>
    <row r="6" spans="1:8" s="1" customFormat="1" ht="13">
      <c r="A6" s="1" t="s">
        <v>332</v>
      </c>
      <c r="D6" s="1">
        <v>0.32</v>
      </c>
      <c r="F6" s="100">
        <f t="shared" ref="F6:F21" si="0">(D6*100)/0.405</f>
        <v>79.012345679012341</v>
      </c>
    </row>
    <row r="7" spans="1:8" s="1" customFormat="1" ht="13">
      <c r="A7" s="1" t="s">
        <v>333</v>
      </c>
      <c r="D7" s="1">
        <v>0</v>
      </c>
      <c r="F7" s="100">
        <f t="shared" si="0"/>
        <v>0</v>
      </c>
    </row>
    <row r="8" spans="1:8" s="1" customFormat="1" ht="13">
      <c r="A8" s="1" t="s">
        <v>334</v>
      </c>
      <c r="D8" s="1">
        <v>33.21</v>
      </c>
      <c r="F8" s="100">
        <f t="shared" si="0"/>
        <v>8200</v>
      </c>
    </row>
    <row r="9" spans="1:8" s="1" customFormat="1" ht="13">
      <c r="A9" s="1" t="s">
        <v>335</v>
      </c>
      <c r="D9" s="1">
        <v>16.93</v>
      </c>
      <c r="F9" s="100">
        <f t="shared" si="0"/>
        <v>4180.2469135802467</v>
      </c>
    </row>
    <row r="10" spans="1:8" s="1" customFormat="1" ht="13">
      <c r="A10" s="1" t="s">
        <v>336</v>
      </c>
      <c r="D10" s="1">
        <v>4.38</v>
      </c>
      <c r="F10" s="100">
        <f t="shared" si="0"/>
        <v>1081.4814814814815</v>
      </c>
    </row>
    <row r="11" spans="1:8" s="1" customFormat="1" ht="13">
      <c r="A11" s="1" t="s">
        <v>337</v>
      </c>
      <c r="D11" s="1">
        <v>1.06</v>
      </c>
      <c r="F11" s="100">
        <f t="shared" si="0"/>
        <v>261.72839506172835</v>
      </c>
    </row>
    <row r="12" spans="1:8" s="1" customFormat="1" ht="13">
      <c r="A12" s="1" t="s">
        <v>338</v>
      </c>
      <c r="D12" s="1">
        <v>0.71</v>
      </c>
      <c r="F12" s="100">
        <f t="shared" si="0"/>
        <v>175.30864197530863</v>
      </c>
    </row>
    <row r="13" spans="1:8" s="1" customFormat="1" ht="13">
      <c r="A13" s="1" t="s">
        <v>339</v>
      </c>
      <c r="D13" s="1">
        <v>86.74</v>
      </c>
      <c r="F13" s="100">
        <f t="shared" si="0"/>
        <v>21417.283950617282</v>
      </c>
    </row>
    <row r="14" spans="1:8" s="1" customFormat="1" ht="13">
      <c r="A14" s="1" t="s">
        <v>340</v>
      </c>
      <c r="D14" s="1">
        <v>1.1100000000000001</v>
      </c>
      <c r="F14" s="100">
        <f t="shared" si="0"/>
        <v>274.07407407407408</v>
      </c>
    </row>
    <row r="15" spans="1:8" s="1" customFormat="1" ht="13">
      <c r="A15" s="1" t="s">
        <v>341</v>
      </c>
      <c r="D15" s="1">
        <v>4.5199999999999996</v>
      </c>
      <c r="F15" s="100">
        <f t="shared" si="0"/>
        <v>1116.0493827160492</v>
      </c>
    </row>
    <row r="16" spans="1:8" s="1" customFormat="1" ht="13">
      <c r="A16" s="1" t="s">
        <v>342</v>
      </c>
      <c r="D16" s="1">
        <v>13.6</v>
      </c>
      <c r="F16" s="100">
        <f t="shared" si="0"/>
        <v>3358.0246913580245</v>
      </c>
    </row>
    <row r="17" spans="1:6" s="1" customFormat="1" ht="13">
      <c r="A17" s="1" t="s">
        <v>343</v>
      </c>
      <c r="D17" s="1">
        <v>1.18</v>
      </c>
      <c r="F17" s="100">
        <f t="shared" si="0"/>
        <v>291.35802469135803</v>
      </c>
    </row>
    <row r="18" spans="1:6" s="1" customFormat="1" ht="13">
      <c r="A18" s="1" t="s">
        <v>344</v>
      </c>
      <c r="D18" s="1">
        <v>95.42</v>
      </c>
      <c r="F18" s="100">
        <f t="shared" si="0"/>
        <v>23560.493827160491</v>
      </c>
    </row>
    <row r="19" spans="1:6" s="1" customFormat="1" ht="13">
      <c r="A19" s="1" t="s">
        <v>345</v>
      </c>
      <c r="D19" s="1">
        <v>138.96</v>
      </c>
      <c r="F19" s="100">
        <f t="shared" si="0"/>
        <v>34311.111111111109</v>
      </c>
    </row>
    <row r="20" spans="1:6" s="1" customFormat="1" ht="13">
      <c r="A20" s="1" t="s">
        <v>346</v>
      </c>
      <c r="D20" s="1">
        <v>1.4</v>
      </c>
      <c r="F20" s="100">
        <f t="shared" si="0"/>
        <v>345.67901234567898</v>
      </c>
    </row>
    <row r="21" spans="1:6" s="1" customFormat="1" ht="13">
      <c r="A21" s="1" t="s">
        <v>347</v>
      </c>
      <c r="D21" s="1">
        <v>0.32</v>
      </c>
      <c r="F21" s="100">
        <f t="shared" si="0"/>
        <v>79.012345679012341</v>
      </c>
    </row>
    <row r="22" spans="1:6" s="1" customFormat="1" ht="13"/>
    <row r="23" spans="1:6" s="1" customFormat="1" ht="13">
      <c r="F23" s="100">
        <f>SUM(F6:F21)</f>
        <v>98730.864197530842</v>
      </c>
    </row>
    <row r="24" spans="1:6" s="1" customFormat="1" ht="13"/>
    <row r="25" spans="1:6" s="1" customFormat="1" 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Cover Page</vt:lpstr>
      <vt:lpstr>Instructions&amp;Overview</vt:lpstr>
      <vt:lpstr>LandUseLoadingRatesLookUpTable</vt:lpstr>
      <vt:lpstr>MMW Output</vt:lpstr>
      <vt:lpstr>Farm Animal TN and TP Loading</vt:lpstr>
      <vt:lpstr>Stream Bank SedimentLoadingRate</vt:lpstr>
      <vt:lpstr>Stream Bank Nitrogen Loading</vt:lpstr>
      <vt:lpstr>Stream Bank Phosphorus Loading</vt:lpstr>
      <vt:lpstr>Perf Std Approach</vt:lpstr>
      <vt:lpstr>ExistingBMPs</vt:lpstr>
      <vt:lpstr>Urban BMPs (Existing)</vt:lpstr>
      <vt:lpstr>Urban BMPs (Proposed)</vt:lpstr>
      <vt:lpstr>Agricultural BMPs (Existing)</vt:lpstr>
      <vt:lpstr>Agricultural BMPs (Proposed)</vt:lpstr>
      <vt:lpstr>Total Load Reductions</vt:lpstr>
      <vt:lpstr>Sheet1</vt:lpstr>
      <vt:lpstr>ExistingBMPs_</vt:lpstr>
    </vt:vector>
  </TitlesOfParts>
  <Company>County of 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Betz, Dani-Ella</dc:creator>
  <cp:lastModifiedBy>Anthony Aufdenkampe</cp:lastModifiedBy>
  <cp:lastPrinted>2017-05-02T16:24:18Z</cp:lastPrinted>
  <dcterms:created xsi:type="dcterms:W3CDTF">2017-03-01T19:27:22Z</dcterms:created>
  <dcterms:modified xsi:type="dcterms:W3CDTF">2018-07-24T15:32:19Z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