
<file path=[Content_Types].xml><?xml version="1.0" encoding="utf-8"?>
<Types xmlns="http://schemas.openxmlformats.org/package/2006/content-types">
  <Default Extension="bin" ContentType="application/vnd.openxmlformats-officedocument.spreadsheetml.printerSettings"/>
  <Default Extension="tmp"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bookViews>
    <workbookView xWindow="0" yWindow="0" windowWidth="20730" windowHeight="10860" activeTab="4"/>
  </bookViews>
  <sheets>
    <sheet name="Cover Page" sheetId="11" r:id="rId1"/>
    <sheet name="READ ME! INSTRUCTIONS" sheetId="7" r:id="rId2"/>
    <sheet name="PerformStdApproach" sheetId="8" r:id="rId3"/>
    <sheet name="Loading" sheetId="2" r:id="rId4"/>
    <sheet name="ExistingBMPs" sheetId="3" r:id="rId5"/>
    <sheet name="ProposedBMPs" sheetId="10" r:id="rId6"/>
  </sheets>
  <definedNames>
    <definedName name="_xlnm.Print_Area" localSheetId="2">PerformStdApproach!$A$1:$O$114</definedName>
    <definedName name="Sewersheds" localSheetId="5">OFFSET(#REF!,0,1,1,COLUMNS(#REF!)-1)</definedName>
    <definedName name="Sewersheds">OFFSET(#REF!,0,1,1,COLUMNS(#REF!)-1)</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8" i="3" l="1"/>
  <c r="T17" i="3"/>
  <c r="S34" i="10" l="1"/>
  <c r="R34" i="10"/>
  <c r="Q34" i="10"/>
  <c r="M34" i="10"/>
  <c r="P34" i="10" s="1"/>
  <c r="W34" i="10" s="1"/>
  <c r="M33" i="10"/>
  <c r="P33" i="10" s="1"/>
  <c r="P32" i="10"/>
  <c r="O32" i="10"/>
  <c r="N32" i="10"/>
  <c r="M32" i="10"/>
  <c r="I32" i="10"/>
  <c r="J32" i="10" s="1"/>
  <c r="L32" i="10" s="1"/>
  <c r="S26" i="10"/>
  <c r="R26" i="10"/>
  <c r="Q26" i="10"/>
  <c r="M26" i="10"/>
  <c r="I26" i="10" s="1"/>
  <c r="J26" i="10" s="1"/>
  <c r="L26" i="10" s="1"/>
  <c r="S25" i="10"/>
  <c r="R25" i="10"/>
  <c r="Q25" i="10"/>
  <c r="M25" i="10"/>
  <c r="P25" i="10" s="1"/>
  <c r="P24" i="10"/>
  <c r="O24" i="10"/>
  <c r="N24" i="10"/>
  <c r="M24" i="10"/>
  <c r="I24" i="10"/>
  <c r="J24" i="10" s="1"/>
  <c r="L24" i="10" s="1"/>
  <c r="S35" i="3"/>
  <c r="R35" i="3"/>
  <c r="Q35" i="3"/>
  <c r="M35" i="3"/>
  <c r="P35" i="3" s="1"/>
  <c r="W35" i="3" s="1"/>
  <c r="P34" i="3"/>
  <c r="O34" i="3"/>
  <c r="N34" i="3"/>
  <c r="M34" i="3"/>
  <c r="I34" i="3"/>
  <c r="J34" i="3" s="1"/>
  <c r="L34" i="3" s="1"/>
  <c r="P33" i="3"/>
  <c r="O33" i="3"/>
  <c r="N33" i="3"/>
  <c r="M33" i="3"/>
  <c r="I33" i="3"/>
  <c r="J33" i="3" s="1"/>
  <c r="L33" i="3" s="1"/>
  <c r="S27" i="3"/>
  <c r="R27" i="3"/>
  <c r="Q27" i="3"/>
  <c r="M27" i="3"/>
  <c r="I27" i="3" s="1"/>
  <c r="J27" i="3" s="1"/>
  <c r="L27" i="3" s="1"/>
  <c r="P26" i="3"/>
  <c r="O26" i="3"/>
  <c r="N26" i="3"/>
  <c r="M26" i="3"/>
  <c r="I26" i="3" s="1"/>
  <c r="J26" i="3" s="1"/>
  <c r="L26" i="3" s="1"/>
  <c r="P25" i="3"/>
  <c r="O25" i="3"/>
  <c r="N25" i="3"/>
  <c r="M25" i="3"/>
  <c r="I25" i="3"/>
  <c r="J25" i="3" s="1"/>
  <c r="L25" i="3" s="1"/>
  <c r="I33" i="10" l="1"/>
  <c r="J33" i="10" s="1"/>
  <c r="L33" i="10" s="1"/>
  <c r="R32" i="10"/>
  <c r="V32" i="10" s="1"/>
  <c r="S32" i="10"/>
  <c r="W32" i="10" s="1"/>
  <c r="Q32" i="10"/>
  <c r="T32" i="10" s="1"/>
  <c r="N34" i="10"/>
  <c r="T34" i="10" s="1"/>
  <c r="U34" i="10" s="1"/>
  <c r="O34" i="10"/>
  <c r="V34" i="10" s="1"/>
  <c r="N33" i="10"/>
  <c r="O33" i="10"/>
  <c r="I34" i="10"/>
  <c r="J34" i="10" s="1"/>
  <c r="L34" i="10" s="1"/>
  <c r="I25" i="10"/>
  <c r="J25" i="10" s="1"/>
  <c r="L25" i="10" s="1"/>
  <c r="R24" i="10"/>
  <c r="V24" i="10" s="1"/>
  <c r="Q24" i="10"/>
  <c r="T24" i="10" s="1"/>
  <c r="S24" i="10"/>
  <c r="W24" i="10" s="1"/>
  <c r="W25" i="10"/>
  <c r="N26" i="10"/>
  <c r="T26" i="10" s="1"/>
  <c r="U26" i="10" s="1"/>
  <c r="N25" i="10"/>
  <c r="T25" i="10" s="1"/>
  <c r="U25" i="10" s="1"/>
  <c r="P26" i="10"/>
  <c r="W26" i="10" s="1"/>
  <c r="O26" i="10"/>
  <c r="V26" i="10" s="1"/>
  <c r="O25" i="10"/>
  <c r="V25" i="10" s="1"/>
  <c r="R33" i="3"/>
  <c r="V33" i="3" s="1"/>
  <c r="Q33" i="3"/>
  <c r="T33" i="3" s="1"/>
  <c r="S33" i="3"/>
  <c r="W33" i="3" s="1"/>
  <c r="Q34" i="3"/>
  <c r="T34" i="3" s="1"/>
  <c r="U34" i="3" s="1"/>
  <c r="S34" i="3"/>
  <c r="W34" i="3" s="1"/>
  <c r="R34" i="3"/>
  <c r="V34" i="3" s="1"/>
  <c r="N35" i="3"/>
  <c r="T35" i="3" s="1"/>
  <c r="U35" i="3" s="1"/>
  <c r="I35" i="3"/>
  <c r="J35" i="3" s="1"/>
  <c r="L35" i="3" s="1"/>
  <c r="O35" i="3"/>
  <c r="V35" i="3" s="1"/>
  <c r="R26" i="3"/>
  <c r="V26" i="3" s="1"/>
  <c r="Q26" i="3"/>
  <c r="T26" i="3" s="1"/>
  <c r="U26" i="3" s="1"/>
  <c r="S26" i="3"/>
  <c r="W26" i="3" s="1"/>
  <c r="R25" i="3"/>
  <c r="V25" i="3" s="1"/>
  <c r="S25" i="3"/>
  <c r="W25" i="3" s="1"/>
  <c r="Q25" i="3"/>
  <c r="T25" i="3" s="1"/>
  <c r="N27" i="3"/>
  <c r="T27" i="3" s="1"/>
  <c r="U27" i="3" s="1"/>
  <c r="O27" i="3"/>
  <c r="V27" i="3" s="1"/>
  <c r="P27" i="3"/>
  <c r="W27" i="3" s="1"/>
  <c r="S16" i="10"/>
  <c r="W16" i="10" s="1"/>
  <c r="R16" i="10"/>
  <c r="V16" i="10" s="1"/>
  <c r="Q16" i="10"/>
  <c r="T16" i="10" s="1"/>
  <c r="U16" i="10" s="1"/>
  <c r="P16" i="10"/>
  <c r="O16" i="10"/>
  <c r="N16" i="10"/>
  <c r="M16" i="10"/>
  <c r="I16" i="10" s="1"/>
  <c r="J16" i="10" s="1"/>
  <c r="L16" i="10" s="1"/>
  <c r="P15" i="10"/>
  <c r="O15" i="10"/>
  <c r="N15" i="10"/>
  <c r="L15" i="10"/>
  <c r="S15" i="10" s="1"/>
  <c r="W15" i="10" s="1"/>
  <c r="P14" i="10"/>
  <c r="O14" i="10"/>
  <c r="N14" i="10"/>
  <c r="P13" i="10"/>
  <c r="O13" i="10"/>
  <c r="N13" i="10"/>
  <c r="P12" i="10"/>
  <c r="O12" i="10"/>
  <c r="N12" i="10"/>
  <c r="P11" i="10"/>
  <c r="O11" i="10"/>
  <c r="N11" i="10"/>
  <c r="P12" i="3"/>
  <c r="P13" i="3"/>
  <c r="P14" i="3"/>
  <c r="P15" i="3"/>
  <c r="P16" i="3"/>
  <c r="P17" i="3"/>
  <c r="O12" i="3"/>
  <c r="O13" i="3"/>
  <c r="O14" i="3"/>
  <c r="O15" i="3"/>
  <c r="O16" i="3"/>
  <c r="O17" i="3"/>
  <c r="M17" i="3"/>
  <c r="E49" i="7"/>
  <c r="M12" i="3" s="1"/>
  <c r="E50" i="7"/>
  <c r="E51" i="7"/>
  <c r="E52" i="7"/>
  <c r="M14" i="3" s="1"/>
  <c r="E53" i="7"/>
  <c r="M15" i="3" s="1"/>
  <c r="E54" i="7"/>
  <c r="M13" i="3" s="1"/>
  <c r="N12" i="3"/>
  <c r="N13" i="3"/>
  <c r="N14" i="3"/>
  <c r="N15" i="3"/>
  <c r="N16" i="3"/>
  <c r="N17" i="3"/>
  <c r="D34" i="2"/>
  <c r="S18" i="10" s="1"/>
  <c r="C34" i="2"/>
  <c r="R17" i="10" s="1"/>
  <c r="B34" i="2"/>
  <c r="Q18" i="10" s="1"/>
  <c r="R33" i="10" l="1"/>
  <c r="V33" i="10" s="1"/>
  <c r="V35" i="10" s="1"/>
  <c r="S33" i="10"/>
  <c r="W33" i="10" s="1"/>
  <c r="W35" i="10" s="1"/>
  <c r="Q33" i="10"/>
  <c r="T33" i="10" s="1"/>
  <c r="U32" i="10"/>
  <c r="U24" i="10"/>
  <c r="U27" i="10" s="1"/>
  <c r="T27" i="10"/>
  <c r="V27" i="10"/>
  <c r="W27" i="10"/>
  <c r="W36" i="3"/>
  <c r="T36" i="3"/>
  <c r="U33" i="3"/>
  <c r="U36" i="3" s="1"/>
  <c r="V36" i="3"/>
  <c r="U25" i="3"/>
  <c r="U28" i="3" s="1"/>
  <c r="T28" i="3"/>
  <c r="V28" i="3"/>
  <c r="W28" i="3"/>
  <c r="Q17" i="10"/>
  <c r="R18" i="10"/>
  <c r="S17" i="10"/>
  <c r="Q15" i="10"/>
  <c r="T15" i="10" s="1"/>
  <c r="U15" i="10" s="1"/>
  <c r="R15" i="10"/>
  <c r="V15" i="10" s="1"/>
  <c r="M11" i="10"/>
  <c r="I11" i="10" s="1"/>
  <c r="J11" i="10" s="1"/>
  <c r="L11" i="10" s="1"/>
  <c r="R11" i="10" s="1"/>
  <c r="V11" i="10" s="1"/>
  <c r="M13" i="10"/>
  <c r="I13" i="10" s="1"/>
  <c r="J13" i="10" s="1"/>
  <c r="L13" i="10" s="1"/>
  <c r="S13" i="10" s="1"/>
  <c r="W13" i="10" s="1"/>
  <c r="M14" i="10"/>
  <c r="I14" i="10" s="1"/>
  <c r="J14" i="10" s="1"/>
  <c r="L14" i="10" s="1"/>
  <c r="S14" i="10" s="1"/>
  <c r="W14" i="10" s="1"/>
  <c r="M12" i="10"/>
  <c r="I12" i="10" s="1"/>
  <c r="J12" i="10" s="1"/>
  <c r="L12" i="10" s="1"/>
  <c r="S12" i="10" s="1"/>
  <c r="W12" i="10" s="1"/>
  <c r="S17" i="3"/>
  <c r="W17" i="3" s="1"/>
  <c r="S18" i="3"/>
  <c r="S19" i="3"/>
  <c r="R17" i="3"/>
  <c r="V17" i="3" s="1"/>
  <c r="R18" i="3"/>
  <c r="R19" i="3"/>
  <c r="Q17" i="3"/>
  <c r="Q18" i="3"/>
  <c r="Q19" i="3"/>
  <c r="I17" i="3"/>
  <c r="J17" i="3" s="1"/>
  <c r="L16" i="3"/>
  <c r="R16" i="3" s="1"/>
  <c r="V16" i="3" s="1"/>
  <c r="R13" i="10" l="1"/>
  <c r="V13" i="10" s="1"/>
  <c r="U33" i="10"/>
  <c r="U35" i="10" s="1"/>
  <c r="T35" i="10"/>
  <c r="Q12" i="10"/>
  <c r="T12" i="10" s="1"/>
  <c r="U12" i="10" s="1"/>
  <c r="Q14" i="10"/>
  <c r="T14" i="10" s="1"/>
  <c r="U14" i="10" s="1"/>
  <c r="Q11" i="10"/>
  <c r="T11" i="10" s="1"/>
  <c r="U11" i="10" s="1"/>
  <c r="S11" i="10"/>
  <c r="W11" i="10" s="1"/>
  <c r="R14" i="10"/>
  <c r="V14" i="10" s="1"/>
  <c r="Q13" i="10"/>
  <c r="T13" i="10" s="1"/>
  <c r="U13" i="10" s="1"/>
  <c r="R12" i="10"/>
  <c r="V12" i="10" s="1"/>
  <c r="U17" i="3"/>
  <c r="S16" i="3"/>
  <c r="W16" i="3" s="1"/>
  <c r="Q16" i="3"/>
  <c r="T16" i="3" s="1"/>
  <c r="L17" i="3"/>
  <c r="E43" i="7"/>
  <c r="E44" i="7"/>
  <c r="E45" i="7"/>
  <c r="E46" i="7"/>
  <c r="E47" i="7"/>
  <c r="E48" i="7"/>
  <c r="E55" i="7"/>
  <c r="E56" i="7"/>
  <c r="E57" i="7"/>
  <c r="E58" i="7"/>
  <c r="E59" i="7"/>
  <c r="E60" i="7"/>
  <c r="E42" i="7"/>
  <c r="E41" i="7"/>
  <c r="E40" i="7"/>
  <c r="E39" i="7"/>
  <c r="M15" i="10" s="1"/>
  <c r="I15" i="10" s="1"/>
  <c r="J15" i="10" s="1"/>
  <c r="M19" i="3" l="1"/>
  <c r="O19" i="3" s="1"/>
  <c r="V19" i="3" s="1"/>
  <c r="M18" i="10"/>
  <c r="M18" i="3"/>
  <c r="T18" i="3" s="1"/>
  <c r="U18" i="3" s="1"/>
  <c r="M17" i="10"/>
  <c r="P19" i="3"/>
  <c r="W19" i="3" s="1"/>
  <c r="M16" i="3"/>
  <c r="I16" i="3" s="1"/>
  <c r="J16" i="3" s="1"/>
  <c r="U16" i="3"/>
  <c r="I12" i="3"/>
  <c r="J12" i="3" s="1"/>
  <c r="I13" i="3"/>
  <c r="I14" i="3"/>
  <c r="J14" i="3" s="1"/>
  <c r="I15" i="3"/>
  <c r="J15" i="3" s="1"/>
  <c r="L15" i="3" s="1"/>
  <c r="I18" i="3" l="1"/>
  <c r="J18" i="3" s="1"/>
  <c r="L18" i="3" s="1"/>
  <c r="O18" i="10"/>
  <c r="V18" i="10" s="1"/>
  <c r="N18" i="10"/>
  <c r="T18" i="10" s="1"/>
  <c r="U18" i="10" s="1"/>
  <c r="I18" i="10"/>
  <c r="J18" i="10" s="1"/>
  <c r="L18" i="10" s="1"/>
  <c r="P18" i="10"/>
  <c r="W18" i="10" s="1"/>
  <c r="P18" i="3"/>
  <c r="W18" i="3" s="1"/>
  <c r="O18" i="3"/>
  <c r="V18" i="3" s="1"/>
  <c r="N17" i="10"/>
  <c r="T17" i="10" s="1"/>
  <c r="P17" i="10"/>
  <c r="W17" i="10" s="1"/>
  <c r="O17" i="10"/>
  <c r="V17" i="10" s="1"/>
  <c r="V19" i="10" s="1"/>
  <c r="I17" i="10"/>
  <c r="J17" i="10" s="1"/>
  <c r="L17" i="10" s="1"/>
  <c r="N19" i="3"/>
  <c r="T19" i="3" s="1"/>
  <c r="U19" i="3" s="1"/>
  <c r="I19" i="3"/>
  <c r="J19" i="3" s="1"/>
  <c r="L19" i="3" s="1"/>
  <c r="S15" i="3"/>
  <c r="W15" i="3" s="1"/>
  <c r="R15" i="3"/>
  <c r="V15" i="3" s="1"/>
  <c r="Q15" i="3"/>
  <c r="T15" i="3" s="1"/>
  <c r="J13" i="3"/>
  <c r="L13" i="3" s="1"/>
  <c r="L12" i="3"/>
  <c r="L14" i="3"/>
  <c r="W19" i="10" l="1"/>
  <c r="U17" i="10"/>
  <c r="U19" i="10" s="1"/>
  <c r="T19" i="10"/>
  <c r="U15" i="3"/>
  <c r="S14" i="3"/>
  <c r="W14" i="3" s="1"/>
  <c r="R14" i="3"/>
  <c r="V14" i="3" s="1"/>
  <c r="Q14" i="3"/>
  <c r="T14" i="3" s="1"/>
  <c r="S12" i="3"/>
  <c r="W12" i="3" s="1"/>
  <c r="R12" i="3"/>
  <c r="V12" i="3" s="1"/>
  <c r="Q12" i="3"/>
  <c r="T12" i="3" s="1"/>
  <c r="S13" i="3"/>
  <c r="W13" i="3" s="1"/>
  <c r="R13" i="3"/>
  <c r="V13" i="3" s="1"/>
  <c r="Q13" i="3"/>
  <c r="T13" i="3" s="1"/>
  <c r="U12" i="3" l="1"/>
  <c r="U13" i="3"/>
  <c r="T20" i="3" l="1"/>
  <c r="U14" i="3"/>
  <c r="U20" i="3" s="1"/>
  <c r="V20" i="3" l="1"/>
  <c r="W20" i="3"/>
</calcChain>
</file>

<file path=xl/sharedStrings.xml><?xml version="1.0" encoding="utf-8"?>
<sst xmlns="http://schemas.openxmlformats.org/spreadsheetml/2006/main" count="417" uniqueCount="156">
  <si>
    <t>Source</t>
  </si>
  <si>
    <t>Hay/Past</t>
  </si>
  <si>
    <t>Cropland</t>
  </si>
  <si>
    <t>Forest</t>
  </si>
  <si>
    <t>Wetland</t>
  </si>
  <si>
    <t>Disturbed</t>
  </si>
  <si>
    <t>Turfgrass</t>
  </si>
  <si>
    <t>Open_Land</t>
  </si>
  <si>
    <t>Bare_Rock</t>
  </si>
  <si>
    <t>Sandy_Areas</t>
  </si>
  <si>
    <t>Unpaved_Road</t>
  </si>
  <si>
    <t>Ld_Mixed</t>
  </si>
  <si>
    <t>Md_Mixed</t>
  </si>
  <si>
    <t>Hd_Mixed</t>
  </si>
  <si>
    <t>Ld_Residential</t>
  </si>
  <si>
    <t>Md_Residential</t>
  </si>
  <si>
    <t>Hd_Residential</t>
  </si>
  <si>
    <t>Total</t>
  </si>
  <si>
    <t>RR</t>
  </si>
  <si>
    <t>ST</t>
  </si>
  <si>
    <t>Name</t>
  </si>
  <si>
    <t>Drainage Area (ac)</t>
  </si>
  <si>
    <t>Impervious Area (ac)</t>
  </si>
  <si>
    <t>Treatment Depth (in)</t>
  </si>
  <si>
    <t>BMP Type</t>
  </si>
  <si>
    <t>Recommendations of the Expert Panel to Define Removal Rates for New State Stormwater Performance Standards</t>
  </si>
  <si>
    <t>Stewart Comstock, Scott Crafton, Randy Greer, Peter Hill, Dave Hirschman, Shoreh Karimpour, Ken Murin, Jennifer Orr, Fred Rose, Sherry Wilkins</t>
  </si>
  <si>
    <t>Revised: January 20, 2015</t>
  </si>
  <si>
    <t>Source:</t>
  </si>
  <si>
    <t>Below, these BMP Removal Rate Curves have been incorporated into this spreadsheet tool.</t>
  </si>
  <si>
    <t>The type of practice, runoff reduction versus stormwater treatment, is calculated differently with different efficiency curves.</t>
  </si>
  <si>
    <t xml:space="preserve">BMP TYPE:  </t>
  </si>
  <si>
    <t>SUNNY FARM HOA BASIN RETROFIT</t>
  </si>
  <si>
    <t>MapShed default Impervious (fraction)</t>
  </si>
  <si>
    <t>Manual Entry Impervious (fraction)</t>
  </si>
  <si>
    <t>Impervious (fraction) to use</t>
  </si>
  <si>
    <t>MapShed Land Cover of Drainage Area</t>
  </si>
  <si>
    <t>TN Reduction (lbs/yr)</t>
  </si>
  <si>
    <t>TP Reduction (lbs/yr)</t>
  </si>
  <si>
    <t>TSS Reduction (lbs/yr)</t>
  </si>
  <si>
    <t>TSS Reduction (tons/yr)</t>
  </si>
  <si>
    <t>TN (lbs/ac/yr)</t>
  </si>
  <si>
    <t>TP (lbs/ac/yr)</t>
  </si>
  <si>
    <t>Sediment (lbs/ac/yr)</t>
  </si>
  <si>
    <t>Treatment Depth (in/imp. ac)</t>
  </si>
  <si>
    <t>Year Installed</t>
  </si>
  <si>
    <t>BMP 1</t>
  </si>
  <si>
    <t>Look-up table for impervious cover. Values can be manually modified; however MapShed defaults are suggested.</t>
  </si>
  <si>
    <t>Filter BMP - Sunnybrook</t>
  </si>
  <si>
    <t>PERFORMANCE STANDARD APPROACH (as referenced in PA DEP permit materials; original source citation at bottom of page.)</t>
  </si>
  <si>
    <t>Prepared by: Tom Schueler and Cecilia Lane, Chesapeake Stormwater Network</t>
  </si>
  <si>
    <t>Loading Tab</t>
  </si>
  <si>
    <t>ExistingBMPs Tab</t>
  </si>
  <si>
    <t>Proposed BMPs Tab</t>
  </si>
  <si>
    <t>PerformStdApproach Tab</t>
  </si>
  <si>
    <t>MUNICIPALITY: For the BMP of choice, consult the Expert Panel Table below  and Report cited below to determine if the BMP is an RR,  ST or Other type of practice.</t>
  </si>
  <si>
    <t>Treatment Depth (in/imp. ac) Manual Override - use if no impervious area</t>
  </si>
  <si>
    <t>Effective Treatment Depth (in/imp. ac)</t>
  </si>
  <si>
    <t>BMP - Multiple DA (part 1)</t>
  </si>
  <si>
    <t>BMP - Multiple DA (part 2)</t>
  </si>
  <si>
    <t>Stream Restoration</t>
  </si>
  <si>
    <t>Apple Stream Project</t>
  </si>
  <si>
    <t>AppleValley Street Sweeping</t>
  </si>
  <si>
    <t>Street Sweeping</t>
  </si>
  <si>
    <t>Extended Sweeping</t>
  </si>
  <si>
    <t>TSS Reduction (%)</t>
  </si>
  <si>
    <t>TP Reduction (%)</t>
  </si>
  <si>
    <t>TN Reduction (%)</t>
  </si>
  <si>
    <t>Impervious (%)</t>
  </si>
  <si>
    <t xml:space="preserve">If one of the drainage areas to the same BMP has NO impervious cover, use the Manual Override column to type in the treatment depth (in/imp. ac) of the primary drainage area containing impervious cover. </t>
  </si>
  <si>
    <t>Average</t>
  </si>
  <si>
    <t>Default</t>
  </si>
  <si>
    <t>TSS (lbs/ft/yr)</t>
  </si>
  <si>
    <t>TN (lbs/ft/yr)</t>
  </si>
  <si>
    <t>TP (lbs/ft/yr)</t>
  </si>
  <si>
    <t>Road Width (ft)</t>
  </si>
  <si>
    <t>TSS Load (lbs/yr)</t>
  </si>
  <si>
    <t>TP Load (lbs/yr)</t>
  </si>
  <si>
    <t>TN Load (lbs/yr)</t>
  </si>
  <si>
    <t>Stream Restoration* Length (ft) - Qualified projects only</t>
  </si>
  <si>
    <t>Street Sweeping* Road Length Swept (ft) - Qualified projects only</t>
  </si>
  <si>
    <t>Ld_Mixed - Upland</t>
  </si>
  <si>
    <t>Md_Mixed - Upland</t>
  </si>
  <si>
    <t>Hd_Mixed - Upland</t>
  </si>
  <si>
    <t>Ld_Residential - Upland</t>
  </si>
  <si>
    <t>Md_Residential - Upland</t>
  </si>
  <si>
    <t>Hd_Residential - Upland</t>
  </si>
  <si>
    <t>For Street Sweeping Only!</t>
  </si>
  <si>
    <t>Stream Restoration - Protocol 1</t>
  </si>
  <si>
    <t>prepared by:</t>
  </si>
  <si>
    <t>Chester County Water Resources Authority (CCWRA)</t>
  </si>
  <si>
    <t>in consultation with:</t>
  </si>
  <si>
    <t>Barry Evans, Ph.D., Pennsylvania State University</t>
  </si>
  <si>
    <t>and</t>
  </si>
  <si>
    <t>Bill Brown, PA Department of Environmental Protection (PADEP)</t>
  </si>
  <si>
    <t>Pennsylvania State University by</t>
  </si>
  <si>
    <t>PA Department of Environmental Protection</t>
  </si>
  <si>
    <t>National Fish and Wildlife Foundation</t>
  </si>
  <si>
    <t>Christina Basin Urban BMP Load Reduction Calculation Tool</t>
  </si>
  <si>
    <t>Center for Watershed Protection (CWP)</t>
  </si>
  <si>
    <t>PURPOSE AND LIMITATIONS:  This Excel workbook tool was developed for use by municipalities that have MS4 discharges and load reduction responsibilities within the PA portion of the Christina Basin. This tool calculates urban BMP load reductions using calculations, methodology, assumptions, and land use pollutant loading data based on and consistent with the desktop Christina Basin MapShed model, and consistent with PADEP’s 2017 TMDL and PRP instructions for MS4s. This tool is not recommended for use in other geographic areas or with other load calculation methodologies, other load reduction calculation methodologies, other land use load data, or for calculating agricultural BMP load reductions. The desktop Christina Basin MapShed model was developed by CCWRA (2012, revised 2017) in conjunction with Dr. Barry Evans (Pennsylvania State University) and in consultation with Mr. Bill Brown (PADEP).</t>
  </si>
  <si>
    <t>___________________________</t>
  </si>
  <si>
    <t>On behalf of the Christina Watersheds Municipal Partnership, the Chester County Water Resources Authority gratefully acknowledges the assistance provided to this effort by Dr. Barry Evans (Pennsylvania State University), Mr. Bill Brown, PA Department of Environmental Protection, and the Center for Watershed Protection.</t>
  </si>
  <si>
    <t>1. This tool employs the Performance Standard Approach to determine BMP efficiencies. The user must first determine the type of BMP (e.g., ST or RR) as this will affect how the BMP reduction efficiency is applied. Refer to the "PerformStdApproach" tab, the PADEP TMDL and PRP instructions, and consult any relevant Chesapeake Bay expert panel reports (including “Recommendations of the Expert Panel to Define Removal Rates for Urban Stormwater Retrofit Projects” (2015)) for further guidance. Also see step 5 below.</t>
  </si>
  <si>
    <t>2. The municipality must refer to the “Christina Basin Land Use Loading Rates Calculation Tool” and its 2012 “Land Use Loading Rates” Look-Up Table for the watershed in which the BMP is located (i.e., Brandywine Creek, Red Clay Creek or White Clay Creek watersheds). Enter the corresponding loading rate values for sediment, phosphorus, and nitrogen for each listed land use category into the ”Land Use Loads Input Table” ("Loading" tab).</t>
  </si>
  <si>
    <t>4. Determine the type of BMP using the Performance Standard Approach guidance (see "PerformStdApproach" tab and references cited above for more information) and enter it into the column "BMP Type".</t>
  </si>
  <si>
    <t>A) RR (Runoff Reduction): ex. infiltration basin</t>
  </si>
  <si>
    <t>B) ST (Stormwater Treatment): ex. wet pond/retention basin</t>
  </si>
  <si>
    <t>C) Street Sweeping</t>
  </si>
  <si>
    <t>ii. The street sweeping load reduction calculation addresses only the portion of loading generated from the percent of each land use that is assumed to be impervious in the MapShed model (using the percent impervious assigned within MapShed for each land use; see the Christina MapShed Land Use Loading Rates Calculation Tool documentation for explanation).</t>
  </si>
  <si>
    <t>iii. This tool is to be used ONLY for street sweeping that meets the qualifications presented in PADEP’s MS4 “BMP Effectiveness Values” table and their TMDL and PRP instructions. Further information can also be found in “Recommendations of the Expert Panel to Define Removal Rates for Street and Storm Drain Cleaning Practices” (May 2016).</t>
  </si>
  <si>
    <t>ii. This tool is to be used ONLY for stream restoration projects that meet the qualifying requirements for Protocol 1 of the “Recommendations of the Expert Panel to Define Removal Rates for Individual Stream Restoration Projects” (September 8, 2014). All other stream restoration projects are not included herein and the user must consult the Expert Panel report and consult PADEP to determine appropriate removal rates/calculation procedures for the type of restoration completed.</t>
  </si>
  <si>
    <t>5. Input each of the specific BMP data called for in the BMP calculator table (ORANGE CELLS ONLY):</t>
  </si>
  <si>
    <t>A) Name of BMP</t>
  </si>
  <si>
    <t>B) Year Installed, if existing BMP</t>
  </si>
  <si>
    <t>C) Dominant Land Use in the BMP drainage area:   Only one land use can be entered per row. If a BMP has multiple land uses in the BMP drainage area, use the dominant land use. If approximately equal parts, a BMP can be spread to two rows with specific drainage area information for each. The “Treatment Depth (in)” must be the same in each row. If the secondary drainage area does not have any impervious cover, manually type in the “Treatment Depth (in/imp. ac)” value from the drainage area containing impervious cover in the “Treatment Depth (in/imp. ac) Manual Override – use if no impervious area” column.</t>
  </si>
  <si>
    <t xml:space="preserve">D) Stream Restoration </t>
  </si>
  <si>
    <t>D) Drainage Area draining to the BMP</t>
  </si>
  <si>
    <t>E) Treatment Depth/Runoff Treated (inches): The tool will automatically calculate and populate the acres of impervious area (using the percent impervious assigned within MapShed for each land use; see the Christina MapShed Land Use Loading Rates Calculation Tool documentation for explanation) and will automatically re-calculate and enter treatment depth.</t>
  </si>
  <si>
    <t>6. To add another row (or BMP), right click on the table, move your mouse to "Insert" and select "Table Rows Above".</t>
  </si>
  <si>
    <t>8. Include in the submittal to PADEP a map showing the BMP drainage area with land use types for all BMPs included in the calculations, as supporting documentation.</t>
  </si>
  <si>
    <t>9. After finalizing all calculations, it is recommended that ALL tabs (including the Cover Page, Instructions, and all input, calculation and output tabs) and a map of BMP drainage area(s) be printed off into a hardcopy package and included within the MS4’s submittal to PADEP as supporting documentation.</t>
  </si>
  <si>
    <t>A) For the land use categories in the Input Table that are marked “For Urban BMPs”, copy/paste the “Total Land Use Loading Rates” from the 2012 Land Use Loading Rates table. These loading rates include loads apportioned for both stream bank erosion and farm animals (as described in the Christina Loading Rates Calculation Tool documentation).</t>
  </si>
  <si>
    <t xml:space="preserve">B) For the land use categories in the Input Table that are marked “For Street Sweeping”, copy/paste the “From Land Use” (upland) loading rates presented in the 2012 Land Use Loading Rates table. The loadings used for street sweeping are considered to be only those from upland sources and therefore do not include stream bank erosion or farm animal loads. </t>
  </si>
  <si>
    <t>Land Use Loading Rates per Watershed for TSS, TN and TP - INPUT TABLE</t>
  </si>
  <si>
    <t>Watershed: XXXXXXXXXX</t>
  </si>
  <si>
    <t>Municipality: XXXXXX</t>
  </si>
  <si>
    <t>MUNICIPALITY: For Urban BMPs, please refer to the Christina MAPSHED Land Use Loading Rates Look-Up Tables for the applicable watershed for the year 2012 , and enter the "Total Land Use Loading Rates" below.  EACH WATERSHED (Brandywine, Red Clay and White Clay) HAS ITS OWN LOADING RATES - Be sure to enter data for 2012 for the correct watershed and the correct pollutant. Numbers are shown below FOR DEMONSTRATION PURPOSES ONLY.</t>
  </si>
  <si>
    <t>For Urban BMPs</t>
  </si>
  <si>
    <t>BMP Load and Efficiencies used in the Load Reduction Calculations (DO NOT ALTER):</t>
  </si>
  <si>
    <t>Existing BMP Load Reduction Calculation Table</t>
  </si>
  <si>
    <t>The examples below show the various options and should be deleted before tallying reductions. Notice one example demonstrates when a drainage area covers two land uses (see row 15 and 16).</t>
  </si>
  <si>
    <t>* See Instructions tab for what qualifies for stream restoration and street sweeping.</t>
  </si>
  <si>
    <t>MUNICIPALITY: TO ENTER BMP DATA IN THE ORANGE HIGHLIGHTED CELLS</t>
  </si>
  <si>
    <t>Proposed BMP Load Reduction Calculation Table</t>
  </si>
  <si>
    <t>INSTRUCTIONS TO MUNICIPALITY: Each row in the table below should represent a different BMP drainage area. Choose the dominant land use draining to the BMP.</t>
  </si>
  <si>
    <t xml:space="preserve">If a BMP has multiple land uses in the drainage area, these drainage areas should be represented on a subsequent row with the same BMP name. The treatment depth should be the same for a given BMP (even if it has multiple drainage areas). </t>
  </si>
  <si>
    <t>Area of Interest 2</t>
  </si>
  <si>
    <t>Area of Interest 1</t>
  </si>
  <si>
    <t>Area of Interest 3</t>
  </si>
  <si>
    <t>3. Two separate worksheets are provided for "existing" and "proposed" BMPs. The equations and the calculation process are the same for each. Select the desired tab and enter as many BMPs as desired. Three (3) input tables are provided on each worksheet that can be used as needed if more than one area of interest is in the same watershed. Delete the extra tables if you only have one area of interest or no desire to organize the BMPs in separate tables. One BMP should be inserted per row. The instructions below apply to both the "ExistingBMPs" and "ProposedBMPs" tabs. Enter data for all the ORANGE cells. All other cells will be automatically calculated and populated by the tool.</t>
  </si>
  <si>
    <t>i. The removal efficiencies are averaged for the most common type of street sweeping equipment and are based on the Chesapeake Bay Expert Panel efficiencies. See "Loading" tab for a table presenting the efficiencies used by this tool to claculate street sweeping load reductions. These are not to be altered.</t>
  </si>
  <si>
    <t>i. The removal efficiency rate used herein is presented on the "Loading" tab.</t>
  </si>
  <si>
    <t>F) For “Street Sweeping” or “Stream Restoration” BMP types, enter the appropriate project length in feet (use thalweg feet for stream restoration). These cells are a slightly different shade of orange and are marked out if an RR or ST BMP is selected.</t>
  </si>
  <si>
    <t xml:space="preserve">7. The calculation results are presented for sediment, phosphorus, and nitrogen as: 
                                             A) Total load for BMP drainage area
                                             B) Percent reduction
                                             C) Annual volume reduction (lbs/yr)
                                             D) Cumulative total annual volume reduction (lbs/yr)
</t>
  </si>
  <si>
    <t>For Street Sweeping, the municipality must refer to the Christina MAPSHED Land Use Loading Rates Look-Up Tables for the applicable watershed for the year 2012 , and enter the "From Land Use" loading rates (upland loading rate) into the rows below that reference "Upland"; loads from stream bank and farm animals cannot be included in street sweeping BMP load reduction calculations.</t>
  </si>
  <si>
    <t>Publication date: May 5, 2017</t>
  </si>
  <si>
    <t>Partial Funding for the Christina Watersheds Municipal Partnership and the Brandywine/Christina Water Quality Restoration Collaboration Effort was made available through:</t>
  </si>
  <si>
    <t>Brandywine Red Clay Alliance by</t>
  </si>
  <si>
    <t>Funding to provide technical assistance for this BMP Tool was made available to:</t>
  </si>
  <si>
    <t>Center for Watershed Protection by</t>
  </si>
  <si>
    <t>Chester County Water Resources Authority by</t>
  </si>
  <si>
    <t>Chester County Board of Commissioners</t>
  </si>
  <si>
    <r>
      <rPr>
        <b/>
        <sz val="11"/>
        <color theme="1"/>
        <rFont val="Calibri"/>
        <family val="2"/>
        <scheme val="minor"/>
      </rPr>
      <t xml:space="preserve">FOR USE WITH MAPSHED LOADING RATES
INSTRUCTIONS - </t>
    </r>
    <r>
      <rPr>
        <sz val="11"/>
        <color theme="1"/>
        <rFont val="Calibri"/>
        <family val="2"/>
        <scheme val="minor"/>
      </rPr>
      <t xml:space="preserve">
When using the Christina Basin MapShed methodology, follow these steps to calculate URBAN BMP load reductions. The tool provides individual and combined load reduction calculations for multiple BMPs located within the same drainage area. It is recommended that the user create a separate workbook for each watershed. This tool cannot be used to calculate load reductions for inlet clearing or agricultural BMPs. 
</t>
    </r>
  </si>
  <si>
    <t>Project Area 1</t>
  </si>
  <si>
    <t>Project Area 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</si>
</sst>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4" x14ac:knownFonts="1">
    <font>
      <sz val="11"/>
      <color theme="1"/>
      <name val="Calibri"/>
      <family val="2"/>
      <scheme val="minor"/>
    </font>
    <font>
      <b/>
      <sz val="11"/>
      <color theme="0"/>
      <name val="Calibri"/>
      <family val="2"/>
      <scheme val="minor"/>
    </font>
    <font>
      <b/>
      <sz val="11"/>
      <color theme="1"/>
      <name val="Calibri"/>
      <family val="2"/>
      <scheme val="minor"/>
    </font>
    <font>
      <sz val="16"/>
      <color theme="1"/>
      <name val="Calibri"/>
      <family val="2"/>
      <scheme val="minor"/>
    </font>
    <font>
      <sz val="14"/>
      <color theme="1"/>
      <name val="Calibri"/>
      <family val="2"/>
      <scheme val="minor"/>
    </font>
    <font>
      <sz val="12"/>
      <color theme="1"/>
      <name val="Calibri"/>
      <family val="2"/>
      <scheme val="minor"/>
    </font>
    <font>
      <i/>
      <sz val="11"/>
      <color theme="1"/>
      <name val="Calibri"/>
      <family val="2"/>
      <scheme val="minor"/>
    </font>
    <font>
      <b/>
      <sz val="14"/>
      <color theme="1"/>
      <name val="Calibri"/>
      <family val="2"/>
      <scheme val="minor"/>
    </font>
    <font>
      <b/>
      <sz val="16"/>
      <color theme="1"/>
      <name val="Calibri"/>
      <family val="2"/>
      <scheme val="minor"/>
    </font>
    <font>
      <b/>
      <sz val="18"/>
      <color theme="1"/>
      <name val="Calibri"/>
      <family val="2"/>
      <scheme val="minor"/>
    </font>
    <font>
      <b/>
      <i/>
      <sz val="11"/>
      <color theme="1"/>
      <name val="Calibri"/>
      <family val="2"/>
      <scheme val="minor"/>
    </font>
    <font>
      <b/>
      <sz val="11"/>
      <color theme="4" tint="-0.249977111117893"/>
      <name val="Calibri"/>
      <family val="2"/>
      <scheme val="minor"/>
    </font>
    <font>
      <sz val="10"/>
      <color theme="1"/>
      <name val="Calibri"/>
      <family val="2"/>
      <scheme val="minor"/>
    </font>
    <font>
      <sz val="16"/>
      <color theme="1"/>
      <name val="Calibri"/>
      <scheme val="minor"/>
    </font>
  </fonts>
  <fills count="10">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7"/>
        <bgColor indexed="64"/>
      </patternFill>
    </fill>
    <fill>
      <patternFill patternType="solid">
        <fgColor rgb="FFFFC000"/>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4" tint="0.79998168889431442"/>
        <bgColor indexed="64"/>
      </patternFill>
    </fill>
  </fills>
  <borders count="17">
    <border>
      <left/>
      <right/>
      <top/>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n">
        <color theme="4" tint="0.39997558519241921"/>
      </left>
      <right/>
      <top style="thin">
        <color theme="4" tint="0.39997558519241921"/>
      </top>
      <bottom style="thin">
        <color theme="4" tint="0.39997558519241921"/>
      </bottom>
      <diagonal/>
    </border>
    <border>
      <left style="thick">
        <color auto="1"/>
      </left>
      <right/>
      <top style="thick">
        <color auto="1"/>
      </top>
      <bottom style="thin">
        <color theme="4" tint="0.39997558519241921"/>
      </bottom>
      <diagonal/>
    </border>
    <border>
      <left style="thick">
        <color auto="1"/>
      </left>
      <right/>
      <top style="thin">
        <color theme="4" tint="0.39997558519241921"/>
      </top>
      <bottom style="thin">
        <color theme="4" tint="0.39997558519241921"/>
      </bottom>
      <diagonal/>
    </border>
    <border>
      <left style="thick">
        <color auto="1"/>
      </left>
      <right/>
      <top style="thin">
        <color theme="4" tint="0.39997558519241921"/>
      </top>
      <bottom style="thick">
        <color auto="1"/>
      </bottom>
      <diagonal/>
    </border>
  </borders>
  <cellStyleXfs count="1">
    <xf numFmtId="0" fontId="0" fillId="0" borderId="0"/>
  </cellStyleXfs>
  <cellXfs count="90">
    <xf numFmtId="0" fontId="0" fillId="0" borderId="0" xfId="0"/>
    <xf numFmtId="0" fontId="1" fillId="2" borderId="1" xfId="0" applyFont="1" applyFill="1" applyBorder="1"/>
    <xf numFmtId="0" fontId="0" fillId="3" borderId="1" xfId="0" applyFont="1" applyFill="1" applyBorder="1"/>
    <xf numFmtId="0" fontId="0" fillId="0" borderId="1" xfId="0" applyFont="1" applyBorder="1"/>
    <xf numFmtId="2" fontId="0" fillId="0" borderId="0" xfId="0" applyNumberFormat="1"/>
    <xf numFmtId="0" fontId="0" fillId="0" borderId="0" xfId="0" applyAlignment="1">
      <alignment wrapText="1"/>
    </xf>
    <xf numFmtId="0" fontId="0" fillId="0" borderId="0" xfId="0" applyNumberFormat="1"/>
    <xf numFmtId="9" fontId="0" fillId="0" borderId="0" xfId="0" applyNumberFormat="1"/>
    <xf numFmtId="3" fontId="0" fillId="0" borderId="0" xfId="0" applyNumberFormat="1"/>
    <xf numFmtId="0" fontId="2" fillId="0" borderId="0" xfId="0" applyFont="1"/>
    <xf numFmtId="0" fontId="2" fillId="0" borderId="0" xfId="0" applyFont="1" applyFill="1"/>
    <xf numFmtId="0" fontId="0" fillId="0" borderId="0" xfId="0" applyFill="1"/>
    <xf numFmtId="0" fontId="0" fillId="0" borderId="0" xfId="0" quotePrefix="1"/>
    <xf numFmtId="0" fontId="0" fillId="6" borderId="0" xfId="0" applyFill="1"/>
    <xf numFmtId="0" fontId="0" fillId="0" borderId="0" xfId="0" applyFont="1"/>
    <xf numFmtId="0" fontId="0" fillId="0" borderId="2" xfId="0" applyFont="1" applyFill="1" applyBorder="1"/>
    <xf numFmtId="0" fontId="0" fillId="0" borderId="2" xfId="0" applyFont="1" applyBorder="1"/>
    <xf numFmtId="0" fontId="0" fillId="0" borderId="0" xfId="0" applyFont="1" applyFill="1"/>
    <xf numFmtId="0" fontId="0" fillId="0" borderId="0" xfId="0" applyAlignment="1">
      <alignment wrapText="1"/>
    </xf>
    <xf numFmtId="0" fontId="0" fillId="0" borderId="0" xfId="0" applyFont="1" applyAlignment="1">
      <alignment vertical="top"/>
    </xf>
    <xf numFmtId="0" fontId="0" fillId="0" borderId="0" xfId="0" applyAlignment="1"/>
    <xf numFmtId="0" fontId="4" fillId="0" borderId="0" xfId="0" applyFont="1"/>
    <xf numFmtId="0" fontId="5" fillId="0" borderId="0" xfId="0" applyFont="1"/>
    <xf numFmtId="0" fontId="6" fillId="0" borderId="0" xfId="0" applyFont="1"/>
    <xf numFmtId="164" fontId="0" fillId="0" borderId="0" xfId="0" applyNumberFormat="1"/>
    <xf numFmtId="0" fontId="0" fillId="0" borderId="0" xfId="0" applyFont="1" applyAlignment="1">
      <alignment vertical="top" wrapText="1"/>
    </xf>
    <xf numFmtId="0" fontId="0" fillId="0" borderId="0" xfId="0" applyAlignment="1">
      <alignment vertical="top" wrapText="1"/>
    </xf>
    <xf numFmtId="0" fontId="0" fillId="0" borderId="0" xfId="0" applyFont="1" applyFill="1" applyAlignment="1">
      <alignment vertical="top" wrapText="1"/>
    </xf>
    <xf numFmtId="0" fontId="0" fillId="0" borderId="0" xfId="0" applyAlignment="1">
      <alignment horizontal="center"/>
    </xf>
    <xf numFmtId="0" fontId="0" fillId="0" borderId="0" xfId="0" applyAlignment="1">
      <alignment horizontal="center" wrapText="1"/>
    </xf>
    <xf numFmtId="0" fontId="0" fillId="5" borderId="0" xfId="0" applyFill="1" applyAlignment="1">
      <alignment horizontal="center"/>
    </xf>
    <xf numFmtId="0" fontId="0" fillId="5" borderId="0" xfId="0" applyNumberFormat="1" applyFill="1" applyAlignment="1">
      <alignment horizontal="center"/>
    </xf>
    <xf numFmtId="0" fontId="0" fillId="6" borderId="0" xfId="0" applyFill="1" applyAlignment="1">
      <alignment horizontal="center"/>
    </xf>
    <xf numFmtId="2" fontId="0" fillId="6" borderId="0" xfId="0" applyNumberFormat="1" applyFill="1" applyAlignment="1">
      <alignment horizontal="center"/>
    </xf>
    <xf numFmtId="1" fontId="0" fillId="7" borderId="0" xfId="0" applyNumberFormat="1" applyFill="1" applyAlignment="1">
      <alignment horizontal="center"/>
    </xf>
    <xf numFmtId="2" fontId="0" fillId="0" borderId="0" xfId="0" applyNumberFormat="1" applyAlignment="1">
      <alignment horizontal="center"/>
    </xf>
    <xf numFmtId="164" fontId="0" fillId="0" borderId="0" xfId="0" applyNumberFormat="1" applyAlignment="1">
      <alignment horizontal="center"/>
    </xf>
    <xf numFmtId="4" fontId="0" fillId="0" borderId="0" xfId="0" applyNumberFormat="1" applyAlignment="1">
      <alignment horizontal="center"/>
    </xf>
    <xf numFmtId="4" fontId="3" fillId="4" borderId="0" xfId="0" applyNumberFormat="1" applyFont="1" applyFill="1" applyAlignment="1">
      <alignment horizontal="center"/>
    </xf>
    <xf numFmtId="0" fontId="0" fillId="0" borderId="5" xfId="0" applyBorder="1"/>
    <xf numFmtId="2" fontId="0" fillId="0" borderId="6" xfId="0" applyNumberFormat="1" applyBorder="1"/>
    <xf numFmtId="2" fontId="0" fillId="0" borderId="7" xfId="0" applyNumberFormat="1" applyBorder="1"/>
    <xf numFmtId="0" fontId="0" fillId="0" borderId="8" xfId="0" applyBorder="1"/>
    <xf numFmtId="2" fontId="0" fillId="0" borderId="0" xfId="0" applyNumberFormat="1" applyBorder="1"/>
    <xf numFmtId="2" fontId="0" fillId="0" borderId="9" xfId="0" applyNumberFormat="1" applyBorder="1"/>
    <xf numFmtId="0" fontId="0" fillId="0" borderId="10" xfId="0" applyBorder="1"/>
    <xf numFmtId="2" fontId="0" fillId="0" borderId="11" xfId="0" applyNumberFormat="1" applyBorder="1"/>
    <xf numFmtId="2" fontId="0" fillId="0" borderId="12" xfId="0" applyNumberFormat="1" applyBorder="1"/>
    <xf numFmtId="0" fontId="9" fillId="0" borderId="0" xfId="0" applyFont="1" applyAlignment="1">
      <alignment horizontal="center" vertical="center"/>
    </xf>
    <xf numFmtId="0" fontId="7" fillId="0" borderId="0" xfId="0" applyFont="1" applyAlignment="1">
      <alignment horizontal="center" vertical="center"/>
    </xf>
    <xf numFmtId="0" fontId="0" fillId="0" borderId="0" xfId="0" applyAlignment="1">
      <alignment horizontal="justify" vertical="center"/>
    </xf>
    <xf numFmtId="0" fontId="6" fillId="0" borderId="0" xfId="0" applyFont="1" applyAlignment="1">
      <alignment horizontal="center" vertical="center"/>
    </xf>
    <xf numFmtId="0" fontId="6" fillId="0" borderId="0" xfId="0" applyFont="1" applyAlignment="1">
      <alignment horizontal="center" vertical="center" wrapText="1"/>
    </xf>
    <xf numFmtId="0" fontId="0" fillId="0" borderId="0" xfId="0" applyAlignment="1">
      <alignment horizontal="left" wrapText="1"/>
    </xf>
    <xf numFmtId="0" fontId="0" fillId="0" borderId="0" xfId="0" applyAlignment="1">
      <alignment vertical="top"/>
    </xf>
    <xf numFmtId="0" fontId="0" fillId="0" borderId="0" xfId="0" applyFont="1" applyAlignment="1">
      <alignment horizontal="right"/>
    </xf>
    <xf numFmtId="0" fontId="7" fillId="0" borderId="0" xfId="0" applyFont="1"/>
    <xf numFmtId="0" fontId="7" fillId="0" borderId="0" xfId="0" applyFont="1" applyAlignment="1">
      <alignment vertical="top"/>
    </xf>
    <xf numFmtId="0" fontId="11" fillId="4" borderId="0" xfId="0" applyFont="1" applyFill="1"/>
    <xf numFmtId="0" fontId="12" fillId="0" borderId="0" xfId="0" applyFont="1"/>
    <xf numFmtId="0" fontId="11" fillId="0" borderId="0" xfId="0" applyFont="1" applyFill="1"/>
    <xf numFmtId="0" fontId="0" fillId="0" borderId="0" xfId="0" applyFill="1" applyAlignment="1">
      <alignment vertical="top"/>
    </xf>
    <xf numFmtId="0" fontId="0" fillId="0" borderId="0" xfId="0" applyAlignment="1">
      <alignment horizontal="center" vertical="center"/>
    </xf>
    <xf numFmtId="0" fontId="10" fillId="0" borderId="0" xfId="0" applyFont="1" applyAlignment="1">
      <alignment horizontal="center" vertical="center"/>
    </xf>
    <xf numFmtId="4" fontId="13" fillId="4" borderId="0" xfId="0" applyNumberFormat="1" applyFont="1" applyFill="1" applyAlignment="1">
      <alignment horizontal="center"/>
    </xf>
    <xf numFmtId="0" fontId="0" fillId="0" borderId="0" xfId="0" applyAlignment="1">
      <alignment vertical="top" wrapText="1"/>
    </xf>
    <xf numFmtId="0" fontId="0" fillId="0" borderId="0" xfId="0" applyFont="1" applyAlignment="1">
      <alignment vertical="top" wrapText="1"/>
    </xf>
    <xf numFmtId="0" fontId="0" fillId="0" borderId="3" xfId="0" applyFont="1" applyBorder="1" applyAlignment="1">
      <alignment wrapText="1"/>
    </xf>
    <xf numFmtId="0" fontId="0" fillId="0" borderId="4" xfId="0" applyBorder="1" applyAlignment="1">
      <alignment wrapText="1"/>
    </xf>
    <xf numFmtId="0" fontId="0" fillId="0" borderId="0" xfId="0" applyFont="1" applyAlignment="1">
      <alignment wrapText="1"/>
    </xf>
    <xf numFmtId="0" fontId="0" fillId="0" borderId="0" xfId="0" applyAlignment="1">
      <alignment wrapText="1"/>
    </xf>
    <xf numFmtId="0" fontId="0" fillId="0" borderId="0" xfId="0" applyFont="1" applyAlignment="1">
      <alignment horizontal="left" vertical="top" wrapText="1"/>
    </xf>
    <xf numFmtId="0" fontId="0" fillId="0" borderId="0" xfId="0" applyFont="1" applyFill="1" applyAlignment="1">
      <alignment vertical="top" wrapText="1"/>
    </xf>
    <xf numFmtId="0" fontId="0" fillId="0" borderId="0" xfId="0" applyAlignment="1">
      <alignment vertical="top"/>
    </xf>
    <xf numFmtId="0" fontId="5" fillId="0" borderId="0" xfId="0" applyFont="1" applyFill="1" applyAlignment="1">
      <alignment wrapText="1"/>
    </xf>
    <xf numFmtId="0" fontId="5" fillId="0" borderId="0" xfId="0" applyFont="1" applyAlignment="1">
      <alignment wrapText="1"/>
    </xf>
    <xf numFmtId="0" fontId="7" fillId="8" borderId="8" xfId="0" applyFont="1" applyFill="1" applyBorder="1" applyAlignment="1">
      <alignment horizontal="center" vertical="center" textRotation="90" wrapText="1"/>
    </xf>
    <xf numFmtId="0" fontId="0" fillId="4" borderId="0" xfId="0" applyFill="1" applyAlignment="1">
      <alignment vertical="top" wrapText="1"/>
    </xf>
    <xf numFmtId="0" fontId="0" fillId="4" borderId="0" xfId="0" applyFill="1" applyAlignment="1">
      <alignment wrapText="1"/>
    </xf>
    <xf numFmtId="0" fontId="8" fillId="9" borderId="0" xfId="0" applyFont="1" applyFill="1" applyAlignment="1">
      <alignment horizontal="center" vertical="center" textRotation="90" wrapText="1"/>
    </xf>
    <xf numFmtId="0" fontId="0" fillId="0" borderId="0" xfId="0" applyAlignment="1">
      <alignment horizontal="center" vertical="center" textRotation="90" wrapText="1"/>
    </xf>
    <xf numFmtId="0" fontId="0" fillId="0" borderId="0" xfId="0" quotePrefix="1" applyAlignment="1">
      <alignment horizontal="left" vertical="top" wrapText="1"/>
    </xf>
    <xf numFmtId="0" fontId="0" fillId="0" borderId="0" xfId="0" applyAlignment="1">
      <alignment horizontal="left" vertical="top" wrapText="1"/>
    </xf>
    <xf numFmtId="0" fontId="0" fillId="0" borderId="0" xfId="0" quotePrefix="1" applyAlignment="1">
      <alignment vertical="top" wrapText="1"/>
    </xf>
    <xf numFmtId="0" fontId="0" fillId="3" borderId="13" xfId="0" applyFont="1" applyFill="1" applyBorder="1"/>
    <xf numFmtId="0" fontId="0" fillId="0" borderId="13" xfId="0" applyFont="1" applyBorder="1"/>
    <xf numFmtId="0" fontId="0" fillId="3" borderId="14" xfId="0" applyFont="1" applyFill="1" applyBorder="1"/>
    <xf numFmtId="0" fontId="0" fillId="0" borderId="15" xfId="0" applyFont="1" applyBorder="1"/>
    <xf numFmtId="0" fontId="0" fillId="3" borderId="15" xfId="0" applyFont="1" applyFill="1" applyBorder="1"/>
    <xf numFmtId="0" fontId="0" fillId="0" borderId="16" xfId="0" applyFont="1" applyBorder="1"/>
  </cellXfs>
  <cellStyles count="1">
    <cellStyle name="Normal" xfId="0" builtinId="0"/>
  </cellStyles>
  <dxfs count="320">
    <dxf>
      <font>
        <b val="0"/>
        <i val="0"/>
        <strike val="0"/>
        <condense val="0"/>
        <extend val="0"/>
        <outline val="0"/>
        <shadow val="0"/>
        <u val="none"/>
        <vertAlign val="baseline"/>
        <sz val="16"/>
        <color theme="1"/>
        <name val="Calibri"/>
        <scheme val="minor"/>
      </font>
      <numFmt numFmtId="4" formatCode="#,##0.00"/>
      <fill>
        <patternFill patternType="solid">
          <fgColor indexed="64"/>
          <bgColor rgb="FFFFFF00"/>
        </patternFill>
      </fil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scheme val="minor"/>
      </font>
      <numFmt numFmtId="4" formatCode="#,##0.00"/>
      <fill>
        <patternFill patternType="solid">
          <fgColor indexed="64"/>
          <bgColor rgb="FFFFFF00"/>
        </patternFill>
      </fill>
      <alignment horizontal="center" vertical="bottom" textRotation="0" wrapText="0" indent="0" justifyLastLine="0" shrinkToFit="0" readingOrder="0"/>
    </dxf>
    <dxf>
      <numFmt numFmtId="4" formatCode="#,##0.00"/>
      <alignment horizontal="center" vertical="bottom" textRotation="0" wrapText="0" indent="0" justifyLastLine="0" shrinkToFit="0" readingOrder="0"/>
    </dxf>
    <dxf>
      <font>
        <b val="0"/>
        <i val="0"/>
        <strike val="0"/>
        <condense val="0"/>
        <extend val="0"/>
        <outline val="0"/>
        <shadow val="0"/>
        <u val="none"/>
        <vertAlign val="baseline"/>
        <sz val="16"/>
        <color theme="1"/>
        <name val="Calibri"/>
        <scheme val="minor"/>
      </font>
      <numFmt numFmtId="4" formatCode="#,##0.00"/>
      <fill>
        <patternFill patternType="solid">
          <fgColor indexed="64"/>
          <bgColor rgb="FFFFFF00"/>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6"/>
        <color theme="1"/>
        <name val="Calibri"/>
        <scheme val="minor"/>
      </font>
      <numFmt numFmtId="4" formatCode="#,##0.00"/>
      <fill>
        <patternFill patternType="solid">
          <fgColor indexed="64"/>
          <bgColor rgb="FFFFFF00"/>
        </patternFill>
      </fill>
      <alignment horizontal="center" vertical="bottom" textRotation="0" wrapText="0" indent="0" justifyLastLine="0" shrinkToFit="0" readingOrder="0"/>
    </dxf>
    <dxf>
      <numFmt numFmtId="4" formatCode="#,##0.00"/>
      <alignment horizontal="center" vertical="bottom" textRotation="0" indent="0" justifyLastLine="0" shrinkToFit="0" readingOrder="0"/>
    </dxf>
    <dxf>
      <font>
        <b val="0"/>
        <i val="0"/>
        <strike val="0"/>
        <condense val="0"/>
        <extend val="0"/>
        <outline val="0"/>
        <shadow val="0"/>
        <u val="none"/>
        <vertAlign val="baseline"/>
        <sz val="16"/>
        <color theme="1"/>
        <name val="Calibri"/>
        <scheme val="minor"/>
      </font>
      <numFmt numFmtId="4" formatCode="#,##0.00"/>
      <fill>
        <patternFill patternType="solid">
          <fgColor indexed="64"/>
          <bgColor rgb="FFFFFF00"/>
        </patternFill>
      </fill>
      <alignment horizontal="center" vertical="bottom" textRotation="0" wrapText="0" indent="0" justifyLastLine="0" shrinkToFit="0" readingOrder="0"/>
    </dxf>
    <dxf>
      <numFmt numFmtId="4" formatCode="#,##0.00"/>
      <alignment horizontal="center" vertical="bottom" textRotation="0" indent="0" justifyLastLine="0" shrinkToFit="0" readingOrder="0"/>
    </dxf>
    <dxf>
      <numFmt numFmtId="4" formatCode="#,##0.00"/>
      <alignment horizontal="center" vertical="bottom" textRotation="0" wrapText="0" indent="0" justifyLastLine="0" shrinkToFit="0" readingOrder="0"/>
    </dxf>
    <dxf>
      <numFmt numFmtId="4" formatCode="#,##0.00"/>
      <alignment horizontal="center" vertical="bottom" textRotation="0" indent="0" justifyLastLine="0" shrinkToFit="0" readingOrder="0"/>
    </dxf>
    <dxf>
      <font>
        <b val="0"/>
        <i val="0"/>
        <strike val="0"/>
        <condense val="0"/>
        <extend val="0"/>
        <outline val="0"/>
        <shadow val="0"/>
        <u val="none"/>
        <vertAlign val="baseline"/>
        <sz val="16"/>
        <color theme="1"/>
        <name val="Calibri"/>
        <scheme val="minor"/>
      </font>
      <numFmt numFmtId="4" formatCode="#,##0.00"/>
      <fill>
        <patternFill patternType="solid">
          <fgColor indexed="64"/>
          <bgColor rgb="FFFFFF00"/>
        </patternFill>
      </fill>
      <alignment horizontal="center" vertical="bottom" textRotation="0" wrapText="0" indent="0" justifyLastLine="0" shrinkToFit="0" readingOrder="0"/>
    </dxf>
    <dxf>
      <numFmt numFmtId="4" formatCode="#,##0.00"/>
      <alignment horizontal="center" vertical="bottom" textRotation="0" indent="0" justifyLastLine="0" shrinkToFit="0" readingOrder="0"/>
    </dxf>
    <dxf>
      <alignment horizontal="center" vertical="bottom" textRotation="0" wrapText="0" indent="0" justifyLastLine="0" shrinkToFit="0" readingOrder="0"/>
    </dxf>
    <dxf>
      <numFmt numFmtId="164" formatCode="0.0%"/>
      <alignment horizontal="center" vertical="bottom" textRotation="0" indent="0" justifyLastLine="0" shrinkToFit="0" readingOrder="0"/>
    </dxf>
    <dxf>
      <alignment horizontal="center" vertical="bottom" textRotation="0" wrapText="0" indent="0" justifyLastLine="0" shrinkToFit="0" readingOrder="0"/>
    </dxf>
    <dxf>
      <numFmt numFmtId="164" formatCode="0.0%"/>
      <alignment horizontal="center" vertical="bottom" textRotation="0" indent="0" justifyLastLine="0" shrinkToFit="0" readingOrder="0"/>
    </dxf>
    <dxf>
      <alignment horizontal="center" vertical="bottom" textRotation="0" wrapText="0" indent="0" justifyLastLine="0" shrinkToFit="0" readingOrder="0"/>
    </dxf>
    <dxf>
      <numFmt numFmtId="164" formatCode="0.0%"/>
      <alignment horizontal="center" vertical="bottom" textRotation="0" indent="0" justifyLastLine="0" shrinkToFit="0" readingOrder="0"/>
    </dxf>
    <dxf>
      <alignment horizontal="center" vertical="bottom" textRotation="0" wrapText="0" indent="0" justifyLastLine="0" shrinkToFit="0" readingOrder="0"/>
    </dxf>
    <dxf>
      <numFmt numFmtId="4" formatCode="#,##0.00"/>
      <alignment horizontal="center" vertical="bottom" textRotation="0" indent="0" justifyLastLine="0" shrinkToFit="0" readingOrder="0"/>
    </dxf>
    <dxf>
      <alignment horizontal="center" vertical="bottom" textRotation="0" wrapText="0" indent="0" justifyLastLine="0" shrinkToFit="0" readingOrder="0"/>
    </dxf>
    <dxf>
      <numFmt numFmtId="4" formatCode="#,##0.00"/>
      <alignment horizontal="center" vertical="bottom" textRotation="0" indent="0" justifyLastLine="0" shrinkToFit="0" readingOrder="0"/>
    </dxf>
    <dxf>
      <alignment horizontal="center" vertical="bottom" textRotation="0" wrapText="0" indent="0" justifyLastLine="0" shrinkToFit="0" readingOrder="0"/>
    </dxf>
    <dxf>
      <numFmt numFmtId="4" formatCode="#,##0.00"/>
      <alignment horizontal="center" vertical="bottom" textRotation="0" indent="0" justifyLastLine="0" shrinkToFit="0" readingOrder="0"/>
    </dxf>
    <dxf>
      <alignment horizontal="center" vertical="bottom" textRotation="0" wrapText="0" indent="0" justifyLastLine="0" shrinkToFit="0" readingOrder="0"/>
    </dxf>
    <dxf>
      <numFmt numFmtId="164" formatCode="0.0%"/>
      <alignment horizontal="center" vertical="bottom" textRotation="0" indent="0" justifyLastLine="0" shrinkToFit="0" readingOrder="0"/>
    </dxf>
    <dxf>
      <alignment horizontal="center" vertical="bottom" textRotation="0" wrapText="0" indent="0" justifyLastLine="0" shrinkToFit="0" readingOrder="0"/>
    </dxf>
    <dxf>
      <numFmt numFmtId="2" formatCode="0.00"/>
      <alignment horizontal="center" vertical="bottom" textRotation="0" indent="0" justifyLastLine="0" shrinkToFit="0" readingOrder="0"/>
    </dxf>
    <dxf>
      <alignment horizontal="center" vertical="bottom" textRotation="0" wrapText="0" indent="0" justifyLastLine="0" shrinkToFit="0" readingOrder="0"/>
    </dxf>
    <dxf>
      <numFmt numFmtId="2" formatCode="0.00"/>
      <fill>
        <patternFill patternType="solid">
          <fgColor indexed="64"/>
          <bgColor rgb="FFFFC000"/>
        </patternFill>
      </fill>
      <alignment horizontal="center" vertical="bottom" textRotation="0" indent="0" justifyLastLine="0" shrinkToFit="0" readingOrder="0"/>
    </dxf>
    <dxf>
      <alignment horizontal="center" vertical="bottom" textRotation="0" wrapText="0" indent="0" justifyLastLine="0" shrinkToFit="0" readingOrder="0"/>
    </dxf>
    <dxf>
      <numFmt numFmtId="2" formatCode="0.00"/>
      <alignment horizontal="center" vertical="bottom" textRotation="0" indent="0" justifyLastLine="0" shrinkToFit="0" readingOrder="0"/>
    </dxf>
    <dxf>
      <alignment horizontal="center" vertical="bottom" textRotation="0" wrapText="0" indent="0" justifyLastLine="0" shrinkToFit="0" readingOrder="0"/>
    </dxf>
    <dxf>
      <numFmt numFmtId="2" formatCode="0.00"/>
      <alignment horizontal="center" vertical="bottom" textRotation="0" indent="0" justifyLastLine="0" shrinkToFit="0" readingOrder="0"/>
    </dxf>
    <dxf>
      <alignment horizontal="center" vertical="bottom" textRotation="0" wrapText="0" indent="0" justifyLastLine="0" shrinkToFit="0" readingOrder="0"/>
    </dxf>
    <dxf>
      <numFmt numFmtId="1" formatCode="0"/>
      <fill>
        <patternFill patternType="solid">
          <fgColor indexed="64"/>
          <bgColor theme="5" tint="0.59999389629810485"/>
        </patternFill>
      </fill>
      <alignment horizontal="center" vertical="bottom" textRotation="0" indent="0" justifyLastLine="0" shrinkToFit="0" readingOrder="0"/>
    </dxf>
    <dxf>
      <alignment horizontal="center" vertical="bottom" textRotation="0" wrapText="0" indent="0" justifyLastLine="0" shrinkToFit="0" readingOrder="0"/>
    </dxf>
    <dxf>
      <numFmt numFmtId="1" formatCode="0"/>
      <fill>
        <patternFill patternType="solid">
          <fgColor indexed="64"/>
          <bgColor theme="5" tint="0.59999389629810485"/>
        </patternFill>
      </fill>
      <alignment horizontal="center" vertical="bottom" textRotation="0" indent="0" justifyLastLine="0" shrinkToFit="0" readingOrder="0"/>
    </dxf>
    <dxf>
      <alignment horizontal="center" vertical="bottom" textRotation="0" wrapText="0" indent="0" justifyLastLine="0" shrinkToFit="0" readingOrder="0"/>
    </dxf>
    <dxf>
      <numFmt numFmtId="2" formatCode="0.00"/>
      <fill>
        <patternFill patternType="solid">
          <fgColor indexed="64"/>
          <bgColor rgb="FFFFC000"/>
        </patternFill>
      </fill>
      <alignment horizontal="center" vertical="bottom" textRotation="0" indent="0" justifyLastLine="0" shrinkToFit="0" readingOrder="0"/>
    </dxf>
    <dxf>
      <alignment horizontal="center" vertical="bottom" textRotation="0" wrapText="0" indent="0" justifyLastLine="0" shrinkToFit="0" readingOrder="0"/>
    </dxf>
    <dxf>
      <fill>
        <patternFill patternType="solid">
          <fgColor indexed="64"/>
          <bgColor rgb="FFFFC000"/>
        </patternFill>
      </fill>
      <alignment horizontal="center" vertical="bottom" textRotation="0" indent="0" justifyLastLine="0" shrinkToFit="0" readingOrder="0"/>
    </dxf>
    <dxf>
      <alignment horizontal="center" vertical="bottom" textRotation="0" wrapText="0" indent="0" justifyLastLine="0" shrinkToFit="0" readingOrder="0"/>
    </dxf>
    <dxf>
      <numFmt numFmtId="0" formatCode="General"/>
      <fill>
        <patternFill patternType="solid">
          <fgColor indexed="64"/>
          <bgColor theme="7"/>
        </patternFill>
      </fill>
      <alignment horizontal="center" vertical="bottom" textRotation="0" indent="0" justifyLastLine="0" shrinkToFit="0" readingOrder="0"/>
    </dxf>
    <dxf>
      <alignment horizontal="center" vertical="bottom" textRotation="0" wrapText="0" indent="0" justifyLastLine="0" shrinkToFit="0" readingOrder="0"/>
    </dxf>
    <dxf>
      <numFmt numFmtId="0" formatCode="General"/>
      <fill>
        <patternFill patternType="solid">
          <fgColor indexed="64"/>
          <bgColor theme="7"/>
        </patternFill>
      </fill>
      <alignment horizontal="center" vertical="bottom" textRotation="0" wrapText="0" indent="0" justifyLastLine="0" shrinkToFit="0" readingOrder="0"/>
    </dxf>
    <dxf>
      <alignment horizontal="center" vertical="bottom" textRotation="0" wrapText="0" indent="0" justifyLastLine="0" shrinkToFit="0" readingOrder="0"/>
    </dxf>
    <dxf>
      <fill>
        <patternFill patternType="solid">
          <fgColor indexed="64"/>
          <bgColor theme="7"/>
        </patternFill>
      </fill>
      <alignment horizontal="center" vertical="bottom" textRotation="0" indent="0" justifyLastLine="0" shrinkToFit="0" readingOrder="0"/>
    </dxf>
    <dxf>
      <alignment horizontal="center" vertical="bottom" textRotation="0" wrapText="0" indent="0" justifyLastLine="0" shrinkToFit="0" readingOrder="0"/>
    </dxf>
    <dxf>
      <fill>
        <patternFill>
          <fgColor indexed="64"/>
          <bgColor theme="7"/>
        </patternFill>
      </fill>
      <alignment horizontal="center" vertical="bottom" textRotation="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font>
        <b val="0"/>
        <i val="0"/>
        <strike val="0"/>
        <condense val="0"/>
        <extend val="0"/>
        <outline val="0"/>
        <shadow val="0"/>
        <u val="none"/>
        <vertAlign val="baseline"/>
        <sz val="16"/>
        <color theme="1"/>
        <name val="Calibri"/>
        <scheme val="minor"/>
      </font>
      <numFmt numFmtId="4" formatCode="#,##0.00"/>
      <fill>
        <patternFill patternType="solid">
          <fgColor indexed="64"/>
          <bgColor rgb="FFFFFF00"/>
        </patternFill>
      </fill>
      <alignment horizontal="center" vertical="bottom" textRotation="0" wrapText="0" indent="0" justifyLastLine="0" shrinkToFit="0" readingOrder="0"/>
    </dxf>
    <dxf>
      <numFmt numFmtId="4" formatCode="#,##0.00"/>
      <alignment horizontal="center" vertical="bottom" textRotation="0" indent="0" justifyLastLine="0" shrinkToFit="0" readingOrder="0"/>
    </dxf>
    <dxf>
      <font>
        <b val="0"/>
        <i val="0"/>
        <strike val="0"/>
        <condense val="0"/>
        <extend val="0"/>
        <outline val="0"/>
        <shadow val="0"/>
        <u val="none"/>
        <vertAlign val="baseline"/>
        <sz val="16"/>
        <color theme="1"/>
        <name val="Calibri"/>
        <scheme val="minor"/>
      </font>
      <numFmt numFmtId="4" formatCode="#,##0.00"/>
      <fill>
        <patternFill patternType="solid">
          <fgColor indexed="64"/>
          <bgColor rgb="FFFFFF00"/>
        </patternFill>
      </fill>
      <alignment horizontal="center" vertical="bottom" textRotation="0" wrapText="0" indent="0" justifyLastLine="0" shrinkToFit="0" readingOrder="0"/>
    </dxf>
    <dxf>
      <numFmt numFmtId="4" formatCode="#,##0.00"/>
      <alignment horizontal="center" vertical="bottom" textRotation="0" indent="0" justifyLastLine="0" shrinkToFit="0" readingOrder="0"/>
    </dxf>
    <dxf>
      <numFmt numFmtId="4" formatCode="#,##0.00"/>
      <alignment horizontal="center" vertical="bottom" textRotation="0" wrapText="0" indent="0" justifyLastLine="0" shrinkToFit="0" readingOrder="0"/>
    </dxf>
    <dxf>
      <numFmt numFmtId="4" formatCode="#,##0.00"/>
      <alignment horizontal="center" vertical="bottom" textRotation="0" indent="0" justifyLastLine="0" shrinkToFit="0" readingOrder="0"/>
    </dxf>
    <dxf>
      <font>
        <b val="0"/>
        <i val="0"/>
        <strike val="0"/>
        <condense val="0"/>
        <extend val="0"/>
        <outline val="0"/>
        <shadow val="0"/>
        <u val="none"/>
        <vertAlign val="baseline"/>
        <sz val="16"/>
        <color theme="1"/>
        <name val="Calibri"/>
        <scheme val="minor"/>
      </font>
      <numFmt numFmtId="4" formatCode="#,##0.00"/>
      <fill>
        <patternFill patternType="solid">
          <fgColor indexed="64"/>
          <bgColor rgb="FFFFFF00"/>
        </patternFill>
      </fill>
      <alignment horizontal="center" vertical="bottom" textRotation="0" wrapText="0" indent="0" justifyLastLine="0" shrinkToFit="0" readingOrder="0"/>
    </dxf>
    <dxf>
      <numFmt numFmtId="4" formatCode="#,##0.00"/>
      <alignment horizontal="center" vertical="bottom" textRotation="0" indent="0" justifyLastLine="0" shrinkToFit="0" readingOrder="0"/>
    </dxf>
    <dxf>
      <alignment horizontal="center" vertical="bottom" textRotation="0" wrapText="0" indent="0" justifyLastLine="0" shrinkToFit="0" readingOrder="0"/>
    </dxf>
    <dxf>
      <numFmt numFmtId="164" formatCode="0.0%"/>
      <alignment horizontal="center" vertical="bottom" textRotation="0" indent="0" justifyLastLine="0" shrinkToFit="0" readingOrder="0"/>
    </dxf>
    <dxf>
      <alignment horizontal="center" vertical="bottom" textRotation="0" wrapText="0" indent="0" justifyLastLine="0" shrinkToFit="0" readingOrder="0"/>
    </dxf>
    <dxf>
      <numFmt numFmtId="164" formatCode="0.0%"/>
      <alignment horizontal="center" vertical="bottom" textRotation="0" indent="0" justifyLastLine="0" shrinkToFit="0" readingOrder="0"/>
    </dxf>
    <dxf>
      <alignment horizontal="center" vertical="bottom" textRotation="0" wrapText="0" indent="0" justifyLastLine="0" shrinkToFit="0" readingOrder="0"/>
    </dxf>
    <dxf>
      <numFmt numFmtId="164" formatCode="0.0%"/>
      <alignment horizontal="center" vertical="bottom" textRotation="0" indent="0" justifyLastLine="0" shrinkToFit="0" readingOrder="0"/>
    </dxf>
    <dxf>
      <alignment horizontal="center" vertical="bottom" textRotation="0" wrapText="0" indent="0" justifyLastLine="0" shrinkToFit="0" readingOrder="0"/>
    </dxf>
    <dxf>
      <numFmt numFmtId="4" formatCode="#,##0.00"/>
      <alignment horizontal="center" vertical="bottom" textRotation="0" indent="0" justifyLastLine="0" shrinkToFit="0" readingOrder="0"/>
    </dxf>
    <dxf>
      <alignment horizontal="center" vertical="bottom" textRotation="0" wrapText="0" indent="0" justifyLastLine="0" shrinkToFit="0" readingOrder="0"/>
    </dxf>
    <dxf>
      <numFmt numFmtId="4" formatCode="#,##0.00"/>
      <alignment horizontal="center" vertical="bottom" textRotation="0" indent="0" justifyLastLine="0" shrinkToFit="0" readingOrder="0"/>
    </dxf>
    <dxf>
      <alignment horizontal="center" vertical="bottom" textRotation="0" wrapText="0" indent="0" justifyLastLine="0" shrinkToFit="0" readingOrder="0"/>
    </dxf>
    <dxf>
      <numFmt numFmtId="4" formatCode="#,##0.00"/>
      <alignment horizontal="center" vertical="bottom" textRotation="0" indent="0" justifyLastLine="0" shrinkToFit="0" readingOrder="0"/>
    </dxf>
    <dxf>
      <alignment horizontal="center" vertical="bottom" textRotation="0" wrapText="0" indent="0" justifyLastLine="0" shrinkToFit="0" readingOrder="0"/>
    </dxf>
    <dxf>
      <numFmt numFmtId="164" formatCode="0.0%"/>
      <alignment horizontal="center" vertical="bottom" textRotation="0" indent="0" justifyLastLine="0" shrinkToFit="0" readingOrder="0"/>
    </dxf>
    <dxf>
      <alignment horizontal="center" vertical="bottom" textRotation="0" wrapText="0" indent="0" justifyLastLine="0" shrinkToFit="0" readingOrder="0"/>
    </dxf>
    <dxf>
      <numFmt numFmtId="2" formatCode="0.00"/>
      <alignment horizontal="center" vertical="bottom" textRotation="0" indent="0" justifyLastLine="0" shrinkToFit="0" readingOrder="0"/>
    </dxf>
    <dxf>
      <alignment horizontal="center" vertical="bottom" textRotation="0" wrapText="0" indent="0" justifyLastLine="0" shrinkToFit="0" readingOrder="0"/>
    </dxf>
    <dxf>
      <numFmt numFmtId="2" formatCode="0.00"/>
      <fill>
        <patternFill patternType="solid">
          <fgColor indexed="64"/>
          <bgColor rgb="FFFFC000"/>
        </patternFill>
      </fill>
      <alignment horizontal="center" vertical="bottom" textRotation="0" indent="0" justifyLastLine="0" shrinkToFit="0" readingOrder="0"/>
    </dxf>
    <dxf>
      <alignment horizontal="center" vertical="bottom" textRotation="0" wrapText="0" indent="0" justifyLastLine="0" shrinkToFit="0" readingOrder="0"/>
    </dxf>
    <dxf>
      <numFmt numFmtId="2" formatCode="0.00"/>
      <alignment horizontal="center" vertical="bottom" textRotation="0" indent="0" justifyLastLine="0" shrinkToFit="0" readingOrder="0"/>
    </dxf>
    <dxf>
      <alignment horizontal="center" vertical="bottom" textRotation="0" wrapText="0" indent="0" justifyLastLine="0" shrinkToFit="0" readingOrder="0"/>
    </dxf>
    <dxf>
      <numFmt numFmtId="2" formatCode="0.00"/>
      <alignment horizontal="center" vertical="bottom" textRotation="0" indent="0" justifyLastLine="0" shrinkToFit="0" readingOrder="0"/>
    </dxf>
    <dxf>
      <alignment horizontal="center" vertical="bottom" textRotation="0" wrapText="0" indent="0" justifyLastLine="0" shrinkToFit="0" readingOrder="0"/>
    </dxf>
    <dxf>
      <numFmt numFmtId="1" formatCode="0"/>
      <fill>
        <patternFill patternType="solid">
          <fgColor indexed="64"/>
          <bgColor theme="5" tint="0.59999389629810485"/>
        </patternFill>
      </fill>
      <alignment horizontal="center" vertical="bottom" textRotation="0" indent="0" justifyLastLine="0" shrinkToFit="0" readingOrder="0"/>
    </dxf>
    <dxf>
      <alignment horizontal="center" vertical="bottom" textRotation="0" wrapText="0" indent="0" justifyLastLine="0" shrinkToFit="0" readingOrder="0"/>
    </dxf>
    <dxf>
      <numFmt numFmtId="1" formatCode="0"/>
      <fill>
        <patternFill patternType="solid">
          <fgColor indexed="64"/>
          <bgColor theme="5" tint="0.59999389629810485"/>
        </patternFill>
      </fill>
      <alignment horizontal="center" vertical="bottom" textRotation="0" indent="0" justifyLastLine="0" shrinkToFit="0" readingOrder="0"/>
    </dxf>
    <dxf>
      <alignment horizontal="center" vertical="bottom" textRotation="0" wrapText="0" indent="0" justifyLastLine="0" shrinkToFit="0" readingOrder="0"/>
    </dxf>
    <dxf>
      <numFmt numFmtId="2" formatCode="0.00"/>
      <fill>
        <patternFill patternType="solid">
          <fgColor indexed="64"/>
          <bgColor rgb="FFFFC000"/>
        </patternFill>
      </fill>
      <alignment horizontal="center" vertical="bottom" textRotation="0" indent="0" justifyLastLine="0" shrinkToFit="0" readingOrder="0"/>
    </dxf>
    <dxf>
      <alignment horizontal="center" vertical="bottom" textRotation="0" wrapText="0" indent="0" justifyLastLine="0" shrinkToFit="0" readingOrder="0"/>
    </dxf>
    <dxf>
      <fill>
        <patternFill patternType="solid">
          <fgColor indexed="64"/>
          <bgColor rgb="FFFFC000"/>
        </patternFill>
      </fill>
      <alignment horizontal="center" vertical="bottom" textRotation="0" indent="0" justifyLastLine="0" shrinkToFit="0" readingOrder="0"/>
    </dxf>
    <dxf>
      <alignment horizontal="center" vertical="bottom" textRotation="0" wrapText="0" indent="0" justifyLastLine="0" shrinkToFit="0" readingOrder="0"/>
    </dxf>
    <dxf>
      <numFmt numFmtId="0" formatCode="General"/>
      <fill>
        <patternFill patternType="solid">
          <fgColor indexed="64"/>
          <bgColor theme="7"/>
        </patternFill>
      </fill>
      <alignment horizontal="center" vertical="bottom" textRotation="0" indent="0" justifyLastLine="0" shrinkToFit="0" readingOrder="0"/>
    </dxf>
    <dxf>
      <alignment horizontal="center" vertical="bottom" textRotation="0" wrapText="0" indent="0" justifyLastLine="0" shrinkToFit="0" readingOrder="0"/>
    </dxf>
    <dxf>
      <numFmt numFmtId="0" formatCode="General"/>
      <fill>
        <patternFill patternType="solid">
          <fgColor indexed="64"/>
          <bgColor theme="7"/>
        </patternFill>
      </fill>
      <alignment horizontal="center" vertical="bottom" textRotation="0" wrapText="0" indent="0" justifyLastLine="0" shrinkToFit="0" readingOrder="0"/>
    </dxf>
    <dxf>
      <alignment horizontal="center" vertical="bottom" textRotation="0" wrapText="0" indent="0" justifyLastLine="0" shrinkToFit="0" readingOrder="0"/>
    </dxf>
    <dxf>
      <fill>
        <patternFill patternType="solid">
          <fgColor indexed="64"/>
          <bgColor theme="7"/>
        </patternFill>
      </fill>
      <alignment horizontal="center" vertical="bottom" textRotation="0" indent="0" justifyLastLine="0" shrinkToFit="0" readingOrder="0"/>
    </dxf>
    <dxf>
      <alignment horizontal="center" vertical="bottom" textRotation="0" wrapText="0" indent="0" justifyLastLine="0" shrinkToFit="0" readingOrder="0"/>
    </dxf>
    <dxf>
      <fill>
        <patternFill>
          <fgColor indexed="64"/>
          <bgColor theme="7"/>
        </patternFill>
      </fill>
      <alignment horizontal="center" vertical="bottom" textRotation="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font>
        <b val="0"/>
        <i val="0"/>
        <strike val="0"/>
        <condense val="0"/>
        <extend val="0"/>
        <outline val="0"/>
        <shadow val="0"/>
        <u val="none"/>
        <vertAlign val="baseline"/>
        <sz val="16"/>
        <color theme="1"/>
        <name val="Calibri"/>
        <scheme val="minor"/>
      </font>
      <numFmt numFmtId="4" formatCode="#,##0.00"/>
      <fill>
        <patternFill patternType="solid">
          <fgColor indexed="64"/>
          <bgColor rgb="FFFFFF00"/>
        </patternFill>
      </fill>
      <alignment horizontal="center" vertical="bottom" textRotation="0" wrapText="0" indent="0" justifyLastLine="0" shrinkToFit="0" readingOrder="0"/>
    </dxf>
    <dxf>
      <numFmt numFmtId="4" formatCode="#,##0.00"/>
      <alignment horizontal="center" vertical="bottom" textRotation="0" indent="0" justifyLastLine="0" shrinkToFit="0" readingOrder="0"/>
    </dxf>
    <dxf>
      <font>
        <b val="0"/>
        <i val="0"/>
        <strike val="0"/>
        <condense val="0"/>
        <extend val="0"/>
        <outline val="0"/>
        <shadow val="0"/>
        <u val="none"/>
        <vertAlign val="baseline"/>
        <sz val="16"/>
        <color theme="1"/>
        <name val="Calibri"/>
        <scheme val="minor"/>
      </font>
      <numFmt numFmtId="4" formatCode="#,##0.00"/>
      <fill>
        <patternFill patternType="solid">
          <fgColor indexed="64"/>
          <bgColor rgb="FFFFFF00"/>
        </patternFill>
      </fill>
      <alignment horizontal="center" vertical="bottom" textRotation="0" wrapText="0" indent="0" justifyLastLine="0" shrinkToFit="0" readingOrder="0"/>
    </dxf>
    <dxf>
      <numFmt numFmtId="4" formatCode="#,##0.00"/>
      <alignment horizontal="center" vertical="bottom" textRotation="0" indent="0" justifyLastLine="0" shrinkToFit="0" readingOrder="0"/>
    </dxf>
    <dxf>
      <numFmt numFmtId="4" formatCode="#,##0.00"/>
      <alignment horizontal="center" vertical="bottom" textRotation="0" wrapText="0" indent="0" justifyLastLine="0" shrinkToFit="0" readingOrder="0"/>
    </dxf>
    <dxf>
      <numFmt numFmtId="4" formatCode="#,##0.00"/>
      <alignment horizontal="center" vertical="bottom" textRotation="0" indent="0" justifyLastLine="0" shrinkToFit="0" readingOrder="0"/>
    </dxf>
    <dxf>
      <font>
        <b val="0"/>
        <i val="0"/>
        <strike val="0"/>
        <condense val="0"/>
        <extend val="0"/>
        <outline val="0"/>
        <shadow val="0"/>
        <u val="none"/>
        <vertAlign val="baseline"/>
        <sz val="16"/>
        <color theme="1"/>
        <name val="Calibri"/>
        <scheme val="minor"/>
      </font>
      <numFmt numFmtId="4" formatCode="#,##0.00"/>
      <fill>
        <patternFill patternType="solid">
          <fgColor indexed="64"/>
          <bgColor rgb="FFFFFF00"/>
        </patternFill>
      </fill>
      <alignment horizontal="center" vertical="bottom" textRotation="0" wrapText="0" indent="0" justifyLastLine="0" shrinkToFit="0" readingOrder="0"/>
    </dxf>
    <dxf>
      <numFmt numFmtId="4" formatCode="#,##0.00"/>
      <alignment horizontal="center" vertical="bottom" textRotation="0" indent="0" justifyLastLine="0" shrinkToFit="0" readingOrder="0"/>
    </dxf>
    <dxf>
      <alignment horizontal="center" vertical="bottom" textRotation="0" wrapText="0" indent="0" justifyLastLine="0" shrinkToFit="0" readingOrder="0"/>
    </dxf>
    <dxf>
      <numFmt numFmtId="164" formatCode="0.0%"/>
      <alignment horizontal="center" vertical="bottom" textRotation="0" indent="0" justifyLastLine="0" shrinkToFit="0" readingOrder="0"/>
    </dxf>
    <dxf>
      <alignment horizontal="center" vertical="bottom" textRotation="0" wrapText="0" indent="0" justifyLastLine="0" shrinkToFit="0" readingOrder="0"/>
    </dxf>
    <dxf>
      <numFmt numFmtId="164" formatCode="0.0%"/>
      <alignment horizontal="center" vertical="bottom" textRotation="0" indent="0" justifyLastLine="0" shrinkToFit="0" readingOrder="0"/>
    </dxf>
    <dxf>
      <alignment horizontal="center" vertical="bottom" textRotation="0" wrapText="0" indent="0" justifyLastLine="0" shrinkToFit="0" readingOrder="0"/>
    </dxf>
    <dxf>
      <numFmt numFmtId="164" formatCode="0.0%"/>
      <alignment horizontal="center" vertical="bottom" textRotation="0" indent="0" justifyLastLine="0" shrinkToFit="0" readingOrder="0"/>
    </dxf>
    <dxf>
      <alignment horizontal="center" vertical="bottom" textRotation="0" wrapText="0" indent="0" justifyLastLine="0" shrinkToFit="0" readingOrder="0"/>
    </dxf>
    <dxf>
      <numFmt numFmtId="4" formatCode="#,##0.00"/>
      <alignment horizontal="center" vertical="bottom" textRotation="0" indent="0" justifyLastLine="0" shrinkToFit="0" readingOrder="0"/>
    </dxf>
    <dxf>
      <alignment horizontal="center" vertical="bottom" textRotation="0" wrapText="0" indent="0" justifyLastLine="0" shrinkToFit="0" readingOrder="0"/>
    </dxf>
    <dxf>
      <numFmt numFmtId="4" formatCode="#,##0.00"/>
      <alignment horizontal="center" vertical="bottom" textRotation="0" indent="0" justifyLastLine="0" shrinkToFit="0" readingOrder="0"/>
    </dxf>
    <dxf>
      <alignment horizontal="center" vertical="bottom" textRotation="0" wrapText="0" indent="0" justifyLastLine="0" shrinkToFit="0" readingOrder="0"/>
    </dxf>
    <dxf>
      <numFmt numFmtId="4" formatCode="#,##0.00"/>
      <alignment horizontal="center" vertical="bottom" textRotation="0" indent="0" justifyLastLine="0" shrinkToFit="0" readingOrder="0"/>
    </dxf>
    <dxf>
      <alignment horizontal="center" vertical="bottom" textRotation="0" wrapText="0" indent="0" justifyLastLine="0" shrinkToFit="0" readingOrder="0"/>
    </dxf>
    <dxf>
      <numFmt numFmtId="164" formatCode="0.0%"/>
      <alignment horizontal="center" vertical="bottom" textRotation="0" indent="0" justifyLastLine="0" shrinkToFit="0" readingOrder="0"/>
    </dxf>
    <dxf>
      <alignment horizontal="center" vertical="bottom" textRotation="0" wrapText="0" indent="0" justifyLastLine="0" shrinkToFit="0" readingOrder="0"/>
    </dxf>
    <dxf>
      <numFmt numFmtId="2" formatCode="0.00"/>
      <alignment horizontal="center" vertical="bottom" textRotation="0" indent="0" justifyLastLine="0" shrinkToFit="0" readingOrder="0"/>
    </dxf>
    <dxf>
      <alignment horizontal="center" vertical="bottom" textRotation="0" wrapText="0" indent="0" justifyLastLine="0" shrinkToFit="0" readingOrder="0"/>
    </dxf>
    <dxf>
      <numFmt numFmtId="2" formatCode="0.00"/>
      <fill>
        <patternFill patternType="solid">
          <fgColor indexed="64"/>
          <bgColor rgb="FFFFC000"/>
        </patternFill>
      </fill>
      <alignment horizontal="center" vertical="bottom" textRotation="0" indent="0" justifyLastLine="0" shrinkToFit="0" readingOrder="0"/>
    </dxf>
    <dxf>
      <alignment horizontal="center" vertical="bottom" textRotation="0" wrapText="0" indent="0" justifyLastLine="0" shrinkToFit="0" readingOrder="0"/>
    </dxf>
    <dxf>
      <numFmt numFmtId="2" formatCode="0.00"/>
      <alignment horizontal="center" vertical="bottom" textRotation="0" indent="0" justifyLastLine="0" shrinkToFit="0" readingOrder="0"/>
    </dxf>
    <dxf>
      <alignment horizontal="center" vertical="bottom" textRotation="0" wrapText="0" indent="0" justifyLastLine="0" shrinkToFit="0" readingOrder="0"/>
    </dxf>
    <dxf>
      <numFmt numFmtId="2" formatCode="0.00"/>
      <alignment horizontal="center" vertical="bottom" textRotation="0" indent="0" justifyLastLine="0" shrinkToFit="0" readingOrder="0"/>
    </dxf>
    <dxf>
      <alignment horizontal="center" vertical="bottom" textRotation="0" wrapText="0" indent="0" justifyLastLine="0" shrinkToFit="0" readingOrder="0"/>
    </dxf>
    <dxf>
      <numFmt numFmtId="1" formatCode="0"/>
      <fill>
        <patternFill patternType="solid">
          <fgColor indexed="64"/>
          <bgColor theme="5" tint="0.59999389629810485"/>
        </patternFill>
      </fill>
      <alignment horizontal="center" vertical="bottom" textRotation="0" indent="0" justifyLastLine="0" shrinkToFit="0" readingOrder="0"/>
    </dxf>
    <dxf>
      <alignment horizontal="center" vertical="bottom" textRotation="0" wrapText="0" indent="0" justifyLastLine="0" shrinkToFit="0" readingOrder="0"/>
    </dxf>
    <dxf>
      <numFmt numFmtId="1" formatCode="0"/>
      <fill>
        <patternFill patternType="solid">
          <fgColor indexed="64"/>
          <bgColor theme="5" tint="0.59999389629810485"/>
        </patternFill>
      </fill>
      <alignment horizontal="center" vertical="bottom" textRotation="0" indent="0" justifyLastLine="0" shrinkToFit="0" readingOrder="0"/>
    </dxf>
    <dxf>
      <alignment horizontal="center" vertical="bottom" textRotation="0" wrapText="0" indent="0" justifyLastLine="0" shrinkToFit="0" readingOrder="0"/>
    </dxf>
    <dxf>
      <numFmt numFmtId="2" formatCode="0.00"/>
      <fill>
        <patternFill patternType="solid">
          <fgColor indexed="64"/>
          <bgColor rgb="FFFFC000"/>
        </patternFill>
      </fill>
      <alignment horizontal="center" vertical="bottom" textRotation="0" indent="0" justifyLastLine="0" shrinkToFit="0" readingOrder="0"/>
    </dxf>
    <dxf>
      <alignment horizontal="center" vertical="bottom" textRotation="0" wrapText="0" indent="0" justifyLastLine="0" shrinkToFit="0" readingOrder="0"/>
    </dxf>
    <dxf>
      <fill>
        <patternFill patternType="solid">
          <fgColor indexed="64"/>
          <bgColor rgb="FFFFC000"/>
        </patternFill>
      </fill>
      <alignment horizontal="center" vertical="bottom" textRotation="0" indent="0" justifyLastLine="0" shrinkToFit="0" readingOrder="0"/>
    </dxf>
    <dxf>
      <alignment horizontal="center" vertical="bottom" textRotation="0" wrapText="0" indent="0" justifyLastLine="0" shrinkToFit="0" readingOrder="0"/>
    </dxf>
    <dxf>
      <numFmt numFmtId="0" formatCode="General"/>
      <fill>
        <patternFill patternType="solid">
          <fgColor indexed="64"/>
          <bgColor theme="7"/>
        </patternFill>
      </fill>
      <alignment horizontal="center" vertical="bottom" textRotation="0" indent="0" justifyLastLine="0" shrinkToFit="0" readingOrder="0"/>
    </dxf>
    <dxf>
      <alignment horizontal="center" vertical="bottom" textRotation="0" wrapText="0" indent="0" justifyLastLine="0" shrinkToFit="0" readingOrder="0"/>
    </dxf>
    <dxf>
      <numFmt numFmtId="0" formatCode="General"/>
      <fill>
        <patternFill patternType="solid">
          <fgColor indexed="64"/>
          <bgColor theme="7"/>
        </patternFill>
      </fill>
      <alignment horizontal="center" vertical="bottom" textRotation="0" wrapText="0" indent="0" justifyLastLine="0" shrinkToFit="0" readingOrder="0"/>
    </dxf>
    <dxf>
      <alignment horizontal="center" vertical="bottom" textRotation="0" wrapText="0" indent="0" justifyLastLine="0" shrinkToFit="0" readingOrder="0"/>
    </dxf>
    <dxf>
      <fill>
        <patternFill patternType="solid">
          <fgColor indexed="64"/>
          <bgColor theme="7"/>
        </patternFill>
      </fill>
      <alignment horizontal="center" vertical="bottom" textRotation="0" indent="0" justifyLastLine="0" shrinkToFit="0" readingOrder="0"/>
    </dxf>
    <dxf>
      <alignment horizontal="center" vertical="bottom" textRotation="0" wrapText="0" indent="0" justifyLastLine="0" shrinkToFit="0" readingOrder="0"/>
    </dxf>
    <dxf>
      <fill>
        <patternFill>
          <fgColor indexed="64"/>
          <bgColor theme="7"/>
        </patternFill>
      </fill>
      <alignment horizontal="center" vertical="bottom" textRotation="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ont>
        <b val="0"/>
        <i val="0"/>
        <strike val="0"/>
        <condense val="0"/>
        <extend val="0"/>
        <outline val="0"/>
        <shadow val="0"/>
        <u val="none"/>
        <vertAlign val="baseline"/>
        <sz val="16"/>
        <color theme="1"/>
        <name val="Calibri"/>
        <scheme val="minor"/>
      </font>
      <numFmt numFmtId="4" formatCode="#,##0.00"/>
      <fill>
        <patternFill patternType="solid">
          <fgColor indexed="64"/>
          <bgColor rgb="FFFFFF00"/>
        </patternFill>
      </fill>
      <alignment horizontal="center" vertical="bottom" textRotation="0" wrapText="0" indent="0" justifyLastLine="0" shrinkToFit="0" readingOrder="0"/>
    </dxf>
    <dxf>
      <numFmt numFmtId="4" formatCode="#,##0.00"/>
      <alignment horizontal="center" vertical="bottom" textRotation="0" indent="0" justifyLastLine="0" shrinkToFit="0" readingOrder="0"/>
    </dxf>
    <dxf>
      <font>
        <b val="0"/>
        <i val="0"/>
        <strike val="0"/>
        <condense val="0"/>
        <extend val="0"/>
        <outline val="0"/>
        <shadow val="0"/>
        <u val="none"/>
        <vertAlign val="baseline"/>
        <sz val="16"/>
        <color theme="1"/>
        <name val="Calibri"/>
        <scheme val="minor"/>
      </font>
      <numFmt numFmtId="4" formatCode="#,##0.00"/>
      <fill>
        <patternFill patternType="solid">
          <fgColor indexed="64"/>
          <bgColor rgb="FFFFFF00"/>
        </patternFill>
      </fill>
      <alignment horizontal="center" vertical="bottom" textRotation="0" wrapText="0" indent="0" justifyLastLine="0" shrinkToFit="0" readingOrder="0"/>
    </dxf>
    <dxf>
      <numFmt numFmtId="4" formatCode="#,##0.00"/>
      <alignment horizontal="center" vertical="bottom" textRotation="0" indent="0" justifyLastLine="0" shrinkToFit="0" readingOrder="0"/>
    </dxf>
    <dxf>
      <numFmt numFmtId="4" formatCode="#,##0.00"/>
      <alignment horizontal="center" vertical="bottom" textRotation="0" wrapText="0" indent="0" justifyLastLine="0" shrinkToFit="0" readingOrder="0"/>
    </dxf>
    <dxf>
      <numFmt numFmtId="4" formatCode="#,##0.00"/>
      <alignment horizontal="center" vertical="bottom" textRotation="0" indent="0" justifyLastLine="0" shrinkToFit="0" readingOrder="0"/>
    </dxf>
    <dxf>
      <font>
        <b val="0"/>
        <i val="0"/>
        <strike val="0"/>
        <condense val="0"/>
        <extend val="0"/>
        <outline val="0"/>
        <shadow val="0"/>
        <u val="none"/>
        <vertAlign val="baseline"/>
        <sz val="16"/>
        <color theme="1"/>
        <name val="Calibri"/>
        <scheme val="minor"/>
      </font>
      <numFmt numFmtId="4" formatCode="#,##0.00"/>
      <fill>
        <patternFill patternType="solid">
          <fgColor indexed="64"/>
          <bgColor rgb="FFFFFF00"/>
        </patternFill>
      </fill>
      <alignment horizontal="center" vertical="bottom" textRotation="0" wrapText="0" indent="0" justifyLastLine="0" shrinkToFit="0" readingOrder="0"/>
    </dxf>
    <dxf>
      <numFmt numFmtId="4" formatCode="#,##0.00"/>
      <alignment horizontal="center" vertical="bottom" textRotation="0" indent="0" justifyLastLine="0" shrinkToFit="0" readingOrder="0"/>
    </dxf>
    <dxf>
      <alignment horizontal="center" vertical="bottom" textRotation="0" wrapText="0" indent="0" justifyLastLine="0" shrinkToFit="0" readingOrder="0"/>
    </dxf>
    <dxf>
      <numFmt numFmtId="164" formatCode="0.0%"/>
      <alignment horizontal="center" vertical="bottom" textRotation="0" indent="0" justifyLastLine="0" shrinkToFit="0" readingOrder="0"/>
    </dxf>
    <dxf>
      <alignment horizontal="center" vertical="bottom" textRotation="0" wrapText="0" indent="0" justifyLastLine="0" shrinkToFit="0" readingOrder="0"/>
    </dxf>
    <dxf>
      <numFmt numFmtId="164" formatCode="0.0%"/>
      <alignment horizontal="center" vertical="bottom" textRotation="0" indent="0" justifyLastLine="0" shrinkToFit="0" readingOrder="0"/>
    </dxf>
    <dxf>
      <alignment horizontal="center" vertical="bottom" textRotation="0" wrapText="0" indent="0" justifyLastLine="0" shrinkToFit="0" readingOrder="0"/>
    </dxf>
    <dxf>
      <numFmt numFmtId="164" formatCode="0.0%"/>
      <alignment horizontal="center" vertical="bottom" textRotation="0" indent="0" justifyLastLine="0" shrinkToFit="0" readingOrder="0"/>
    </dxf>
    <dxf>
      <alignment horizontal="center" vertical="bottom" textRotation="0" wrapText="0" indent="0" justifyLastLine="0" shrinkToFit="0" readingOrder="0"/>
    </dxf>
    <dxf>
      <numFmt numFmtId="4" formatCode="#,##0.00"/>
      <alignment horizontal="center" vertical="bottom" textRotation="0" indent="0" justifyLastLine="0" shrinkToFit="0" readingOrder="0"/>
    </dxf>
    <dxf>
      <alignment horizontal="center" vertical="bottom" textRotation="0" wrapText="0" indent="0" justifyLastLine="0" shrinkToFit="0" readingOrder="0"/>
    </dxf>
    <dxf>
      <numFmt numFmtId="4" formatCode="#,##0.00"/>
      <alignment horizontal="center" vertical="bottom" textRotation="0" indent="0" justifyLastLine="0" shrinkToFit="0" readingOrder="0"/>
    </dxf>
    <dxf>
      <alignment horizontal="center" vertical="bottom" textRotation="0" wrapText="0" indent="0" justifyLastLine="0" shrinkToFit="0" readingOrder="0"/>
    </dxf>
    <dxf>
      <numFmt numFmtId="4" formatCode="#,##0.00"/>
      <alignment horizontal="center" vertical="bottom" textRotation="0" indent="0" justifyLastLine="0" shrinkToFit="0" readingOrder="0"/>
    </dxf>
    <dxf>
      <alignment horizontal="center" vertical="bottom" textRotation="0" wrapText="0" indent="0" justifyLastLine="0" shrinkToFit="0" readingOrder="0"/>
    </dxf>
    <dxf>
      <numFmt numFmtId="164" formatCode="0.0%"/>
      <alignment horizontal="center" vertical="bottom" textRotation="0" indent="0" justifyLastLine="0" shrinkToFit="0" readingOrder="0"/>
    </dxf>
    <dxf>
      <alignment horizontal="center" vertical="bottom" textRotation="0" wrapText="0" indent="0" justifyLastLine="0" shrinkToFit="0" readingOrder="0"/>
    </dxf>
    <dxf>
      <numFmt numFmtId="2" formatCode="0.00"/>
      <alignment horizontal="center" vertical="bottom" textRotation="0" indent="0" justifyLastLine="0" shrinkToFit="0" readingOrder="0"/>
    </dxf>
    <dxf>
      <alignment horizontal="center" vertical="bottom" textRotation="0" wrapText="0" indent="0" justifyLastLine="0" shrinkToFit="0" readingOrder="0"/>
    </dxf>
    <dxf>
      <numFmt numFmtId="2" formatCode="0.00"/>
      <fill>
        <patternFill patternType="solid">
          <fgColor indexed="64"/>
          <bgColor rgb="FFFFC000"/>
        </patternFill>
      </fill>
      <alignment horizontal="center" vertical="bottom" textRotation="0" indent="0" justifyLastLine="0" shrinkToFit="0" readingOrder="0"/>
    </dxf>
    <dxf>
      <alignment horizontal="center" vertical="bottom" textRotation="0" wrapText="0" indent="0" justifyLastLine="0" shrinkToFit="0" readingOrder="0"/>
    </dxf>
    <dxf>
      <numFmt numFmtId="2" formatCode="0.00"/>
      <alignment horizontal="center" vertical="bottom" textRotation="0" indent="0" justifyLastLine="0" shrinkToFit="0" readingOrder="0"/>
    </dxf>
    <dxf>
      <alignment horizontal="center" vertical="bottom" textRotation="0" wrapText="0" indent="0" justifyLastLine="0" shrinkToFit="0" readingOrder="0"/>
    </dxf>
    <dxf>
      <numFmt numFmtId="2" formatCode="0.00"/>
      <alignment horizontal="center" vertical="bottom" textRotation="0" indent="0" justifyLastLine="0" shrinkToFit="0" readingOrder="0"/>
    </dxf>
    <dxf>
      <alignment horizontal="center" vertical="bottom" textRotation="0" wrapText="0" indent="0" justifyLastLine="0" shrinkToFit="0" readingOrder="0"/>
    </dxf>
    <dxf>
      <numFmt numFmtId="1" formatCode="0"/>
      <fill>
        <patternFill patternType="solid">
          <fgColor indexed="64"/>
          <bgColor theme="5" tint="0.59999389629810485"/>
        </patternFill>
      </fill>
      <alignment horizontal="center" vertical="bottom" textRotation="0" indent="0" justifyLastLine="0" shrinkToFit="0" readingOrder="0"/>
    </dxf>
    <dxf>
      <alignment horizontal="center" vertical="bottom" textRotation="0" wrapText="0" indent="0" justifyLastLine="0" shrinkToFit="0" readingOrder="0"/>
    </dxf>
    <dxf>
      <numFmt numFmtId="1" formatCode="0"/>
      <fill>
        <patternFill patternType="solid">
          <fgColor indexed="64"/>
          <bgColor theme="5" tint="0.59999389629810485"/>
        </patternFill>
      </fill>
      <alignment horizontal="center" vertical="bottom" textRotation="0" indent="0" justifyLastLine="0" shrinkToFit="0" readingOrder="0"/>
    </dxf>
    <dxf>
      <alignment horizontal="center" vertical="bottom" textRotation="0" wrapText="0" indent="0" justifyLastLine="0" shrinkToFit="0" readingOrder="0"/>
    </dxf>
    <dxf>
      <numFmt numFmtId="2" formatCode="0.00"/>
      <fill>
        <patternFill patternType="solid">
          <fgColor indexed="64"/>
          <bgColor rgb="FFFFC000"/>
        </patternFill>
      </fill>
      <alignment horizontal="center" vertical="bottom" textRotation="0" indent="0" justifyLastLine="0" shrinkToFit="0" readingOrder="0"/>
    </dxf>
    <dxf>
      <alignment horizontal="center" vertical="bottom" textRotation="0" wrapText="0" indent="0" justifyLastLine="0" shrinkToFit="0" readingOrder="0"/>
    </dxf>
    <dxf>
      <fill>
        <patternFill patternType="solid">
          <fgColor indexed="64"/>
          <bgColor rgb="FFFFC000"/>
        </patternFill>
      </fill>
      <alignment horizontal="center" vertical="bottom" textRotation="0" indent="0" justifyLastLine="0" shrinkToFit="0" readingOrder="0"/>
    </dxf>
    <dxf>
      <alignment horizontal="center" vertical="bottom" textRotation="0" wrapText="0" indent="0" justifyLastLine="0" shrinkToFit="0" readingOrder="0"/>
    </dxf>
    <dxf>
      <numFmt numFmtId="0" formatCode="General"/>
      <fill>
        <patternFill patternType="solid">
          <fgColor indexed="64"/>
          <bgColor theme="7"/>
        </patternFill>
      </fill>
      <alignment horizontal="center" vertical="bottom" textRotation="0" indent="0" justifyLastLine="0" shrinkToFit="0" readingOrder="0"/>
    </dxf>
    <dxf>
      <alignment horizontal="center" vertical="bottom" textRotation="0" wrapText="0" indent="0" justifyLastLine="0" shrinkToFit="0" readingOrder="0"/>
    </dxf>
    <dxf>
      <numFmt numFmtId="0" formatCode="General"/>
      <fill>
        <patternFill patternType="solid">
          <fgColor indexed="64"/>
          <bgColor theme="7"/>
        </patternFill>
      </fill>
      <alignment horizontal="center" vertical="bottom" textRotation="0" indent="0" justifyLastLine="0" shrinkToFit="0" readingOrder="0"/>
    </dxf>
    <dxf>
      <alignment horizontal="center" vertical="bottom" textRotation="0" wrapText="0" indent="0" justifyLastLine="0" shrinkToFit="0" readingOrder="0"/>
    </dxf>
    <dxf>
      <fill>
        <patternFill patternType="solid">
          <fgColor indexed="64"/>
          <bgColor theme="7"/>
        </patternFill>
      </fill>
      <alignment horizontal="center" vertical="bottom" textRotation="0" indent="0" justifyLastLine="0" shrinkToFit="0" readingOrder="0"/>
    </dxf>
    <dxf>
      <alignment horizontal="center" vertical="bottom" textRotation="0" wrapText="0" indent="0" justifyLastLine="0" shrinkToFit="0" readingOrder="0"/>
    </dxf>
    <dxf>
      <fill>
        <patternFill>
          <fgColor indexed="64"/>
          <bgColor theme="7"/>
        </patternFill>
      </fill>
      <alignment horizontal="center" vertical="bottom" textRotation="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font>
        <b val="0"/>
        <i val="0"/>
        <strike val="0"/>
        <condense val="0"/>
        <extend val="0"/>
        <outline val="0"/>
        <shadow val="0"/>
        <u val="none"/>
        <vertAlign val="baseline"/>
        <sz val="16"/>
        <color theme="1"/>
        <name val="Calibri"/>
        <scheme val="minor"/>
      </font>
      <numFmt numFmtId="4" formatCode="#,##0.00"/>
      <fill>
        <patternFill patternType="solid">
          <fgColor indexed="64"/>
          <bgColor rgb="FFFFFF00"/>
        </patternFill>
      </fill>
      <alignment horizontal="center" vertical="bottom" textRotation="0" wrapText="0" indent="0" justifyLastLine="0" shrinkToFit="0" readingOrder="0"/>
    </dxf>
    <dxf>
      <numFmt numFmtId="4" formatCode="#,##0.00"/>
      <alignment horizontal="center" vertical="bottom" textRotation="0" indent="0" justifyLastLine="0" shrinkToFit="0" readingOrder="0"/>
    </dxf>
    <dxf>
      <font>
        <b val="0"/>
        <i val="0"/>
        <strike val="0"/>
        <condense val="0"/>
        <extend val="0"/>
        <outline val="0"/>
        <shadow val="0"/>
        <u val="none"/>
        <vertAlign val="baseline"/>
        <sz val="16"/>
        <color theme="1"/>
        <name val="Calibri"/>
        <scheme val="minor"/>
      </font>
      <numFmt numFmtId="4" formatCode="#,##0.00"/>
      <fill>
        <patternFill patternType="solid">
          <fgColor indexed="64"/>
          <bgColor rgb="FFFFFF00"/>
        </patternFill>
      </fill>
      <alignment horizontal="center" vertical="bottom" textRotation="0" wrapText="0" indent="0" justifyLastLine="0" shrinkToFit="0" readingOrder="0"/>
    </dxf>
    <dxf>
      <numFmt numFmtId="4" formatCode="#,##0.00"/>
      <alignment horizontal="center" vertical="bottom" textRotation="0" indent="0" justifyLastLine="0" shrinkToFit="0" readingOrder="0"/>
    </dxf>
    <dxf>
      <numFmt numFmtId="4" formatCode="#,##0.00"/>
      <alignment horizontal="center" vertical="bottom" textRotation="0" wrapText="0" indent="0" justifyLastLine="0" shrinkToFit="0" readingOrder="0"/>
    </dxf>
    <dxf>
      <numFmt numFmtId="4" formatCode="#,##0.00"/>
      <alignment horizontal="center" vertical="bottom" textRotation="0" indent="0" justifyLastLine="0" shrinkToFit="0" readingOrder="0"/>
    </dxf>
    <dxf>
      <font>
        <b val="0"/>
        <i val="0"/>
        <strike val="0"/>
        <condense val="0"/>
        <extend val="0"/>
        <outline val="0"/>
        <shadow val="0"/>
        <u val="none"/>
        <vertAlign val="baseline"/>
        <sz val="16"/>
        <color theme="1"/>
        <name val="Calibri"/>
        <scheme val="minor"/>
      </font>
      <numFmt numFmtId="4" formatCode="#,##0.00"/>
      <fill>
        <patternFill patternType="solid">
          <fgColor indexed="64"/>
          <bgColor rgb="FFFFFF00"/>
        </patternFill>
      </fill>
      <alignment horizontal="center" vertical="bottom" textRotation="0" wrapText="0" indent="0" justifyLastLine="0" shrinkToFit="0" readingOrder="0"/>
    </dxf>
    <dxf>
      <numFmt numFmtId="4" formatCode="#,##0.00"/>
      <alignment horizontal="center" vertical="bottom" textRotation="0" indent="0" justifyLastLine="0" shrinkToFit="0" readingOrder="0"/>
    </dxf>
    <dxf>
      <alignment horizontal="center" vertical="bottom" textRotation="0" wrapText="0" indent="0" justifyLastLine="0" shrinkToFit="0" readingOrder="0"/>
    </dxf>
    <dxf>
      <numFmt numFmtId="164" formatCode="0.0%"/>
      <alignment horizontal="center" vertical="bottom" textRotation="0" indent="0" justifyLastLine="0" shrinkToFit="0" readingOrder="0"/>
    </dxf>
    <dxf>
      <alignment horizontal="center" vertical="bottom" textRotation="0" wrapText="0" indent="0" justifyLastLine="0" shrinkToFit="0" readingOrder="0"/>
    </dxf>
    <dxf>
      <numFmt numFmtId="164" formatCode="0.0%"/>
      <alignment horizontal="center" vertical="bottom" textRotation="0" indent="0" justifyLastLine="0" shrinkToFit="0" readingOrder="0"/>
    </dxf>
    <dxf>
      <alignment horizontal="center" vertical="bottom" textRotation="0" wrapText="0" indent="0" justifyLastLine="0" shrinkToFit="0" readingOrder="0"/>
    </dxf>
    <dxf>
      <numFmt numFmtId="164" formatCode="0.0%"/>
      <alignment horizontal="center" vertical="bottom" textRotation="0" indent="0" justifyLastLine="0" shrinkToFit="0" readingOrder="0"/>
    </dxf>
    <dxf>
      <alignment horizontal="center" vertical="bottom" textRotation="0" wrapText="0" indent="0" justifyLastLine="0" shrinkToFit="0" readingOrder="0"/>
    </dxf>
    <dxf>
      <numFmt numFmtId="4" formatCode="#,##0.00"/>
      <alignment horizontal="center" vertical="bottom" textRotation="0" indent="0" justifyLastLine="0" shrinkToFit="0" readingOrder="0"/>
    </dxf>
    <dxf>
      <alignment horizontal="center" vertical="bottom" textRotation="0" wrapText="0" indent="0" justifyLastLine="0" shrinkToFit="0" readingOrder="0"/>
    </dxf>
    <dxf>
      <numFmt numFmtId="4" formatCode="#,##0.00"/>
      <alignment horizontal="center" vertical="bottom" textRotation="0" indent="0" justifyLastLine="0" shrinkToFit="0" readingOrder="0"/>
    </dxf>
    <dxf>
      <alignment horizontal="center" vertical="bottom" textRotation="0" wrapText="0" indent="0" justifyLastLine="0" shrinkToFit="0" readingOrder="0"/>
    </dxf>
    <dxf>
      <numFmt numFmtId="4" formatCode="#,##0.00"/>
      <alignment horizontal="center" vertical="bottom" textRotation="0" indent="0" justifyLastLine="0" shrinkToFit="0" readingOrder="0"/>
    </dxf>
    <dxf>
      <alignment horizontal="center" vertical="bottom" textRotation="0" wrapText="0" indent="0" justifyLastLine="0" shrinkToFit="0" readingOrder="0"/>
    </dxf>
    <dxf>
      <numFmt numFmtId="164" formatCode="0.0%"/>
      <alignment horizontal="center" vertical="bottom" textRotation="0" indent="0" justifyLastLine="0" shrinkToFit="0" readingOrder="0"/>
    </dxf>
    <dxf>
      <alignment horizontal="center" vertical="bottom" textRotation="0" wrapText="0" indent="0" justifyLastLine="0" shrinkToFit="0" readingOrder="0"/>
    </dxf>
    <dxf>
      <numFmt numFmtId="2" formatCode="0.00"/>
      <alignment horizontal="center" vertical="bottom" textRotation="0" indent="0" justifyLastLine="0" shrinkToFit="0" readingOrder="0"/>
    </dxf>
    <dxf>
      <alignment horizontal="center" vertical="bottom" textRotation="0" wrapText="0" indent="0" justifyLastLine="0" shrinkToFit="0" readingOrder="0"/>
    </dxf>
    <dxf>
      <numFmt numFmtId="2" formatCode="0.00"/>
      <fill>
        <patternFill patternType="solid">
          <fgColor indexed="64"/>
          <bgColor rgb="FFFFC000"/>
        </patternFill>
      </fill>
      <alignment horizontal="center" vertical="bottom" textRotation="0" indent="0" justifyLastLine="0" shrinkToFit="0" readingOrder="0"/>
    </dxf>
    <dxf>
      <alignment horizontal="center" vertical="bottom" textRotation="0" wrapText="0" indent="0" justifyLastLine="0" shrinkToFit="0" readingOrder="0"/>
    </dxf>
    <dxf>
      <numFmt numFmtId="2" formatCode="0.00"/>
      <alignment horizontal="center" vertical="bottom" textRotation="0" indent="0" justifyLastLine="0" shrinkToFit="0" readingOrder="0"/>
    </dxf>
    <dxf>
      <alignment horizontal="center" vertical="bottom" textRotation="0" wrapText="0" indent="0" justifyLastLine="0" shrinkToFit="0" readingOrder="0"/>
    </dxf>
    <dxf>
      <numFmt numFmtId="2" formatCode="0.00"/>
      <alignment horizontal="center" vertical="bottom" textRotation="0" indent="0" justifyLastLine="0" shrinkToFit="0" readingOrder="0"/>
    </dxf>
    <dxf>
      <alignment horizontal="center" vertical="bottom" textRotation="0" wrapText="0" indent="0" justifyLastLine="0" shrinkToFit="0" readingOrder="0"/>
    </dxf>
    <dxf>
      <numFmt numFmtId="1" formatCode="0"/>
      <fill>
        <patternFill patternType="solid">
          <fgColor indexed="64"/>
          <bgColor theme="5" tint="0.59999389629810485"/>
        </patternFill>
      </fill>
      <alignment horizontal="center" vertical="bottom" textRotation="0" indent="0" justifyLastLine="0" shrinkToFit="0" readingOrder="0"/>
    </dxf>
    <dxf>
      <alignment horizontal="center" vertical="bottom" textRotation="0" wrapText="0" indent="0" justifyLastLine="0" shrinkToFit="0" readingOrder="0"/>
    </dxf>
    <dxf>
      <numFmt numFmtId="1" formatCode="0"/>
      <fill>
        <patternFill patternType="solid">
          <fgColor indexed="64"/>
          <bgColor theme="5" tint="0.59999389629810485"/>
        </patternFill>
      </fill>
      <alignment horizontal="center" vertical="bottom" textRotation="0" indent="0" justifyLastLine="0" shrinkToFit="0" readingOrder="0"/>
    </dxf>
    <dxf>
      <alignment horizontal="center" vertical="bottom" textRotation="0" wrapText="0" indent="0" justifyLastLine="0" shrinkToFit="0" readingOrder="0"/>
    </dxf>
    <dxf>
      <numFmt numFmtId="2" formatCode="0.00"/>
      <fill>
        <patternFill patternType="solid">
          <fgColor indexed="64"/>
          <bgColor rgb="FFFFC000"/>
        </patternFill>
      </fill>
      <alignment horizontal="center" vertical="bottom" textRotation="0" indent="0" justifyLastLine="0" shrinkToFit="0" readingOrder="0"/>
    </dxf>
    <dxf>
      <alignment horizontal="center" vertical="bottom" textRotation="0" wrapText="0" indent="0" justifyLastLine="0" shrinkToFit="0" readingOrder="0"/>
    </dxf>
    <dxf>
      <fill>
        <patternFill patternType="solid">
          <fgColor indexed="64"/>
          <bgColor rgb="FFFFC000"/>
        </patternFill>
      </fill>
      <alignment horizontal="center" vertical="bottom" textRotation="0" indent="0" justifyLastLine="0" shrinkToFit="0" readingOrder="0"/>
    </dxf>
    <dxf>
      <alignment horizontal="center" vertical="bottom" textRotation="0" wrapText="0" indent="0" justifyLastLine="0" shrinkToFit="0" readingOrder="0"/>
    </dxf>
    <dxf>
      <numFmt numFmtId="0" formatCode="General"/>
      <fill>
        <patternFill patternType="solid">
          <fgColor indexed="64"/>
          <bgColor theme="7"/>
        </patternFill>
      </fill>
      <alignment horizontal="center" vertical="bottom" textRotation="0" indent="0" justifyLastLine="0" shrinkToFit="0" readingOrder="0"/>
    </dxf>
    <dxf>
      <alignment horizontal="center" vertical="bottom" textRotation="0" wrapText="0" indent="0" justifyLastLine="0" shrinkToFit="0" readingOrder="0"/>
    </dxf>
    <dxf>
      <numFmt numFmtId="0" formatCode="General"/>
      <fill>
        <patternFill patternType="solid">
          <fgColor indexed="64"/>
          <bgColor theme="7"/>
        </patternFill>
      </fill>
      <alignment horizontal="center" vertical="bottom" textRotation="0" indent="0" justifyLastLine="0" shrinkToFit="0" readingOrder="0"/>
    </dxf>
    <dxf>
      <alignment horizontal="center" vertical="bottom" textRotation="0" wrapText="0" indent="0" justifyLastLine="0" shrinkToFit="0" readingOrder="0"/>
    </dxf>
    <dxf>
      <fill>
        <patternFill patternType="solid">
          <fgColor indexed="64"/>
          <bgColor theme="7"/>
        </patternFill>
      </fill>
      <alignment horizontal="center" vertical="bottom" textRotation="0" indent="0" justifyLastLine="0" shrinkToFit="0" readingOrder="0"/>
    </dxf>
    <dxf>
      <alignment horizontal="center" vertical="bottom" textRotation="0" wrapText="0" indent="0" justifyLastLine="0" shrinkToFit="0" readingOrder="0"/>
    </dxf>
    <dxf>
      <fill>
        <patternFill>
          <fgColor indexed="64"/>
          <bgColor theme="7"/>
        </patternFill>
      </fill>
      <alignment horizontal="center" vertical="bottom" textRotation="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numFmt numFmtId="4" formatCode="#,##0.00"/>
      <alignment horizontal="center" vertical="bottom" textRotation="0" indent="0" justifyLastLine="0" shrinkToFit="0" readingOrder="0"/>
    </dxf>
    <dxf>
      <numFmt numFmtId="4" formatCode="#,##0.00"/>
      <alignment horizontal="center" vertical="bottom" textRotation="0" indent="0" justifyLastLine="0" shrinkToFit="0" readingOrder="0"/>
    </dxf>
    <dxf>
      <numFmt numFmtId="4" formatCode="#,##0.00"/>
      <alignment horizontal="center" vertical="bottom" textRotation="0" indent="0" justifyLastLine="0" shrinkToFit="0" readingOrder="0"/>
    </dxf>
    <dxf>
      <numFmt numFmtId="4" formatCode="#,##0.00"/>
      <alignment horizontal="center" vertical="bottom" textRotation="0" indent="0" justifyLastLine="0" shrinkToFit="0" readingOrder="0"/>
    </dxf>
    <dxf>
      <numFmt numFmtId="164" formatCode="0.0%"/>
      <alignment horizontal="center" vertical="bottom" textRotation="0" indent="0" justifyLastLine="0" shrinkToFit="0" readingOrder="0"/>
    </dxf>
    <dxf>
      <numFmt numFmtId="164" formatCode="0.0%"/>
      <alignment horizontal="center" vertical="bottom" textRotation="0" indent="0" justifyLastLine="0" shrinkToFit="0" readingOrder="0"/>
    </dxf>
    <dxf>
      <numFmt numFmtId="164" formatCode="0.0%"/>
      <alignment horizontal="center" vertical="bottom" textRotation="0" indent="0" justifyLastLine="0" shrinkToFit="0" readingOrder="0"/>
    </dxf>
    <dxf>
      <numFmt numFmtId="4" formatCode="#,##0.00"/>
      <alignment horizontal="center" vertical="bottom" textRotation="0" indent="0" justifyLastLine="0" shrinkToFit="0" readingOrder="0"/>
    </dxf>
    <dxf>
      <numFmt numFmtId="4" formatCode="#,##0.00"/>
      <alignment horizontal="center" vertical="bottom" textRotation="0" indent="0" justifyLastLine="0" shrinkToFit="0" readingOrder="0"/>
    </dxf>
    <dxf>
      <numFmt numFmtId="4" formatCode="#,##0.00"/>
      <alignment horizontal="center" vertical="bottom" textRotation="0" indent="0" justifyLastLine="0" shrinkToFit="0" readingOrder="0"/>
    </dxf>
    <dxf>
      <numFmt numFmtId="164" formatCode="0.0%"/>
      <alignment horizontal="center" vertical="bottom" textRotation="0" indent="0" justifyLastLine="0" shrinkToFit="0" readingOrder="0"/>
    </dxf>
    <dxf>
      <numFmt numFmtId="2" formatCode="0.00"/>
      <alignment horizontal="center" vertical="bottom" textRotation="0" indent="0" justifyLastLine="0" shrinkToFit="0" readingOrder="0"/>
    </dxf>
    <dxf>
      <numFmt numFmtId="2" formatCode="0.00"/>
      <fill>
        <patternFill patternType="solid">
          <fgColor indexed="64"/>
          <bgColor rgb="FFFFC000"/>
        </patternFill>
      </fill>
      <alignment horizontal="center" vertical="bottom" textRotation="0" indent="0" justifyLastLine="0" shrinkToFit="0" readingOrder="0"/>
    </dxf>
    <dxf>
      <numFmt numFmtId="2" formatCode="0.00"/>
      <alignment horizontal="center" vertical="bottom" textRotation="0" indent="0" justifyLastLine="0" shrinkToFit="0" readingOrder="0"/>
    </dxf>
    <dxf>
      <numFmt numFmtId="2" formatCode="0.00"/>
      <alignment horizontal="center" vertical="bottom" textRotation="0" indent="0" justifyLastLine="0" shrinkToFit="0" readingOrder="0"/>
    </dxf>
    <dxf>
      <numFmt numFmtId="1" formatCode="0"/>
      <fill>
        <patternFill patternType="solid">
          <fgColor indexed="64"/>
          <bgColor theme="5" tint="0.59999389629810485"/>
        </patternFill>
      </fill>
      <alignment horizontal="center" vertical="bottom" textRotation="0" indent="0" justifyLastLine="0" shrinkToFit="0" readingOrder="0"/>
    </dxf>
    <dxf>
      <numFmt numFmtId="1" formatCode="0"/>
      <fill>
        <patternFill patternType="solid">
          <fgColor indexed="64"/>
          <bgColor theme="5" tint="0.59999389629810485"/>
        </patternFill>
      </fill>
      <alignment horizontal="center" vertical="bottom" textRotation="0" indent="0" justifyLastLine="0" shrinkToFit="0" readingOrder="0"/>
    </dxf>
    <dxf>
      <numFmt numFmtId="2" formatCode="0.00"/>
      <fill>
        <patternFill patternType="solid">
          <fgColor indexed="64"/>
          <bgColor rgb="FFFFC000"/>
        </patternFill>
      </fill>
      <alignment horizontal="center" vertical="bottom" textRotation="0" indent="0" justifyLastLine="0" shrinkToFit="0" readingOrder="0"/>
    </dxf>
    <dxf>
      <fill>
        <patternFill patternType="solid">
          <fgColor indexed="64"/>
          <bgColor rgb="FFFFC000"/>
        </patternFill>
      </fill>
      <alignment horizontal="center" vertical="bottom" textRotation="0" indent="0" justifyLastLine="0" shrinkToFit="0" readingOrder="0"/>
    </dxf>
    <dxf>
      <numFmt numFmtId="0" formatCode="General"/>
      <fill>
        <patternFill patternType="solid">
          <fgColor indexed="64"/>
          <bgColor theme="7"/>
        </patternFill>
      </fill>
      <alignment horizontal="center" vertical="bottom" textRotation="0" indent="0" justifyLastLine="0" shrinkToFit="0" readingOrder="0"/>
    </dxf>
    <dxf>
      <numFmt numFmtId="0" formatCode="General"/>
      <fill>
        <patternFill patternType="solid">
          <fgColor indexed="64"/>
          <bgColor theme="7"/>
        </patternFill>
      </fill>
      <alignment horizontal="center" vertical="bottom" textRotation="0" indent="0" justifyLastLine="0" shrinkToFit="0" readingOrder="0"/>
    </dxf>
    <dxf>
      <fill>
        <patternFill patternType="solid">
          <fgColor indexed="64"/>
          <bgColor theme="7"/>
        </patternFill>
      </fill>
      <alignment horizontal="center" vertical="bottom" textRotation="0" indent="0" justifyLastLine="0" shrinkToFit="0" readingOrder="0"/>
    </dxf>
    <dxf>
      <fill>
        <patternFill>
          <fgColor indexed="64"/>
          <bgColor theme="7"/>
        </patternFill>
      </fill>
      <alignment horizontal="center" vertical="bottom" textRotation="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numFmt numFmtId="0" formatCode="General"/>
    </dxf>
    <dxf>
      <numFmt numFmtId="164" formatCode="0.0%"/>
    </dxf>
    <dxf>
      <numFmt numFmtId="164" formatCode="0.0%"/>
    </dxf>
    <dxf>
      <numFmt numFmtId="164" formatCode="0.0%"/>
    </dxf>
    <dxf>
      <numFmt numFmtId="2" formatCode="0.00"/>
    </dxf>
    <dxf>
      <numFmt numFmtId="2" formatCode="0.00"/>
    </dxf>
    <dxf>
      <numFmt numFmtId="2" formatCode="0.00"/>
    </dxf>
    <dxf>
      <numFmt numFmtId="0" formatCode="General"/>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left style="thin">
          <color theme="4" tint="0.39997558519241921"/>
        </lef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mp"/><Relationship Id="rId2" Type="http://schemas.openxmlformats.org/officeDocument/2006/relationships/image" Target="../media/image2.tmp"/><Relationship Id="rId1" Type="http://schemas.openxmlformats.org/officeDocument/2006/relationships/image" Target="../media/image1.tmp"/></Relationships>
</file>

<file path=xl/drawings/drawing1.xml><?xml version="1.0" encoding="utf-8"?>
<xdr:wsDr xmlns:xdr="http://schemas.openxmlformats.org/drawingml/2006/spreadsheetDrawing" xmlns:a="http://schemas.openxmlformats.org/drawingml/2006/main">
  <xdr:twoCellAnchor editAs="oneCell">
    <xdr:from>
      <xdr:col>0</xdr:col>
      <xdr:colOff>158750</xdr:colOff>
      <xdr:row>4</xdr:row>
      <xdr:rowOff>19050</xdr:rowOff>
    </xdr:from>
    <xdr:to>
      <xdr:col>13</xdr:col>
      <xdr:colOff>857250</xdr:colOff>
      <xdr:row>38</xdr:row>
      <xdr:rowOff>527531</xdr:rowOff>
    </xdr:to>
    <xdr:pic>
      <xdr:nvPicPr>
        <xdr:cNvPr id="2" name="Picture 1" descr="Screen Clipping">
          <a:extLst>
            <a:ext uri="{FF2B5EF4-FFF2-40B4-BE49-F238E27FC236}">
              <a16:creationId xmlns=""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8750" y="1193800"/>
          <a:ext cx="8540750" cy="8779356"/>
        </a:xfrm>
        <a:prstGeom prst="rect">
          <a:avLst/>
        </a:prstGeom>
      </xdr:spPr>
    </xdr:pic>
    <xdr:clientData/>
  </xdr:twoCellAnchor>
  <xdr:twoCellAnchor editAs="oneCell">
    <xdr:from>
      <xdr:col>0</xdr:col>
      <xdr:colOff>450850</xdr:colOff>
      <xdr:row>47</xdr:row>
      <xdr:rowOff>22225</xdr:rowOff>
    </xdr:from>
    <xdr:to>
      <xdr:col>11</xdr:col>
      <xdr:colOff>190500</xdr:colOff>
      <xdr:row>66</xdr:row>
      <xdr:rowOff>65839</xdr:rowOff>
    </xdr:to>
    <xdr:pic>
      <xdr:nvPicPr>
        <xdr:cNvPr id="3" name="Picture 2" descr="Screen Clipping">
          <a:extLst>
            <a:ext uri="{FF2B5EF4-FFF2-40B4-BE49-F238E27FC236}">
              <a16:creationId xmlns="" xmlns:a16="http://schemas.microsoft.com/office/drawing/2014/main" id="{00000000-0008-0000-01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50850" y="12166600"/>
          <a:ext cx="6375400" cy="3663114"/>
        </a:xfrm>
        <a:prstGeom prst="rect">
          <a:avLst/>
        </a:prstGeom>
      </xdr:spPr>
    </xdr:pic>
    <xdr:clientData/>
  </xdr:twoCellAnchor>
  <xdr:twoCellAnchor editAs="oneCell">
    <xdr:from>
      <xdr:col>0</xdr:col>
      <xdr:colOff>523875</xdr:colOff>
      <xdr:row>65</xdr:row>
      <xdr:rowOff>79375</xdr:rowOff>
    </xdr:from>
    <xdr:to>
      <xdr:col>11</xdr:col>
      <xdr:colOff>111125</xdr:colOff>
      <xdr:row>108</xdr:row>
      <xdr:rowOff>91993</xdr:rowOff>
    </xdr:to>
    <xdr:pic>
      <xdr:nvPicPr>
        <xdr:cNvPr id="4" name="Picture 3" descr="Screen Clipping">
          <a:extLst>
            <a:ext uri="{FF2B5EF4-FFF2-40B4-BE49-F238E27FC236}">
              <a16:creationId xmlns="" xmlns:a16="http://schemas.microsoft.com/office/drawing/2014/main" id="{00000000-0008-0000-01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23875" y="15652750"/>
          <a:ext cx="6223000" cy="8204118"/>
        </a:xfrm>
        <a:prstGeom prst="rect">
          <a:avLst/>
        </a:prstGeom>
      </xdr:spPr>
    </xdr:pic>
    <xdr:clientData/>
  </xdr:twoCellAnchor>
</xdr:wsDr>
</file>

<file path=xl/tables/table1.xml><?xml version="1.0" encoding="utf-8"?>
<table xmlns="http://schemas.openxmlformats.org/spreadsheetml/2006/main" id="9" name="Impervious" displayName="Impervious" ref="B38:E60" totalsRowShown="0" tableBorderDxfId="319">
  <autoFilter ref="B38:E60"/>
  <tableColumns count="4">
    <tableColumn id="1" name="Source" dataDxfId="318"/>
    <tableColumn id="2" name="MapShed default Impervious (fraction)"/>
    <tableColumn id="3" name="Manual Entry Impervious (fraction)"/>
    <tableColumn id="4" name="Impervious (fraction) to use" dataDxfId="317">
      <calculatedColumnFormula>IF(ISNUMBER(Impervious[[#This Row],[Manual Entry Impervious (fraction)]]),Impervious[[#This Row],[Manual Entry Impervious (fraction)]],Impervious[[#This Row],[MapShed default Impervious (fraction)]])</calculatedColumnFormula>
    </tableColumn>
  </tableColumns>
  <tableStyleInfo name="TableStyleMedium2" showFirstColumn="0" showLastColumn="0" showRowStripes="1" showColumnStripes="0"/>
</table>
</file>

<file path=xl/tables/table10.xml><?xml version="1.0" encoding="utf-8"?>
<table xmlns="http://schemas.openxmlformats.org/spreadsheetml/2006/main" id="10" name="ProposedBMPs811" displayName="ProposedBMPs811" ref="A31:W35" totalsRowCount="1" headerRowDxfId="71" dataDxfId="70" totalsRowDxfId="69">
  <autoFilter ref="A31:W34"/>
  <tableColumns count="23">
    <tableColumn id="1" name="Name" totalsRowLabel="Total" dataDxfId="68" totalsRowDxfId="67"/>
    <tableColumn id="2" name="BMP Type" dataDxfId="66" totalsRowDxfId="65"/>
    <tableColumn id="20" name="Year Installed" dataDxfId="64" totalsRowDxfId="63"/>
    <tableColumn id="11" name="MapShed Land Cover of Drainage Area" dataDxfId="62" totalsRowDxfId="61"/>
    <tableColumn id="4" name="Drainage Area (ac)" dataDxfId="60" totalsRowDxfId="59"/>
    <tableColumn id="12" name="Treatment Depth (in)" dataDxfId="58" totalsRowDxfId="57"/>
    <tableColumn id="19" name="Stream Restoration* Length (ft) - Qualified projects only" dataDxfId="56" totalsRowDxfId="55"/>
    <tableColumn id="8" name="Street Sweeping* Road Length Swept (ft) - Qualified projects only" dataDxfId="54" totalsRowDxfId="53"/>
    <tableColumn id="5" name="Impervious Area (ac)" dataDxfId="52" totalsRowDxfId="51">
      <calculatedColumnFormula>ProposedBMPs811[[#This Row],[Drainage Area (ac)]]*ProposedBMPs811[[#This Row],[Impervious (%)]]</calculatedColumnFormula>
    </tableColumn>
    <tableColumn id="6" name="Treatment Depth (in/imp. ac)" dataDxfId="50" totalsRowDxfId="49">
      <calculatedColumnFormula>IFERROR(MIN(ProposedBMPs811[[#This Row],[Treatment Depth (in)]]*ProposedBMPs811[[#This Row],[Drainage Area (ac)]]/ProposedBMPs811[[#This Row],[Impervious Area (ac)]],2.5),NA())</calculatedColumnFormula>
    </tableColumn>
    <tableColumn id="7" name="Treatment Depth (in/imp. ac) Manual Override - use if no impervious area" dataDxfId="48" totalsRowDxfId="47"/>
    <tableColumn id="3" name="Effective Treatment Depth (in/imp. ac)" dataDxfId="46" totalsRowDxfId="45">
      <calculatedColumnFormula>IF(ProposedBMPs811[[#This Row],[Treatment Depth (in/imp. ac) Manual Override - use if no impervious area]]&gt;0,ProposedBMPs811[[#This Row],[Treatment Depth (in/imp. ac) Manual Override - use if no impervious area]],ProposedBMPs811[[#This Row],[Treatment Depth (in/imp. ac)]])</calculatedColumnFormula>
    </tableColumn>
    <tableColumn id="10" name="Impervious (%)" dataDxfId="44" totalsRowDxfId="43">
      <calculatedColumnFormula>IF(ProposedBMPs811[[#This Row],[BMP Type]]="Stream Restoration",NA(),IFERROR(INDEX(Impervious[#All],MATCH(ProposedBMPs811[[#This Row],[MapShed Land Cover of Drainage Area]],Impervious[[#All],[Source]],0),4),0))</calculatedColumnFormula>
    </tableColumn>
    <tableColumn id="9" name="TSS Load (lbs/yr)" dataDxfId="42" totalsRowDxfId="41">
      <calculatedColumnFormula>IF(ProposedBMPs811[[#This Row],[BMP Type]]="Street Sweeping",ProposedBMPs811[[#This Row],[Street Sweeping* Road Length Swept (ft) - Qualified projects only]]*Street_Sweeping[Road Width (ft)]/43560*INDEX(Loading_Rates[#All],MATCH(ProposedBMPs811[[#This Row],[MapShed Land Cover of Drainage Area]],Loading_Rates[[#All],[Source]],0),2)*ProposedBMPs811[[#This Row],[Impervious (%)]],IF(ProposedBMPs811[[#This Row],[BMP Type]]="Stream Restoration",NA(),INDEX(Loading_Rates[#All],MATCH(ProposedBMPs811[[#This Row],[MapShed Land Cover of Drainage Area]],Loading_Rates[[#All],[Source]],0),2)*ProposedBMPs811[[#This Row],[Drainage Area (ac)]]))</calculatedColumnFormula>
    </tableColumn>
    <tableColumn id="22" name="TP Load (lbs/yr)" dataDxfId="40" totalsRowDxfId="39">
      <calculatedColumnFormula>IF(ProposedBMPs811[[#This Row],[BMP Type]]="Street Sweeping",ProposedBMPs811[[#This Row],[Street Sweeping* Road Length Swept (ft) - Qualified projects only]]*Street_Sweeping[Road Width (ft)]/43560*INDEX(Loading_Rates[#All],MATCH(ProposedBMPs811[[#This Row],[MapShed Land Cover of Drainage Area]],Loading_Rates[[#All],[Source]],0),3)*ProposedBMPs811[[#This Row],[Impervious (%)]],IF(ProposedBMPs811[[#This Row],[BMP Type]]="Stream Restoration",NA(),INDEX(Loading_Rates[#All],MATCH(ProposedBMPs811[[#This Row],[MapShed Land Cover of Drainage Area]],Loading_Rates[[#All],[Source]],0),3)*ProposedBMPs811[[#This Row],[Drainage Area (ac)]]))</calculatedColumnFormula>
    </tableColumn>
    <tableColumn id="23" name="TN Load (lbs/yr)" dataDxfId="38" totalsRowDxfId="37">
      <calculatedColumnFormula>IF(ProposedBMPs811[[#This Row],[BMP Type]]="Street Sweeping",ProposedBMPs811[[#This Row],[Street Sweeping* Road Length Swept (ft) - Qualified projects only]]*Street_Sweeping[Road Width (ft)]/43560*INDEX(Loading_Rates[#All],MATCH(ProposedBMPs811[[#This Row],[MapShed Land Cover of Drainage Area]],Loading_Rates[[#All],[Source]],0),4)*ProposedBMPs811[[#This Row],[Impervious (%)]],IF(ProposedBMPs811[[#This Row],[BMP Type]]="Stream Restoration",NA(),INDEX(Loading_Rates[#All],MATCH(ProposedBMPs811[[#This Row],[MapShed Land Cover of Drainage Area]],Loading_Rates[[#All],[Source]],0),4)*ProposedBMPs811[[#This Row],[Drainage Area (ac)]]))</calculatedColumnFormula>
    </tableColumn>
    <tableColumn id="15" name="TSS Reduction (%)" dataDxfId="36" totalsRowDxfId="35">
      <calculatedColumnFormula>IF(ProposedBMPs811[[#This Row],[BMP Type]]="RR",0.0326*ProposedBMPs811[[#This Row],[Effective Treatment Depth (in/imp. ac)]]^5-0.2806*ProposedBMPs811[[#This Row],[Effective Treatment Depth (in/imp. ac)]]^4+0.9816*ProposedBMPs811[[#This Row],[Effective Treatment Depth (in/imp. ac)]]^3-1.8039*ProposedBMPs811[[#This Row],[Effective Treatment Depth (in/imp. ac)]]^2+1.8292*ProposedBMPs811[[#This Row],[Effective Treatment Depth (in/imp. ac)]]-0.0098,IF(ProposedBMPs811[[#This Row],[BMP Type]]="ST",0.0304*ProposedBMPs811[[#This Row],[Effective Treatment Depth (in/imp. ac)]]^5-0.2619*ProposedBMPs811[[#This Row],[Effective Treatment Depth (in/imp. ac)]]^4+0.9161*ProposedBMPs811[[#This Row],[Effective Treatment Depth (in/imp. ac)]]^3-1.6837*ProposedBMPs811[[#This Row],[Effective Treatment Depth (in/imp. ac)]]^2+1.7072*ProposedBMPs811[[#This Row],[Effective Treatment Depth (in/imp. ac)]]-0.0091,IF(ProposedBMPs811[[#This Row],[BMP Type]]="Street Sweeping",Street_Sweeping[TSS Reduction (%)],IF(OR(ProposedBMPs811[[#This Row],[BMP Type]]="Other",ProposedBMPs811[[#This Row],[BMP Type]]="Stream Restoration"),0,1))))</calculatedColumnFormula>
    </tableColumn>
    <tableColumn id="14" name="TP Reduction (%)" dataDxfId="34" totalsRowDxfId="33">
      <calculatedColumnFormula>IF(ProposedBMPs811[[#This Row],[BMP Type]]="RR",0.0304*ProposedBMPs811[[#This Row],[Effective Treatment Depth (in/imp. ac)]]^5-0.2619*ProposedBMPs811[[#This Row],[Effective Treatment Depth (in/imp. ac)]]^4+0.9161*ProposedBMPs811[[#This Row],[Effective Treatment Depth (in/imp. ac)]]^3-1.6837*ProposedBMPs811[[#This Row],[Effective Treatment Depth (in/imp. ac)]]^2+1.7072*ProposedBMPs811[[#This Row],[Effective Treatment Depth (in/imp. ac)]]-0.0091,IF(ProposedBMPs811[[#This Row],[BMP Type]]="ST",0.0239*ProposedBMPs811[[#This Row],[Effective Treatment Depth (in/imp. ac)]]^5-0.2058*ProposedBMPs811[[#This Row],[Effective Treatment Depth (in/imp. ac)]]^4+0.7198*ProposedBMPs811[[#This Row],[Effective Treatment Depth (in/imp. ac)]]^3-1.3229*ProposedBMPs811[[#This Row],[Effective Treatment Depth (in/imp. ac)]]^2+1.3414*ProposedBMPs811[[#This Row],[Effective Treatment Depth (in/imp. ac)]]-0.0072,IF(ProposedBMPs811[[#This Row],[BMP Type]]="Street Sweeping",Street_Sweeping[TP Reduction (%)],IF(OR(ProposedBMPs811[[#This Row],[BMP Type]]="Other",ProposedBMPs811[[#This Row],[BMP Type]]="Stream Restoration"),0,1))))</calculatedColumnFormula>
    </tableColumn>
    <tableColumn id="13" name="TN Reduction (%)" dataDxfId="32" totalsRowDxfId="31">
      <calculatedColumnFormula>IF(ProposedBMPs811[[#This Row],[BMP Type]]="RR",0.0308*ProposedBMPs811[[#This Row],[Effective Treatment Depth (in/imp. ac)]]^5-0.2562*ProposedBMPs811[[#This Row],[Effective Treatment Depth (in/imp. ac)]]^4+0.8634*ProposedBMPs811[[#This Row],[Effective Treatment Depth (in/imp. ac)]]^3-1.5285*ProposedBMPs811[[#This Row],[Effective Treatment Depth (in/imp. ac)]]^2+1.501*ProposedBMPs811[[#This Row],[Effective Treatment Depth (in/imp. ac)]]-0.013,IF(ProposedBMPs811[[#This Row],[BMP Type]]="ST",0.0152*ProposedBMPs811[[#This Row],[Effective Treatment Depth (in/imp. ac)]]^5-0.131*ProposedBMPs811[[#This Row],[Effective Treatment Depth (in/imp. ac)]]^4+0.4581*ProposedBMPs811[[#This Row],[Effective Treatment Depth (in/imp. ac)]]^3-0.8418*ProposedBMPs811[[#This Row],[Effective Treatment Depth (in/imp. ac)]]^2+0.8536*ProposedBMPs811[[#This Row],[Effective Treatment Depth (in/imp. ac)]]-0.0046,IF(ProposedBMPs811[[#This Row],[BMP Type]]="Street Sweeping",Street_Sweeping[TN Reduction (%)],IF(OR(ProposedBMPs811[[#This Row],[BMP Type]]="Other",ProposedBMPs811[[#This Row],[BMP Type]]="Stream Restoration"),0,1))))</calculatedColumnFormula>
    </tableColumn>
    <tableColumn id="18" name="TSS Reduction (lbs/yr)" totalsRowFunction="custom" dataDxfId="30" totalsRowDxfId="29">
      <calculatedColumnFormula>IF(ProposedBMPs811[[#This Row],[TSS Reduction (%)]]&gt;0,IF(ProposedBMPs811[[#This Row],[BMP Type]]="Street Sweeping",ProposedBMPs811[[#This Row],[TSS Load (lbs/yr)]]*ProposedBMPs811[[#This Row],[TSS Reduction (%)]],INDEX(Loading_Rates[#All],MATCH(ProposedBMPs811[[#This Row],[MapShed Land Cover of Drainage Area]],Loading_Rates[[#All],[Source]],0),2)*ProposedBMPs811[[#This Row],[Drainage Area (ac)]]*ProposedBMPs811[[#This Row],[TSS Reduction (%)]]),IF(ProposedBMPs811[[#This Row],[BMP Type]]="Stream Restoration",Stream_Nutrients[TSS (lbs/ft/yr)]*ProposedBMPs811[[#This Row],[Stream Restoration* Length (ft) - Qualified projects only]],0))</calculatedColumnFormula>
      <totalsRowFormula>_xlfn.AGGREGATE(9,7,ProposedBMPs811[TSS Reduction (lbs/yr)])</totalsRowFormula>
    </tableColumn>
    <tableColumn id="21" name="TSS Reduction (tons/yr)" totalsRowFunction="custom" dataDxfId="28" totalsRowDxfId="27">
      <calculatedColumnFormula>ProposedBMPs811[[#This Row],[TSS Reduction (lbs/yr)]]/2000</calculatedColumnFormula>
      <totalsRowFormula>_xlfn.AGGREGATE(9,7,ProposedBMPs811[TSS Reduction (tons/yr)])</totalsRowFormula>
    </tableColumn>
    <tableColumn id="17" name="TP Reduction (lbs/yr)" totalsRowFunction="custom" dataDxfId="26" totalsRowDxfId="25">
      <calculatedColumnFormula>IF(ProposedBMPs811[[#This Row],[TP Reduction (%)]]&gt;0,IF(ProposedBMPs811[[#This Row],[BMP Type]]="Street Sweeping",ProposedBMPs811[[#This Row],[TP Load (lbs/yr)]]*ProposedBMPs811[[#This Row],[TP Reduction (%)]],INDEX(Loading_Rates[#All],MATCH(ProposedBMPs811[[#This Row],[MapShed Land Cover of Drainage Area]],Loading_Rates[[#All],[Source]],0),3)*ProposedBMPs811[[#This Row],[Drainage Area (ac)]]*ProposedBMPs811[[#This Row],[TP Reduction (%)]]),IF(ProposedBMPs811[[#This Row],[BMP Type]]="Stream Restoration",Stream_Nutrients[TP (lbs/ft/yr)]*ProposedBMPs811[[#This Row],[Stream Restoration* Length (ft) - Qualified projects only]],0))</calculatedColumnFormula>
      <totalsRowFormula>_xlfn.AGGREGATE(9,7,ProposedBMPs811[TP Reduction (lbs/yr)])</totalsRowFormula>
    </tableColumn>
    <tableColumn id="16" name="TN Reduction (lbs/yr)" totalsRowFunction="custom" dataDxfId="24" totalsRowDxfId="23">
      <calculatedColumnFormula>IF(ProposedBMPs811[[#This Row],[TN Reduction (%)]]&gt;0,IF(ProposedBMPs811[[#This Row],[BMP Type]]="Street Sweeping",ProposedBMPs811[[#This Row],[TN Load (lbs/yr)]]*ProposedBMPs811[[#This Row],[TN Reduction (%)]],INDEX(Loading_Rates[#All],MATCH(ProposedBMPs811[[#This Row],[MapShed Land Cover of Drainage Area]],Loading_Rates[[#All],[Source]],0),4)*ProposedBMPs811[[#This Row],[Drainage Area (ac)]]*ProposedBMPs811[[#This Row],[TN Reduction (%)]]),IF(ProposedBMPs811[[#This Row],[BMP Type]]="Stream Restoration",Stream_Nutrients[TN (lbs/ft/yr)]*ProposedBMPs811[[#This Row],[Stream Restoration* Length (ft) - Qualified projects only]],0))</calculatedColumnFormula>
      <totalsRowFormula>_xlfn.AGGREGATE(9,7,ProposedBMPs811[TN Reduction (lbs/yr)])</totalsRowFormula>
    </tableColumn>
  </tableColumns>
  <tableStyleInfo name="TableStyleMedium2" showFirstColumn="0" showLastColumn="0" showRowStripes="1" showColumnStripes="0"/>
</table>
</file>

<file path=xl/tables/table2.xml><?xml version="1.0" encoding="utf-8"?>
<table xmlns="http://schemas.openxmlformats.org/spreadsheetml/2006/main" id="8" name="Loading_Rates" displayName="Loading_Rates" ref="A8:D30" totalsRowShown="0">
  <autoFilter ref="A8:D30"/>
  <tableColumns count="4">
    <tableColumn id="1" name="Source"/>
    <tableColumn id="2" name="Sediment (lbs/ac/yr)" dataDxfId="316"/>
    <tableColumn id="3" name="TP (lbs/ac/yr)" dataDxfId="315"/>
    <tableColumn id="4" name="TN (lbs/ac/yr)" dataDxfId="314"/>
  </tableColumns>
  <tableStyleInfo name="TableStyleMedium2" showFirstColumn="0" showLastColumn="0" showRowStripes="1" showColumnStripes="0"/>
</table>
</file>

<file path=xl/tables/table3.xml><?xml version="1.0" encoding="utf-8"?>
<table xmlns="http://schemas.openxmlformats.org/spreadsheetml/2006/main" id="1" name="Street_Sweeping" displayName="Street_Sweeping" ref="A33:E34" totalsRowShown="0">
  <autoFilter ref="A33:E34">
    <filterColumn colId="0" hiddenButton="1"/>
    <filterColumn colId="1" hiddenButton="1"/>
    <filterColumn colId="2" hiddenButton="1"/>
    <filterColumn colId="3" hiddenButton="1"/>
    <filterColumn colId="4" hiddenButton="1"/>
  </autoFilter>
  <tableColumns count="5">
    <tableColumn id="1" name="Street Sweeping"/>
    <tableColumn id="2" name="TSS Reduction (%)" dataDxfId="313">
      <calculatedColumnFormula>0.1</calculatedColumnFormula>
    </tableColumn>
    <tableColumn id="3" name="TP Reduction (%)" dataDxfId="312">
      <calculatedColumnFormula>0.1</calculatedColumnFormula>
    </tableColumn>
    <tableColumn id="4" name="TN Reduction (%)" dataDxfId="311">
      <calculatedColumnFormula>0.1</calculatedColumnFormula>
    </tableColumn>
    <tableColumn id="5" name="Road Width (ft)" dataDxfId="310"/>
  </tableColumns>
  <tableStyleInfo name="TableStyleMedium2" showFirstColumn="0" showLastColumn="0" showRowStripes="1" showColumnStripes="0"/>
</table>
</file>

<file path=xl/tables/table4.xml><?xml version="1.0" encoding="utf-8"?>
<table xmlns="http://schemas.openxmlformats.org/spreadsheetml/2006/main" id="2" name="Stream_Nutrients" displayName="Stream_Nutrients" ref="A36:D37" totalsRowShown="0">
  <autoFilter ref="A36:D37">
    <filterColumn colId="0" hiddenButton="1"/>
    <filterColumn colId="1" hiddenButton="1"/>
    <filterColumn colId="2" hiddenButton="1"/>
    <filterColumn colId="3" hiddenButton="1"/>
  </autoFilter>
  <tableColumns count="4">
    <tableColumn id="1" name="Stream Restoration - Protocol 1"/>
    <tableColumn id="4" name="TSS (lbs/ft/yr)"/>
    <tableColumn id="2" name="TP (lbs/ft/yr)"/>
    <tableColumn id="3" name="TN (lbs/ft/yr)"/>
  </tableColumns>
  <tableStyleInfo name="TableStyleMedium2" showFirstColumn="0" showLastColumn="0" showRowStripes="1" showColumnStripes="0"/>
</table>
</file>

<file path=xl/tables/table5.xml><?xml version="1.0" encoding="utf-8"?>
<table xmlns="http://schemas.openxmlformats.org/spreadsheetml/2006/main" id="12" name="ExistingBMPs" displayName="ExistingBMPs" ref="A11:W20" totalsRowCount="1" headerRowDxfId="301" dataDxfId="300" totalsRowDxfId="299">
  <autoFilter ref="A11:W1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6" hiddenButton="1"/>
    <filterColumn colId="17" hiddenButton="1"/>
    <filterColumn colId="18" hiddenButton="1"/>
    <filterColumn colId="19" hiddenButton="1"/>
    <filterColumn colId="20" hiddenButton="1"/>
    <filterColumn colId="21" hiddenButton="1"/>
    <filterColumn colId="22" hiddenButton="1"/>
  </autoFilter>
  <tableColumns count="23">
    <tableColumn id="1" name="Name" totalsRowLabel="Total" dataDxfId="298" totalsRowDxfId="22"/>
    <tableColumn id="2" name="BMP Type" dataDxfId="297" totalsRowDxfId="21"/>
    <tableColumn id="20" name="Year Installed" dataDxfId="296" totalsRowDxfId="20"/>
    <tableColumn id="11" name="MapShed Land Cover of Drainage Area" dataDxfId="295" totalsRowDxfId="19"/>
    <tableColumn id="4" name="Drainage Area (ac)" dataDxfId="294" totalsRowDxfId="18"/>
    <tableColumn id="12" name="Treatment Depth (in)" dataDxfId="293" totalsRowDxfId="17"/>
    <tableColumn id="19" name="Stream Restoration* Length (ft) - Qualified projects only" dataDxfId="292" totalsRowDxfId="16"/>
    <tableColumn id="8" name="Street Sweeping* Road Length Swept (ft) - Qualified projects only" dataDxfId="291" totalsRowDxfId="15"/>
    <tableColumn id="5" name="Impervious Area (ac)" dataDxfId="290" totalsRowDxfId="14">
      <calculatedColumnFormula>ExistingBMPs[[#This Row],[Drainage Area (ac)]]*ExistingBMPs[[#This Row],[Impervious (%)]]</calculatedColumnFormula>
    </tableColumn>
    <tableColumn id="6" name="Treatment Depth (in/imp. ac)" dataDxfId="289" totalsRowDxfId="13">
      <calculatedColumnFormula>IFERROR(MIN(ExistingBMPs[[#This Row],[Treatment Depth (in)]]*ExistingBMPs[[#This Row],[Drainage Area (ac)]]/ExistingBMPs[[#This Row],[Impervious Area (ac)]],2.5),NA())</calculatedColumnFormula>
    </tableColumn>
    <tableColumn id="7" name="Treatment Depth (in/imp. ac) Manual Override - use if no impervious area" dataDxfId="288" totalsRowDxfId="12"/>
    <tableColumn id="3" name="Effective Treatment Depth (in/imp. ac)" dataDxfId="287" totalsRowDxfId="11">
      <calculatedColumnFormula>IF(ExistingBMPs[[#This Row],[Treatment Depth (in/imp. ac) Manual Override - use if no impervious area]]&gt;0,ExistingBMPs[[#This Row],[Treatment Depth (in/imp. ac) Manual Override - use if no impervious area]],ExistingBMPs[[#This Row],[Treatment Depth (in/imp. ac)]])</calculatedColumnFormula>
    </tableColumn>
    <tableColumn id="10" name="Impervious (%)" dataDxfId="286" totalsRowDxfId="10">
      <calculatedColumnFormula>IF(ExistingBMPs[[#This Row],[BMP Type]]="Stream Restoration",NA(),IFERROR(INDEX(Impervious[#All],MATCH(ExistingBMPs[[#This Row],[MapShed Land Cover of Drainage Area]],Impervious[[#All],[Source]],0),4),0))</calculatedColumnFormula>
    </tableColumn>
    <tableColumn id="9" name="TSS Load (lbs/yr)" dataDxfId="285" totalsRowDxfId="9">
      <calculatedColumnFormula>IF(ExistingBMPs[[#This Row],[BMP Type]]="Street Sweeping",ExistingBMPs[[#This Row],[Street Sweeping* Road Length Swept (ft) - Qualified projects only]]*Street_Sweeping[Road Width (ft)]/43560*INDEX(Loading_Rates[#All],MATCH(ExistingBMPs[[#This Row],[MapShed Land Cover of Drainage Area]],Loading_Rates[[#All],[Source]],0),2)*ExistingBMPs[[#This Row],[Impervious (%)]],IF(ExistingBMPs[[#This Row],[BMP Type]]="Stream Restoration",NA(),INDEX(Loading_Rates[#All],MATCH(ExistingBMPs[[#This Row],[MapShed Land Cover of Drainage Area]],Loading_Rates[[#All],[Source]],0),2)*ExistingBMPs[[#This Row],[Drainage Area (ac)]]))</calculatedColumnFormula>
    </tableColumn>
    <tableColumn id="22" name="TP Load (lbs/yr)" dataDxfId="284" totalsRowDxfId="8">
      <calculatedColumnFormula>IF(ExistingBMPs[[#This Row],[BMP Type]]="Street Sweeping",ExistingBMPs[[#This Row],[Street Sweeping* Road Length Swept (ft) - Qualified projects only]]*Street_Sweeping[Road Width (ft)]/43560*INDEX(Loading_Rates[#All],MATCH(ExistingBMPs[[#This Row],[MapShed Land Cover of Drainage Area]],Loading_Rates[[#All],[Source]],0),3)*ExistingBMPs[[#This Row],[Impervious (%)]],IF(ExistingBMPs[[#This Row],[BMP Type]]="Stream Restoration",NA(),INDEX(Loading_Rates[#All],MATCH(ExistingBMPs[[#This Row],[MapShed Land Cover of Drainage Area]],Loading_Rates[[#All],[Source]],0),3)*ExistingBMPs[[#This Row],[Drainage Area (ac)]]))</calculatedColumnFormula>
    </tableColumn>
    <tableColumn id="23" name="TN Load (lbs/yr)" dataDxfId="283" totalsRowDxfId="7">
      <calculatedColumnFormula>IF(ExistingBMPs[[#This Row],[BMP Type]]="Street Sweeping",ExistingBMPs[[#This Row],[Street Sweeping* Road Length Swept (ft) - Qualified projects only]]*Street_Sweeping[Road Width (ft)]/43560*INDEX(Loading_Rates[#All],MATCH(ExistingBMPs[[#This Row],[MapShed Land Cover of Drainage Area]],Loading_Rates[[#All],[Source]],0),4)*ExistingBMPs[[#This Row],[Impervious (%)]],IF(ExistingBMPs[[#This Row],[BMP Type]]="Stream Restoration",NA(),INDEX(Loading_Rates[#All],MATCH(ExistingBMPs[[#This Row],[MapShed Land Cover of Drainage Area]],Loading_Rates[[#All],[Source]],0),4)*ExistingBMPs[[#This Row],[Drainage Area (ac)]]))</calculatedColumnFormula>
    </tableColumn>
    <tableColumn id="15" name="TSS Reduction (%)" dataDxfId="282" totalsRowDxfId="6">
      <calculatedColumnFormula>IF(ExistingBMPs[[#This Row],[BMP Type]]="RR",0.0326*ExistingBMPs[[#This Row],[Effective Treatment Depth (in/imp. ac)]]^5-0.2806*ExistingBMPs[[#This Row],[Effective Treatment Depth (in/imp. ac)]]^4+0.9816*ExistingBMPs[[#This Row],[Effective Treatment Depth (in/imp. ac)]]^3-1.8039*ExistingBMPs[[#This Row],[Effective Treatment Depth (in/imp. ac)]]^2+1.8292*ExistingBMPs[[#This Row],[Effective Treatment Depth (in/imp. ac)]]-0.0098,IF(ExistingBMPs[[#This Row],[BMP Type]]="ST",0.0304*ExistingBMPs[[#This Row],[Effective Treatment Depth (in/imp. ac)]]^5-0.2619*ExistingBMPs[[#This Row],[Effective Treatment Depth (in/imp. ac)]]^4+0.9161*ExistingBMPs[[#This Row],[Effective Treatment Depth (in/imp. ac)]]^3-1.6837*ExistingBMPs[[#This Row],[Effective Treatment Depth (in/imp. ac)]]^2+1.7072*ExistingBMPs[[#This Row],[Effective Treatment Depth (in/imp. ac)]]-0.0091,IF(ExistingBMPs[[#This Row],[BMP Type]]="Street Sweeping",Street_Sweeping[TSS Reduction (%)],IF(OR(ExistingBMPs[[#This Row],[BMP Type]]="Other",ExistingBMPs[[#This Row],[BMP Type]]="Stream Restoration"),0,1))))</calculatedColumnFormula>
    </tableColumn>
    <tableColumn id="14" name="TP Reduction (%)" dataDxfId="281" totalsRowDxfId="5">
      <calculatedColumnFormula>IF(ExistingBMPs[[#This Row],[BMP Type]]="RR",0.0304*ExistingBMPs[[#This Row],[Effective Treatment Depth (in/imp. ac)]]^5-0.2619*ExistingBMPs[[#This Row],[Effective Treatment Depth (in/imp. ac)]]^4+0.9161*ExistingBMPs[[#This Row],[Effective Treatment Depth (in/imp. ac)]]^3-1.6837*ExistingBMPs[[#This Row],[Effective Treatment Depth (in/imp. ac)]]^2+1.7072*ExistingBMPs[[#This Row],[Effective Treatment Depth (in/imp. ac)]]-0.0091,IF(ExistingBMPs[[#This Row],[BMP Type]]="ST",0.0239*ExistingBMPs[[#This Row],[Effective Treatment Depth (in/imp. ac)]]^5-0.2058*ExistingBMPs[[#This Row],[Effective Treatment Depth (in/imp. ac)]]^4+0.7198*ExistingBMPs[[#This Row],[Effective Treatment Depth (in/imp. ac)]]^3-1.3229*ExistingBMPs[[#This Row],[Effective Treatment Depth (in/imp. ac)]]^2+1.3414*ExistingBMPs[[#This Row],[Effective Treatment Depth (in/imp. ac)]]-0.0072,IF(ExistingBMPs[[#This Row],[BMP Type]]="Street Sweeping",Street_Sweeping[TP Reduction (%)],IF(OR(ExistingBMPs[[#This Row],[BMP Type]]="Other",ExistingBMPs[[#This Row],[BMP Type]]="Stream Restoration"),0,1))))</calculatedColumnFormula>
    </tableColumn>
    <tableColumn id="13" name="TN Reduction (%)" dataDxfId="280" totalsRowDxfId="4">
      <calculatedColumnFormula>IF(ExistingBMPs[[#This Row],[BMP Type]]="RR",0.0308*ExistingBMPs[[#This Row],[Effective Treatment Depth (in/imp. ac)]]^5-0.2562*ExistingBMPs[[#This Row],[Effective Treatment Depth (in/imp. ac)]]^4+0.8634*ExistingBMPs[[#This Row],[Effective Treatment Depth (in/imp. ac)]]^3-1.5285*ExistingBMPs[[#This Row],[Effective Treatment Depth (in/imp. ac)]]^2+1.501*ExistingBMPs[[#This Row],[Effective Treatment Depth (in/imp. ac)]]-0.013,IF(ExistingBMPs[[#This Row],[BMP Type]]="ST",0.0152*ExistingBMPs[[#This Row],[Effective Treatment Depth (in/imp. ac)]]^5-0.131*ExistingBMPs[[#This Row],[Effective Treatment Depth (in/imp. ac)]]^4+0.4581*ExistingBMPs[[#This Row],[Effective Treatment Depth (in/imp. ac)]]^3-0.8418*ExistingBMPs[[#This Row],[Effective Treatment Depth (in/imp. ac)]]^2+0.8536*ExistingBMPs[[#This Row],[Effective Treatment Depth (in/imp. ac)]]-0.0046,IF(ExistingBMPs[[#This Row],[BMP Type]]="Street Sweeping",Street_Sweeping[TN Reduction (%)],IF(OR(ExistingBMPs[[#This Row],[BMP Type]]="Other",ExistingBMPs[[#This Row],[BMP Type]]="Stream Restoration"),0,1))))</calculatedColumnFormula>
    </tableColumn>
    <tableColumn id="18" name="TSS Reduction (lbs/yr)" totalsRowFunction="custom" dataDxfId="279" totalsRowDxfId="3">
      <calculatedColumnFormula>IF(ExistingBMPs[[#This Row],[TSS Reduction (%)]]&gt;0,IF(ExistingBMPs[[#This Row],[BMP Type]]="Street Sweeping",ExistingBMPs[[#This Row],[TSS Load (lbs/yr)]]*ExistingBMPs[[#This Row],[TSS Reduction (%)]],INDEX(Loading_Rates[#All],MATCH(ExistingBMPs[[#This Row],[MapShed Land Cover of Drainage Area]],Loading_Rates[[#All],[Source]],0),2)*ExistingBMPs[[#This Row],[Drainage Area (ac)]]*ExistingBMPs[[#This Row],[TSS Reduction (%)]]),IF(ExistingBMPs[[#This Row],[BMP Type]]="Stream Restoration",Stream_Nutrients[TSS (lbs/ft/yr)]*ExistingBMPs[[#This Row],[Stream Restoration* Length (ft) - Qualified projects only]],0))</calculatedColumnFormula>
      <totalsRowFormula>_xlfn.AGGREGATE(9,7,ExistingBMPs[TSS Reduction (lbs/yr)])</totalsRowFormula>
    </tableColumn>
    <tableColumn id="21" name="TSS Reduction (tons/yr)" totalsRowFunction="custom" dataDxfId="278" totalsRowDxfId="2">
      <calculatedColumnFormula>ExistingBMPs[[#This Row],[TSS Reduction (lbs/yr)]]/2000</calculatedColumnFormula>
      <totalsRowFormula>_xlfn.AGGREGATE(9,7,ExistingBMPs[TSS Reduction (tons/yr)])</totalsRowFormula>
    </tableColumn>
    <tableColumn id="17" name="TP Reduction (lbs/yr)" totalsRowFunction="custom" dataDxfId="277" totalsRowDxfId="1">
      <calculatedColumnFormula>IF(ExistingBMPs[[#This Row],[TP Reduction (%)]]&gt;0,IF(ExistingBMPs[[#This Row],[BMP Type]]="Street Sweeping",ExistingBMPs[[#This Row],[TP Load (lbs/yr)]]*ExistingBMPs[[#This Row],[TP Reduction (%)]],INDEX(Loading_Rates[#All],MATCH(ExistingBMPs[[#This Row],[MapShed Land Cover of Drainage Area]],Loading_Rates[[#All],[Source]],0),3)*ExistingBMPs[[#This Row],[Drainage Area (ac)]]*ExistingBMPs[[#This Row],[TP Reduction (%)]]),IF(ExistingBMPs[[#This Row],[BMP Type]]="Stream Restoration",Stream_Nutrients[TP (lbs/ft/yr)]*ExistingBMPs[[#This Row],[Stream Restoration* Length (ft) - Qualified projects only]],0))</calculatedColumnFormula>
      <totalsRowFormula>_xlfn.AGGREGATE(9,7,ExistingBMPs[TP Reduction (lbs/yr)])</totalsRowFormula>
    </tableColumn>
    <tableColumn id="16" name="TN Reduction (lbs/yr)" totalsRowFunction="custom" dataDxfId="276" totalsRowDxfId="0">
      <calculatedColumnFormula>IF(ExistingBMPs[[#This Row],[TN Reduction (%)]]&gt;0,IF(ExistingBMPs[[#This Row],[BMP Type]]="Street Sweeping",ExistingBMPs[[#This Row],[TN Load (lbs/yr)]]*ExistingBMPs[[#This Row],[TN Reduction (%)]],INDEX(Loading_Rates[#All],MATCH(ExistingBMPs[[#This Row],[MapShed Land Cover of Drainage Area]],Loading_Rates[[#All],[Source]],0),4)*ExistingBMPs[[#This Row],[Drainage Area (ac)]]*ExistingBMPs[[#This Row],[TN Reduction (%)]]),IF(ExistingBMPs[[#This Row],[BMP Type]]="Stream Restoration",Stream_Nutrients[TN (lbs/ft/yr)]*ExistingBMPs[[#This Row],[Stream Restoration* Length (ft) - Qualified projects only]],0))</calculatedColumnFormula>
      <totalsRowFormula>_xlfn.AGGREGATE(9,7,ExistingBMPs[TN Reduction (lbs/yr)])</totalsRowFormula>
    </tableColumn>
  </tableColumns>
  <tableStyleInfo name="TableStyleMedium2" showFirstColumn="0" showLastColumn="0" showRowStripes="1" showColumnStripes="0"/>
</table>
</file>

<file path=xl/tables/table6.xml><?xml version="1.0" encoding="utf-8"?>
<table xmlns="http://schemas.openxmlformats.org/spreadsheetml/2006/main" id="5" name="ExistingBMPs6" displayName="ExistingBMPs6" ref="A24:W28" totalsRowCount="1" headerRowDxfId="275" dataDxfId="274" totalsRowDxfId="273">
  <autoFilter ref="A24:W27"/>
  <tableColumns count="23">
    <tableColumn id="1" name="Name" totalsRowLabel="Total" dataDxfId="272" totalsRowDxfId="271"/>
    <tableColumn id="2" name="BMP Type" dataDxfId="270" totalsRowDxfId="269"/>
    <tableColumn id="20" name="Year Installed" dataDxfId="268" totalsRowDxfId="267"/>
    <tableColumn id="11" name="MapShed Land Cover of Drainage Area" dataDxfId="266" totalsRowDxfId="265"/>
    <tableColumn id="4" name="Drainage Area (ac)" dataDxfId="264" totalsRowDxfId="263"/>
    <tableColumn id="12" name="Treatment Depth (in)" dataDxfId="262" totalsRowDxfId="261"/>
    <tableColumn id="19" name="Stream Restoration* Length (ft) - Qualified projects only" dataDxfId="260" totalsRowDxfId="259"/>
    <tableColumn id="8" name="Street Sweeping* Road Length Swept (ft) - Qualified projects only" dataDxfId="258" totalsRowDxfId="257"/>
    <tableColumn id="5" name="Impervious Area (ac)" dataDxfId="256" totalsRowDxfId="255">
      <calculatedColumnFormula>ExistingBMPs6[[#This Row],[Drainage Area (ac)]]*ExistingBMPs6[[#This Row],[Impervious (%)]]</calculatedColumnFormula>
    </tableColumn>
    <tableColumn id="6" name="Treatment Depth (in/imp. ac)" dataDxfId="254" totalsRowDxfId="253">
      <calculatedColumnFormula>IFERROR(MIN(ExistingBMPs6[[#This Row],[Treatment Depth (in)]]*ExistingBMPs6[[#This Row],[Drainage Area (ac)]]/ExistingBMPs6[[#This Row],[Impervious Area (ac)]],2.5),NA())</calculatedColumnFormula>
    </tableColumn>
    <tableColumn id="7" name="Treatment Depth (in/imp. ac) Manual Override - use if no impervious area" dataDxfId="252" totalsRowDxfId="251"/>
    <tableColumn id="3" name="Effective Treatment Depth (in/imp. ac)" dataDxfId="250" totalsRowDxfId="249">
      <calculatedColumnFormula>IF(ExistingBMPs6[[#This Row],[Treatment Depth (in/imp. ac) Manual Override - use if no impervious area]]&gt;0,ExistingBMPs6[[#This Row],[Treatment Depth (in/imp. ac) Manual Override - use if no impervious area]],ExistingBMPs6[[#This Row],[Treatment Depth (in/imp. ac)]])</calculatedColumnFormula>
    </tableColumn>
    <tableColumn id="10" name="Impervious (%)" dataDxfId="248" totalsRowDxfId="247">
      <calculatedColumnFormula>IF(ExistingBMPs6[[#This Row],[BMP Type]]="Stream Restoration",NA(),IFERROR(INDEX(Impervious[#All],MATCH(ExistingBMPs6[[#This Row],[MapShed Land Cover of Drainage Area]],Impervious[[#All],[Source]],0),4),0))</calculatedColumnFormula>
    </tableColumn>
    <tableColumn id="9" name="TSS Load (lbs/yr)" dataDxfId="246" totalsRowDxfId="245">
      <calculatedColumnFormula>IF(ExistingBMPs6[[#This Row],[BMP Type]]="Street Sweeping",ExistingBMPs6[[#This Row],[Street Sweeping* Road Length Swept (ft) - Qualified projects only]]*Street_Sweeping[Road Width (ft)]/43560*INDEX(Loading_Rates[#All],MATCH(ExistingBMPs6[[#This Row],[MapShed Land Cover of Drainage Area]],Loading_Rates[[#All],[Source]],0),2)*ExistingBMPs6[[#This Row],[Impervious (%)]],IF(ExistingBMPs6[[#This Row],[BMP Type]]="Stream Restoration",NA(),INDEX(Loading_Rates[#All],MATCH(ExistingBMPs6[[#This Row],[MapShed Land Cover of Drainage Area]],Loading_Rates[[#All],[Source]],0),2)*ExistingBMPs6[[#This Row],[Drainage Area (ac)]]))</calculatedColumnFormula>
    </tableColumn>
    <tableColumn id="22" name="TP Load (lbs/yr)" dataDxfId="244" totalsRowDxfId="243">
      <calculatedColumnFormula>IF(ExistingBMPs6[[#This Row],[BMP Type]]="Street Sweeping",ExistingBMPs6[[#This Row],[Street Sweeping* Road Length Swept (ft) - Qualified projects only]]*Street_Sweeping[Road Width (ft)]/43560*INDEX(Loading_Rates[#All],MATCH(ExistingBMPs6[[#This Row],[MapShed Land Cover of Drainage Area]],Loading_Rates[[#All],[Source]],0),3)*ExistingBMPs6[[#This Row],[Impervious (%)]],IF(ExistingBMPs6[[#This Row],[BMP Type]]="Stream Restoration",NA(),INDEX(Loading_Rates[#All],MATCH(ExistingBMPs6[[#This Row],[MapShed Land Cover of Drainage Area]],Loading_Rates[[#All],[Source]],0),3)*ExistingBMPs6[[#This Row],[Drainage Area (ac)]]))</calculatedColumnFormula>
    </tableColumn>
    <tableColumn id="23" name="TN Load (lbs/yr)" dataDxfId="242" totalsRowDxfId="241">
      <calculatedColumnFormula>IF(ExistingBMPs6[[#This Row],[BMP Type]]="Street Sweeping",ExistingBMPs6[[#This Row],[Street Sweeping* Road Length Swept (ft) - Qualified projects only]]*Street_Sweeping[Road Width (ft)]/43560*INDEX(Loading_Rates[#All],MATCH(ExistingBMPs6[[#This Row],[MapShed Land Cover of Drainage Area]],Loading_Rates[[#All],[Source]],0),4)*ExistingBMPs6[[#This Row],[Impervious (%)]],IF(ExistingBMPs6[[#This Row],[BMP Type]]="Stream Restoration",NA(),INDEX(Loading_Rates[#All],MATCH(ExistingBMPs6[[#This Row],[MapShed Land Cover of Drainage Area]],Loading_Rates[[#All],[Source]],0),4)*ExistingBMPs6[[#This Row],[Drainage Area (ac)]]))</calculatedColumnFormula>
    </tableColumn>
    <tableColumn id="15" name="TSS Reduction (%)" dataDxfId="240" totalsRowDxfId="239">
      <calculatedColumnFormula>IF(ExistingBMPs6[[#This Row],[BMP Type]]="RR",0.0326*ExistingBMPs6[[#This Row],[Effective Treatment Depth (in/imp. ac)]]^5-0.2806*ExistingBMPs6[[#This Row],[Effective Treatment Depth (in/imp. ac)]]^4+0.9816*ExistingBMPs6[[#This Row],[Effective Treatment Depth (in/imp. ac)]]^3-1.8039*ExistingBMPs6[[#This Row],[Effective Treatment Depth (in/imp. ac)]]^2+1.8292*ExistingBMPs6[[#This Row],[Effective Treatment Depth (in/imp. ac)]]-0.0098,IF(ExistingBMPs6[[#This Row],[BMP Type]]="ST",0.0304*ExistingBMPs6[[#This Row],[Effective Treatment Depth (in/imp. ac)]]^5-0.2619*ExistingBMPs6[[#This Row],[Effective Treatment Depth (in/imp. ac)]]^4+0.9161*ExistingBMPs6[[#This Row],[Effective Treatment Depth (in/imp. ac)]]^3-1.6837*ExistingBMPs6[[#This Row],[Effective Treatment Depth (in/imp. ac)]]^2+1.7072*ExistingBMPs6[[#This Row],[Effective Treatment Depth (in/imp. ac)]]-0.0091,IF(ExistingBMPs6[[#This Row],[BMP Type]]="Street Sweeping",Street_Sweeping[TSS Reduction (%)],IF(OR(ExistingBMPs6[[#This Row],[BMP Type]]="Other",ExistingBMPs6[[#This Row],[BMP Type]]="Stream Restoration"),0,1))))</calculatedColumnFormula>
    </tableColumn>
    <tableColumn id="14" name="TP Reduction (%)" dataDxfId="238" totalsRowDxfId="237">
      <calculatedColumnFormula>IF(ExistingBMPs6[[#This Row],[BMP Type]]="RR",0.0304*ExistingBMPs6[[#This Row],[Effective Treatment Depth (in/imp. ac)]]^5-0.2619*ExistingBMPs6[[#This Row],[Effective Treatment Depth (in/imp. ac)]]^4+0.9161*ExistingBMPs6[[#This Row],[Effective Treatment Depth (in/imp. ac)]]^3-1.6837*ExistingBMPs6[[#This Row],[Effective Treatment Depth (in/imp. ac)]]^2+1.7072*ExistingBMPs6[[#This Row],[Effective Treatment Depth (in/imp. ac)]]-0.0091,IF(ExistingBMPs6[[#This Row],[BMP Type]]="ST",0.0239*ExistingBMPs6[[#This Row],[Effective Treatment Depth (in/imp. ac)]]^5-0.2058*ExistingBMPs6[[#This Row],[Effective Treatment Depth (in/imp. ac)]]^4+0.7198*ExistingBMPs6[[#This Row],[Effective Treatment Depth (in/imp. ac)]]^3-1.3229*ExistingBMPs6[[#This Row],[Effective Treatment Depth (in/imp. ac)]]^2+1.3414*ExistingBMPs6[[#This Row],[Effective Treatment Depth (in/imp. ac)]]-0.0072,IF(ExistingBMPs6[[#This Row],[BMP Type]]="Street Sweeping",Street_Sweeping[TP Reduction (%)],IF(OR(ExistingBMPs6[[#This Row],[BMP Type]]="Other",ExistingBMPs6[[#This Row],[BMP Type]]="Stream Restoration"),0,1))))</calculatedColumnFormula>
    </tableColumn>
    <tableColumn id="13" name="TN Reduction (%)" dataDxfId="236" totalsRowDxfId="235">
      <calculatedColumnFormula>IF(ExistingBMPs6[[#This Row],[BMP Type]]="RR",0.0308*ExistingBMPs6[[#This Row],[Effective Treatment Depth (in/imp. ac)]]^5-0.2562*ExistingBMPs6[[#This Row],[Effective Treatment Depth (in/imp. ac)]]^4+0.8634*ExistingBMPs6[[#This Row],[Effective Treatment Depth (in/imp. ac)]]^3-1.5285*ExistingBMPs6[[#This Row],[Effective Treatment Depth (in/imp. ac)]]^2+1.501*ExistingBMPs6[[#This Row],[Effective Treatment Depth (in/imp. ac)]]-0.013,IF(ExistingBMPs6[[#This Row],[BMP Type]]="ST",0.0152*ExistingBMPs6[[#This Row],[Effective Treatment Depth (in/imp. ac)]]^5-0.131*ExistingBMPs6[[#This Row],[Effective Treatment Depth (in/imp. ac)]]^4+0.4581*ExistingBMPs6[[#This Row],[Effective Treatment Depth (in/imp. ac)]]^3-0.8418*ExistingBMPs6[[#This Row],[Effective Treatment Depth (in/imp. ac)]]^2+0.8536*ExistingBMPs6[[#This Row],[Effective Treatment Depth (in/imp. ac)]]-0.0046,IF(ExistingBMPs6[[#This Row],[BMP Type]]="Street Sweeping",Street_Sweeping[TN Reduction (%)],IF(OR(ExistingBMPs6[[#This Row],[BMP Type]]="Other",ExistingBMPs6[[#This Row],[BMP Type]]="Stream Restoration"),0,1))))</calculatedColumnFormula>
    </tableColumn>
    <tableColumn id="18" name="TSS Reduction (lbs/yr)" totalsRowFunction="custom" dataDxfId="234" totalsRowDxfId="233">
      <calculatedColumnFormula>IF(ExistingBMPs6[[#This Row],[TSS Reduction (%)]]&gt;0,IF(ExistingBMPs6[[#This Row],[BMP Type]]="Street Sweeping",ExistingBMPs6[[#This Row],[TSS Load (lbs/yr)]]*ExistingBMPs6[[#This Row],[TSS Reduction (%)]],INDEX(Loading_Rates[#All],MATCH(ExistingBMPs6[[#This Row],[MapShed Land Cover of Drainage Area]],Loading_Rates[[#All],[Source]],0),2)*ExistingBMPs6[[#This Row],[Drainage Area (ac)]]*ExistingBMPs6[[#This Row],[TSS Reduction (%)]]),IF(ExistingBMPs6[[#This Row],[BMP Type]]="Stream Restoration",Stream_Nutrients[TSS (lbs/ft/yr)]*ExistingBMPs6[[#This Row],[Stream Restoration* Length (ft) - Qualified projects only]],0))</calculatedColumnFormula>
      <totalsRowFormula>_xlfn.AGGREGATE(9,7,ExistingBMPs6[TSS Reduction (lbs/yr)])</totalsRowFormula>
    </tableColumn>
    <tableColumn id="21" name="TSS Reduction (tons/yr)" totalsRowFunction="custom" dataDxfId="232" totalsRowDxfId="231">
      <calculatedColumnFormula>ExistingBMPs6[[#This Row],[TSS Reduction (lbs/yr)]]/2000</calculatedColumnFormula>
      <totalsRowFormula>_xlfn.AGGREGATE(9,7,ExistingBMPs6[TSS Reduction (tons/yr)])</totalsRowFormula>
    </tableColumn>
    <tableColumn id="17" name="TP Reduction (lbs/yr)" totalsRowFunction="custom" dataDxfId="230" totalsRowDxfId="229">
      <calculatedColumnFormula>IF(ExistingBMPs6[[#This Row],[TP Reduction (%)]]&gt;0,IF(ExistingBMPs6[[#This Row],[BMP Type]]="Street Sweeping",ExistingBMPs6[[#This Row],[TP Load (lbs/yr)]]*ExistingBMPs6[[#This Row],[TP Reduction (%)]],INDEX(Loading_Rates[#All],MATCH(ExistingBMPs6[[#This Row],[MapShed Land Cover of Drainage Area]],Loading_Rates[[#All],[Source]],0),3)*ExistingBMPs6[[#This Row],[Drainage Area (ac)]]*ExistingBMPs6[[#This Row],[TP Reduction (%)]]),IF(ExistingBMPs6[[#This Row],[BMP Type]]="Stream Restoration",Stream_Nutrients[TP (lbs/ft/yr)]*ExistingBMPs6[[#This Row],[Stream Restoration* Length (ft) - Qualified projects only]],0))</calculatedColumnFormula>
      <totalsRowFormula>_xlfn.AGGREGATE(9,7,ExistingBMPs6[TP Reduction (lbs/yr)])</totalsRowFormula>
    </tableColumn>
    <tableColumn id="16" name="TN Reduction (lbs/yr)" totalsRowFunction="custom" dataDxfId="228" totalsRowDxfId="227">
      <calculatedColumnFormula>IF(ExistingBMPs6[[#This Row],[TN Reduction (%)]]&gt;0,IF(ExistingBMPs6[[#This Row],[BMP Type]]="Street Sweeping",ExistingBMPs6[[#This Row],[TN Load (lbs/yr)]]*ExistingBMPs6[[#This Row],[TN Reduction (%)]],INDEX(Loading_Rates[#All],MATCH(ExistingBMPs6[[#This Row],[MapShed Land Cover of Drainage Area]],Loading_Rates[[#All],[Source]],0),4)*ExistingBMPs6[[#This Row],[Drainage Area (ac)]]*ExistingBMPs6[[#This Row],[TN Reduction (%)]]),IF(ExistingBMPs6[[#This Row],[BMP Type]]="Stream Restoration",Stream_Nutrients[TN (lbs/ft/yr)]*ExistingBMPs6[[#This Row],[Stream Restoration* Length (ft) - Qualified projects only]],0))</calculatedColumnFormula>
      <totalsRowFormula>_xlfn.AGGREGATE(9,7,ExistingBMPs6[TN Reduction (lbs/yr)])</totalsRowFormula>
    </tableColumn>
  </tableColumns>
  <tableStyleInfo name="TableStyleMedium2" showFirstColumn="0" showLastColumn="0" showRowStripes="1" showColumnStripes="0"/>
</table>
</file>

<file path=xl/tables/table7.xml><?xml version="1.0" encoding="utf-8"?>
<table xmlns="http://schemas.openxmlformats.org/spreadsheetml/2006/main" id="6" name="ExistingBMPs67" displayName="ExistingBMPs67" ref="A32:W36" totalsRowCount="1" headerRowDxfId="226" dataDxfId="225" totalsRowDxfId="224">
  <autoFilter ref="A32:W35"/>
  <tableColumns count="23">
    <tableColumn id="1" name="Name" totalsRowLabel="Total" dataDxfId="223" totalsRowDxfId="222"/>
    <tableColumn id="2" name="BMP Type" dataDxfId="221" totalsRowDxfId="220"/>
    <tableColumn id="20" name="Year Installed" dataDxfId="219" totalsRowDxfId="218"/>
    <tableColumn id="11" name="MapShed Land Cover of Drainage Area" dataDxfId="217" totalsRowDxfId="216"/>
    <tableColumn id="4" name="Drainage Area (ac)" dataDxfId="215" totalsRowDxfId="214"/>
    <tableColumn id="12" name="Treatment Depth (in)" dataDxfId="213" totalsRowDxfId="212"/>
    <tableColumn id="19" name="Stream Restoration* Length (ft) - Qualified projects only" dataDxfId="211" totalsRowDxfId="210"/>
    <tableColumn id="8" name="Street Sweeping* Road Length Swept (ft) - Qualified projects only" dataDxfId="209" totalsRowDxfId="208"/>
    <tableColumn id="5" name="Impervious Area (ac)" dataDxfId="207" totalsRowDxfId="206">
      <calculatedColumnFormula>ExistingBMPs67[[#This Row],[Drainage Area (ac)]]*ExistingBMPs67[[#This Row],[Impervious (%)]]</calculatedColumnFormula>
    </tableColumn>
    <tableColumn id="6" name="Treatment Depth (in/imp. ac)" dataDxfId="205" totalsRowDxfId="204">
      <calculatedColumnFormula>IFERROR(MIN(ExistingBMPs67[[#This Row],[Treatment Depth (in)]]*ExistingBMPs67[[#This Row],[Drainage Area (ac)]]/ExistingBMPs67[[#This Row],[Impervious Area (ac)]],2.5),NA())</calculatedColumnFormula>
    </tableColumn>
    <tableColumn id="7" name="Treatment Depth (in/imp. ac) Manual Override - use if no impervious area" dataDxfId="203" totalsRowDxfId="202"/>
    <tableColumn id="3" name="Effective Treatment Depth (in/imp. ac)" dataDxfId="201" totalsRowDxfId="200">
      <calculatedColumnFormula>IF(ExistingBMPs67[[#This Row],[Treatment Depth (in/imp. ac) Manual Override - use if no impervious area]]&gt;0,ExistingBMPs67[[#This Row],[Treatment Depth (in/imp. ac) Manual Override - use if no impervious area]],ExistingBMPs67[[#This Row],[Treatment Depth (in/imp. ac)]])</calculatedColumnFormula>
    </tableColumn>
    <tableColumn id="10" name="Impervious (%)" dataDxfId="199" totalsRowDxfId="198">
      <calculatedColumnFormula>IF(ExistingBMPs67[[#This Row],[BMP Type]]="Stream Restoration",NA(),IFERROR(INDEX(Impervious[#All],MATCH(ExistingBMPs67[[#This Row],[MapShed Land Cover of Drainage Area]],Impervious[[#All],[Source]],0),4),0))</calculatedColumnFormula>
    </tableColumn>
    <tableColumn id="9" name="TSS Load (lbs/yr)" dataDxfId="197" totalsRowDxfId="196">
      <calculatedColumnFormula>IF(ExistingBMPs67[[#This Row],[BMP Type]]="Street Sweeping",ExistingBMPs67[[#This Row],[Street Sweeping* Road Length Swept (ft) - Qualified projects only]]*Street_Sweeping[Road Width (ft)]/43560*INDEX(Loading_Rates[#All],MATCH(ExistingBMPs67[[#This Row],[MapShed Land Cover of Drainage Area]],Loading_Rates[[#All],[Source]],0),2)*ExistingBMPs67[[#This Row],[Impervious (%)]],IF(ExistingBMPs67[[#This Row],[BMP Type]]="Stream Restoration",NA(),INDEX(Loading_Rates[#All],MATCH(ExistingBMPs67[[#This Row],[MapShed Land Cover of Drainage Area]],Loading_Rates[[#All],[Source]],0),2)*ExistingBMPs67[[#This Row],[Drainage Area (ac)]]))</calculatedColumnFormula>
    </tableColumn>
    <tableColumn id="22" name="TP Load (lbs/yr)" dataDxfId="195" totalsRowDxfId="194">
      <calculatedColumnFormula>IF(ExistingBMPs67[[#This Row],[BMP Type]]="Street Sweeping",ExistingBMPs67[[#This Row],[Street Sweeping* Road Length Swept (ft) - Qualified projects only]]*Street_Sweeping[Road Width (ft)]/43560*INDEX(Loading_Rates[#All],MATCH(ExistingBMPs67[[#This Row],[MapShed Land Cover of Drainage Area]],Loading_Rates[[#All],[Source]],0),3)*ExistingBMPs67[[#This Row],[Impervious (%)]],IF(ExistingBMPs67[[#This Row],[BMP Type]]="Stream Restoration",NA(),INDEX(Loading_Rates[#All],MATCH(ExistingBMPs67[[#This Row],[MapShed Land Cover of Drainage Area]],Loading_Rates[[#All],[Source]],0),3)*ExistingBMPs67[[#This Row],[Drainage Area (ac)]]))</calculatedColumnFormula>
    </tableColumn>
    <tableColumn id="23" name="TN Load (lbs/yr)" dataDxfId="193" totalsRowDxfId="192">
      <calculatedColumnFormula>IF(ExistingBMPs67[[#This Row],[BMP Type]]="Street Sweeping",ExistingBMPs67[[#This Row],[Street Sweeping* Road Length Swept (ft) - Qualified projects only]]*Street_Sweeping[Road Width (ft)]/43560*INDEX(Loading_Rates[#All],MATCH(ExistingBMPs67[[#This Row],[MapShed Land Cover of Drainage Area]],Loading_Rates[[#All],[Source]],0),4)*ExistingBMPs67[[#This Row],[Impervious (%)]],IF(ExistingBMPs67[[#This Row],[BMP Type]]="Stream Restoration",NA(),INDEX(Loading_Rates[#All],MATCH(ExistingBMPs67[[#This Row],[MapShed Land Cover of Drainage Area]],Loading_Rates[[#All],[Source]],0),4)*ExistingBMPs67[[#This Row],[Drainage Area (ac)]]))</calculatedColumnFormula>
    </tableColumn>
    <tableColumn id="15" name="TSS Reduction (%)" dataDxfId="191" totalsRowDxfId="190">
      <calculatedColumnFormula>IF(ExistingBMPs67[[#This Row],[BMP Type]]="RR",0.0326*ExistingBMPs67[[#This Row],[Effective Treatment Depth (in/imp. ac)]]^5-0.2806*ExistingBMPs67[[#This Row],[Effective Treatment Depth (in/imp. ac)]]^4+0.9816*ExistingBMPs67[[#This Row],[Effective Treatment Depth (in/imp. ac)]]^3-1.8039*ExistingBMPs67[[#This Row],[Effective Treatment Depth (in/imp. ac)]]^2+1.8292*ExistingBMPs67[[#This Row],[Effective Treatment Depth (in/imp. ac)]]-0.0098,IF(ExistingBMPs67[[#This Row],[BMP Type]]="ST",0.0304*ExistingBMPs67[[#This Row],[Effective Treatment Depth (in/imp. ac)]]^5-0.2619*ExistingBMPs67[[#This Row],[Effective Treatment Depth (in/imp. ac)]]^4+0.9161*ExistingBMPs67[[#This Row],[Effective Treatment Depth (in/imp. ac)]]^3-1.6837*ExistingBMPs67[[#This Row],[Effective Treatment Depth (in/imp. ac)]]^2+1.7072*ExistingBMPs67[[#This Row],[Effective Treatment Depth (in/imp. ac)]]-0.0091,IF(ExistingBMPs67[[#This Row],[BMP Type]]="Street Sweeping",Street_Sweeping[TSS Reduction (%)],IF(OR(ExistingBMPs67[[#This Row],[BMP Type]]="Other",ExistingBMPs67[[#This Row],[BMP Type]]="Stream Restoration"),0,1))))</calculatedColumnFormula>
    </tableColumn>
    <tableColumn id="14" name="TP Reduction (%)" dataDxfId="189" totalsRowDxfId="188">
      <calculatedColumnFormula>IF(ExistingBMPs67[[#This Row],[BMP Type]]="RR",0.0304*ExistingBMPs67[[#This Row],[Effective Treatment Depth (in/imp. ac)]]^5-0.2619*ExistingBMPs67[[#This Row],[Effective Treatment Depth (in/imp. ac)]]^4+0.9161*ExistingBMPs67[[#This Row],[Effective Treatment Depth (in/imp. ac)]]^3-1.6837*ExistingBMPs67[[#This Row],[Effective Treatment Depth (in/imp. ac)]]^2+1.7072*ExistingBMPs67[[#This Row],[Effective Treatment Depth (in/imp. ac)]]-0.0091,IF(ExistingBMPs67[[#This Row],[BMP Type]]="ST",0.0239*ExistingBMPs67[[#This Row],[Effective Treatment Depth (in/imp. ac)]]^5-0.2058*ExistingBMPs67[[#This Row],[Effective Treatment Depth (in/imp. ac)]]^4+0.7198*ExistingBMPs67[[#This Row],[Effective Treatment Depth (in/imp. ac)]]^3-1.3229*ExistingBMPs67[[#This Row],[Effective Treatment Depth (in/imp. ac)]]^2+1.3414*ExistingBMPs67[[#This Row],[Effective Treatment Depth (in/imp. ac)]]-0.0072,IF(ExistingBMPs67[[#This Row],[BMP Type]]="Street Sweeping",Street_Sweeping[TP Reduction (%)],IF(OR(ExistingBMPs67[[#This Row],[BMP Type]]="Other",ExistingBMPs67[[#This Row],[BMP Type]]="Stream Restoration"),0,1))))</calculatedColumnFormula>
    </tableColumn>
    <tableColumn id="13" name="TN Reduction (%)" dataDxfId="187" totalsRowDxfId="186">
      <calculatedColumnFormula>IF(ExistingBMPs67[[#This Row],[BMP Type]]="RR",0.0308*ExistingBMPs67[[#This Row],[Effective Treatment Depth (in/imp. ac)]]^5-0.2562*ExistingBMPs67[[#This Row],[Effective Treatment Depth (in/imp. ac)]]^4+0.8634*ExistingBMPs67[[#This Row],[Effective Treatment Depth (in/imp. ac)]]^3-1.5285*ExistingBMPs67[[#This Row],[Effective Treatment Depth (in/imp. ac)]]^2+1.501*ExistingBMPs67[[#This Row],[Effective Treatment Depth (in/imp. ac)]]-0.013,IF(ExistingBMPs67[[#This Row],[BMP Type]]="ST",0.0152*ExistingBMPs67[[#This Row],[Effective Treatment Depth (in/imp. ac)]]^5-0.131*ExistingBMPs67[[#This Row],[Effective Treatment Depth (in/imp. ac)]]^4+0.4581*ExistingBMPs67[[#This Row],[Effective Treatment Depth (in/imp. ac)]]^3-0.8418*ExistingBMPs67[[#This Row],[Effective Treatment Depth (in/imp. ac)]]^2+0.8536*ExistingBMPs67[[#This Row],[Effective Treatment Depth (in/imp. ac)]]-0.0046,IF(ExistingBMPs67[[#This Row],[BMP Type]]="Street Sweeping",Street_Sweeping[TN Reduction (%)],IF(OR(ExistingBMPs67[[#This Row],[BMP Type]]="Other",ExistingBMPs67[[#This Row],[BMP Type]]="Stream Restoration"),0,1))))</calculatedColumnFormula>
    </tableColumn>
    <tableColumn id="18" name="TSS Reduction (lbs/yr)" totalsRowFunction="custom" dataDxfId="185" totalsRowDxfId="184">
      <calculatedColumnFormula>IF(ExistingBMPs67[[#This Row],[TSS Reduction (%)]]&gt;0,IF(ExistingBMPs67[[#This Row],[BMP Type]]="Street Sweeping",ExistingBMPs67[[#This Row],[TSS Load (lbs/yr)]]*ExistingBMPs67[[#This Row],[TSS Reduction (%)]],INDEX(Loading_Rates[#All],MATCH(ExistingBMPs67[[#This Row],[MapShed Land Cover of Drainage Area]],Loading_Rates[[#All],[Source]],0),2)*ExistingBMPs67[[#This Row],[Drainage Area (ac)]]*ExistingBMPs67[[#This Row],[TSS Reduction (%)]]),IF(ExistingBMPs67[[#This Row],[BMP Type]]="Stream Restoration",Stream_Nutrients[TSS (lbs/ft/yr)]*ExistingBMPs67[[#This Row],[Stream Restoration* Length (ft) - Qualified projects only]],0))</calculatedColumnFormula>
      <totalsRowFormula>_xlfn.AGGREGATE(9,7,ExistingBMPs67[TSS Reduction (lbs/yr)])</totalsRowFormula>
    </tableColumn>
    <tableColumn id="21" name="TSS Reduction (tons/yr)" totalsRowFunction="custom" dataDxfId="183" totalsRowDxfId="182">
      <calculatedColumnFormula>ExistingBMPs67[[#This Row],[TSS Reduction (lbs/yr)]]/2000</calculatedColumnFormula>
      <totalsRowFormula>_xlfn.AGGREGATE(9,7,ExistingBMPs67[TSS Reduction (tons/yr)])</totalsRowFormula>
    </tableColumn>
    <tableColumn id="17" name="TP Reduction (lbs/yr)" totalsRowFunction="custom" dataDxfId="181" totalsRowDxfId="180">
      <calculatedColumnFormula>IF(ExistingBMPs67[[#This Row],[TP Reduction (%)]]&gt;0,IF(ExistingBMPs67[[#This Row],[BMP Type]]="Street Sweeping",ExistingBMPs67[[#This Row],[TP Load (lbs/yr)]]*ExistingBMPs67[[#This Row],[TP Reduction (%)]],INDEX(Loading_Rates[#All],MATCH(ExistingBMPs67[[#This Row],[MapShed Land Cover of Drainage Area]],Loading_Rates[[#All],[Source]],0),3)*ExistingBMPs67[[#This Row],[Drainage Area (ac)]]*ExistingBMPs67[[#This Row],[TP Reduction (%)]]),IF(ExistingBMPs67[[#This Row],[BMP Type]]="Stream Restoration",Stream_Nutrients[TP (lbs/ft/yr)]*ExistingBMPs67[[#This Row],[Stream Restoration* Length (ft) - Qualified projects only]],0))</calculatedColumnFormula>
      <totalsRowFormula>_xlfn.AGGREGATE(9,7,ExistingBMPs67[TP Reduction (lbs/yr)])</totalsRowFormula>
    </tableColumn>
    <tableColumn id="16" name="TN Reduction (lbs/yr)" totalsRowFunction="custom" dataDxfId="179" totalsRowDxfId="178">
      <calculatedColumnFormula>IF(ExistingBMPs67[[#This Row],[TN Reduction (%)]]&gt;0,IF(ExistingBMPs67[[#This Row],[BMP Type]]="Street Sweeping",ExistingBMPs67[[#This Row],[TN Load (lbs/yr)]]*ExistingBMPs67[[#This Row],[TN Reduction (%)]],INDEX(Loading_Rates[#All],MATCH(ExistingBMPs67[[#This Row],[MapShed Land Cover of Drainage Area]],Loading_Rates[[#All],[Source]],0),4)*ExistingBMPs67[[#This Row],[Drainage Area (ac)]]*ExistingBMPs67[[#This Row],[TN Reduction (%)]]),IF(ExistingBMPs67[[#This Row],[BMP Type]]="Stream Restoration",Stream_Nutrients[TN (lbs/ft/yr)]*ExistingBMPs67[[#This Row],[Stream Restoration* Length (ft) - Qualified projects only]],0))</calculatedColumnFormula>
      <totalsRowFormula>_xlfn.AGGREGATE(9,7,ExistingBMPs67[TN Reduction (lbs/yr)])</totalsRowFormula>
    </tableColumn>
  </tableColumns>
  <tableStyleInfo name="TableStyleMedium2" showFirstColumn="0" showLastColumn="0" showRowStripes="1" showColumnStripes="0"/>
</table>
</file>

<file path=xl/tables/table8.xml><?xml version="1.0" encoding="utf-8"?>
<table xmlns="http://schemas.openxmlformats.org/spreadsheetml/2006/main" id="3" name="ProposedBMPs" displayName="ProposedBMPs" ref="A10:W19" totalsRowCount="1" headerRowDxfId="169" dataDxfId="168" totalsRowDxfId="167">
  <autoFilter ref="A10:W1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6" hiddenButton="1"/>
    <filterColumn colId="17" hiddenButton="1"/>
    <filterColumn colId="18" hiddenButton="1"/>
    <filterColumn colId="19" hiddenButton="1"/>
    <filterColumn colId="20" hiddenButton="1"/>
    <filterColumn colId="21" hiddenButton="1"/>
    <filterColumn colId="22" hiddenButton="1"/>
  </autoFilter>
  <tableColumns count="23">
    <tableColumn id="1" name="Name" totalsRowLabel="Total" dataDxfId="166" totalsRowDxfId="165"/>
    <tableColumn id="2" name="BMP Type" dataDxfId="164" totalsRowDxfId="163"/>
    <tableColumn id="20" name="Year Installed" dataDxfId="162" totalsRowDxfId="161"/>
    <tableColumn id="11" name="MapShed Land Cover of Drainage Area" dataDxfId="160" totalsRowDxfId="159"/>
    <tableColumn id="4" name="Drainage Area (ac)" dataDxfId="158" totalsRowDxfId="157"/>
    <tableColumn id="12" name="Treatment Depth (in)" dataDxfId="156" totalsRowDxfId="155"/>
    <tableColumn id="19" name="Stream Restoration* Length (ft) - Qualified projects only" dataDxfId="154" totalsRowDxfId="153"/>
    <tableColumn id="8" name="Street Sweeping* Road Length Swept (ft) - Qualified projects only" dataDxfId="152" totalsRowDxfId="151"/>
    <tableColumn id="5" name="Impervious Area (ac)" dataDxfId="150" totalsRowDxfId="149">
      <calculatedColumnFormula>ProposedBMPs[[#This Row],[Drainage Area (ac)]]*ProposedBMPs[[#This Row],[Impervious (%)]]</calculatedColumnFormula>
    </tableColumn>
    <tableColumn id="6" name="Treatment Depth (in/imp. ac)" dataDxfId="148" totalsRowDxfId="147">
      <calculatedColumnFormula>IFERROR(MIN(ProposedBMPs[[#This Row],[Treatment Depth (in)]]*ProposedBMPs[[#This Row],[Drainage Area (ac)]]/ProposedBMPs[[#This Row],[Impervious Area (ac)]],2.5),NA())</calculatedColumnFormula>
    </tableColumn>
    <tableColumn id="7" name="Treatment Depth (in/imp. ac) Manual Override - use if no impervious area" dataDxfId="146" totalsRowDxfId="145"/>
    <tableColumn id="3" name="Effective Treatment Depth (in/imp. ac)" dataDxfId="144" totalsRowDxfId="143">
      <calculatedColumnFormula>IF(ProposedBMPs[[#This Row],[Treatment Depth (in/imp. ac) Manual Override - use if no impervious area]]&gt;0,ProposedBMPs[[#This Row],[Treatment Depth (in/imp. ac) Manual Override - use if no impervious area]],ProposedBMPs[[#This Row],[Treatment Depth (in/imp. ac)]])</calculatedColumnFormula>
    </tableColumn>
    <tableColumn id="10" name="Impervious (%)" dataDxfId="142" totalsRowDxfId="141">
      <calculatedColumnFormula>IF(ProposedBMPs[[#This Row],[BMP Type]]="Stream Restoration",NA(),IFERROR(INDEX(Impervious[#All],MATCH(ProposedBMPs[[#This Row],[MapShed Land Cover of Drainage Area]],Impervious[[#All],[Source]],0),4),0))</calculatedColumnFormula>
    </tableColumn>
    <tableColumn id="9" name="TSS Load (lbs/yr)" dataDxfId="140" totalsRowDxfId="139">
      <calculatedColumnFormula>IF(ProposedBMPs[[#This Row],[BMP Type]]="Street Sweeping",ProposedBMPs[[#This Row],[Street Sweeping* Road Length Swept (ft) - Qualified projects only]]*Street_Sweeping[Road Width (ft)]/43560*INDEX(Loading_Rates[#All],MATCH(ProposedBMPs[[#This Row],[MapShed Land Cover of Drainage Area]],Loading_Rates[[#All],[Source]],0),2)*ProposedBMPs[[#This Row],[Impervious (%)]],IF(ProposedBMPs[[#This Row],[BMP Type]]="Stream Restoration",NA(),INDEX(Loading_Rates[#All],MATCH(ProposedBMPs[[#This Row],[MapShed Land Cover of Drainage Area]],Loading_Rates[[#All],[Source]],0),2)*ProposedBMPs[[#This Row],[Drainage Area (ac)]]))</calculatedColumnFormula>
    </tableColumn>
    <tableColumn id="22" name="TP Load (lbs/yr)" dataDxfId="138" totalsRowDxfId="137">
      <calculatedColumnFormula>IF(ProposedBMPs[[#This Row],[BMP Type]]="Street Sweeping",ProposedBMPs[[#This Row],[Street Sweeping* Road Length Swept (ft) - Qualified projects only]]*Street_Sweeping[Road Width (ft)]/43560*INDEX(Loading_Rates[#All],MATCH(ProposedBMPs[[#This Row],[MapShed Land Cover of Drainage Area]],Loading_Rates[[#All],[Source]],0),3)*ProposedBMPs[[#This Row],[Impervious (%)]],IF(ProposedBMPs[[#This Row],[BMP Type]]="Stream Restoration",NA(),INDEX(Loading_Rates[#All],MATCH(ProposedBMPs[[#This Row],[MapShed Land Cover of Drainage Area]],Loading_Rates[[#All],[Source]],0),3)*ProposedBMPs[[#This Row],[Drainage Area (ac)]]))</calculatedColumnFormula>
    </tableColumn>
    <tableColumn id="23" name="TN Load (lbs/yr)" dataDxfId="136" totalsRowDxfId="135">
      <calculatedColumnFormula>IF(ProposedBMPs[[#This Row],[BMP Type]]="Street Sweeping",ProposedBMPs[[#This Row],[Street Sweeping* Road Length Swept (ft) - Qualified projects only]]*Street_Sweeping[Road Width (ft)]/43560*INDEX(Loading_Rates[#All],MATCH(ProposedBMPs[[#This Row],[MapShed Land Cover of Drainage Area]],Loading_Rates[[#All],[Source]],0),4)*ProposedBMPs[[#This Row],[Impervious (%)]],IF(ProposedBMPs[[#This Row],[BMP Type]]="Stream Restoration",NA(),INDEX(Loading_Rates[#All],MATCH(ProposedBMPs[[#This Row],[MapShed Land Cover of Drainage Area]],Loading_Rates[[#All],[Source]],0),4)*ProposedBMPs[[#This Row],[Drainage Area (ac)]]))</calculatedColumnFormula>
    </tableColumn>
    <tableColumn id="15" name="TSS Reduction (%)" dataDxfId="134" totalsRowDxfId="133">
      <calculatedColumnFormula>IF(ProposedBMPs[[#This Row],[BMP Type]]="RR",0.0326*ProposedBMPs[[#This Row],[Effective Treatment Depth (in/imp. ac)]]^5-0.2806*ProposedBMPs[[#This Row],[Effective Treatment Depth (in/imp. ac)]]^4+0.9816*ProposedBMPs[[#This Row],[Effective Treatment Depth (in/imp. ac)]]^3-1.8039*ProposedBMPs[[#This Row],[Effective Treatment Depth (in/imp. ac)]]^2+1.8292*ProposedBMPs[[#This Row],[Effective Treatment Depth (in/imp. ac)]]-0.0098,IF(ProposedBMPs[[#This Row],[BMP Type]]="ST",0.0304*ProposedBMPs[[#This Row],[Effective Treatment Depth (in/imp. ac)]]^5-0.2619*ProposedBMPs[[#This Row],[Effective Treatment Depth (in/imp. ac)]]^4+0.9161*ProposedBMPs[[#This Row],[Effective Treatment Depth (in/imp. ac)]]^3-1.6837*ProposedBMPs[[#This Row],[Effective Treatment Depth (in/imp. ac)]]^2+1.7072*ProposedBMPs[[#This Row],[Effective Treatment Depth (in/imp. ac)]]-0.0091,IF(ProposedBMPs[[#This Row],[BMP Type]]="Street Sweeping",Street_Sweeping[TSS Reduction (%)],IF(OR(ProposedBMPs[[#This Row],[BMP Type]]="Other",ProposedBMPs[[#This Row],[BMP Type]]="Stream Restoration"),0,1))))</calculatedColumnFormula>
    </tableColumn>
    <tableColumn id="14" name="TP Reduction (%)" dataDxfId="132" totalsRowDxfId="131">
      <calculatedColumnFormula>IF(ProposedBMPs[[#This Row],[BMP Type]]="RR",0.0304*ProposedBMPs[[#This Row],[Effective Treatment Depth (in/imp. ac)]]^5-0.2619*ProposedBMPs[[#This Row],[Effective Treatment Depth (in/imp. ac)]]^4+0.9161*ProposedBMPs[[#This Row],[Effective Treatment Depth (in/imp. ac)]]^3-1.6837*ProposedBMPs[[#This Row],[Effective Treatment Depth (in/imp. ac)]]^2+1.7072*ProposedBMPs[[#This Row],[Effective Treatment Depth (in/imp. ac)]]-0.0091,IF(ProposedBMPs[[#This Row],[BMP Type]]="ST",0.0239*ProposedBMPs[[#This Row],[Effective Treatment Depth (in/imp. ac)]]^5-0.2058*ProposedBMPs[[#This Row],[Effective Treatment Depth (in/imp. ac)]]^4+0.7198*ProposedBMPs[[#This Row],[Effective Treatment Depth (in/imp. ac)]]^3-1.3229*ProposedBMPs[[#This Row],[Effective Treatment Depth (in/imp. ac)]]^2+1.3414*ProposedBMPs[[#This Row],[Effective Treatment Depth (in/imp. ac)]]-0.0072,IF(ProposedBMPs[[#This Row],[BMP Type]]="Street Sweeping",Street_Sweeping[TP Reduction (%)],IF(OR(ProposedBMPs[[#This Row],[BMP Type]]="Other",ProposedBMPs[[#This Row],[BMP Type]]="Stream Restoration"),0,1))))</calculatedColumnFormula>
    </tableColumn>
    <tableColumn id="13" name="TN Reduction (%)" dataDxfId="130" totalsRowDxfId="129">
      <calculatedColumnFormula>IF(ProposedBMPs[[#This Row],[BMP Type]]="RR",0.0308*ProposedBMPs[[#This Row],[Effective Treatment Depth (in/imp. ac)]]^5-0.2562*ProposedBMPs[[#This Row],[Effective Treatment Depth (in/imp. ac)]]^4+0.8634*ProposedBMPs[[#This Row],[Effective Treatment Depth (in/imp. ac)]]^3-1.5285*ProposedBMPs[[#This Row],[Effective Treatment Depth (in/imp. ac)]]^2+1.501*ProposedBMPs[[#This Row],[Effective Treatment Depth (in/imp. ac)]]-0.013,IF(ProposedBMPs[[#This Row],[BMP Type]]="ST",0.0152*ProposedBMPs[[#This Row],[Effective Treatment Depth (in/imp. ac)]]^5-0.131*ProposedBMPs[[#This Row],[Effective Treatment Depth (in/imp. ac)]]^4+0.4581*ProposedBMPs[[#This Row],[Effective Treatment Depth (in/imp. ac)]]^3-0.8418*ProposedBMPs[[#This Row],[Effective Treatment Depth (in/imp. ac)]]^2+0.8536*ProposedBMPs[[#This Row],[Effective Treatment Depth (in/imp. ac)]]-0.0046,IF(ProposedBMPs[[#This Row],[BMP Type]]="Street Sweeping",Street_Sweeping[TN Reduction (%)],IF(OR(ProposedBMPs[[#This Row],[BMP Type]]="Other",ProposedBMPs[[#This Row],[BMP Type]]="Stream Restoration"),0,1))))</calculatedColumnFormula>
    </tableColumn>
    <tableColumn id="18" name="TSS Reduction (lbs/yr)" totalsRowFunction="custom" dataDxfId="128" totalsRowDxfId="127">
      <calculatedColumnFormula>IF(ProposedBMPs[[#This Row],[TSS Reduction (%)]]&gt;0,IF(ProposedBMPs[[#This Row],[BMP Type]]="Street Sweeping",ProposedBMPs[[#This Row],[TSS Load (lbs/yr)]]*ProposedBMPs[[#This Row],[TSS Reduction (%)]],INDEX(Loading_Rates[#All],MATCH(ProposedBMPs[[#This Row],[MapShed Land Cover of Drainage Area]],Loading_Rates[[#All],[Source]],0),2)*ProposedBMPs[[#This Row],[Drainage Area (ac)]]*ProposedBMPs[[#This Row],[TSS Reduction (%)]]),IF(ProposedBMPs[[#This Row],[BMP Type]]="Stream Restoration",Stream_Nutrients[TSS (lbs/ft/yr)]*ProposedBMPs[[#This Row],[Stream Restoration* Length (ft) - Qualified projects only]],0))</calculatedColumnFormula>
      <totalsRowFormula>_xlfn.AGGREGATE(9,7,ProposedBMPs[TSS Reduction (lbs/yr)])</totalsRowFormula>
    </tableColumn>
    <tableColumn id="21" name="TSS Reduction (tons/yr)" totalsRowFunction="custom" dataDxfId="126" totalsRowDxfId="125">
      <calculatedColumnFormula>ProposedBMPs[[#This Row],[TSS Reduction (lbs/yr)]]/2000</calculatedColumnFormula>
      <totalsRowFormula>_xlfn.AGGREGATE(9,7,ProposedBMPs[TSS Reduction (tons/yr)])</totalsRowFormula>
    </tableColumn>
    <tableColumn id="17" name="TP Reduction (lbs/yr)" totalsRowFunction="custom" dataDxfId="124" totalsRowDxfId="123">
      <calculatedColumnFormula>IF(ProposedBMPs[[#This Row],[TP Reduction (%)]]&gt;0,IF(ProposedBMPs[[#This Row],[BMP Type]]="Street Sweeping",ProposedBMPs[[#This Row],[TP Load (lbs/yr)]]*ProposedBMPs[[#This Row],[TP Reduction (%)]],INDEX(Loading_Rates[#All],MATCH(ProposedBMPs[[#This Row],[MapShed Land Cover of Drainage Area]],Loading_Rates[[#All],[Source]],0),3)*ProposedBMPs[[#This Row],[Drainage Area (ac)]]*ProposedBMPs[[#This Row],[TP Reduction (%)]]),IF(ProposedBMPs[[#This Row],[BMP Type]]="Stream Restoration",Stream_Nutrients[TP (lbs/ft/yr)]*ProposedBMPs[[#This Row],[Stream Restoration* Length (ft) - Qualified projects only]],0))</calculatedColumnFormula>
      <totalsRowFormula>_xlfn.AGGREGATE(9,7,ProposedBMPs[TP Reduction (lbs/yr)])</totalsRowFormula>
    </tableColumn>
    <tableColumn id="16" name="TN Reduction (lbs/yr)" totalsRowFunction="custom" dataDxfId="122" totalsRowDxfId="121">
      <calculatedColumnFormula>IF(ProposedBMPs[[#This Row],[TN Reduction (%)]]&gt;0,IF(ProposedBMPs[[#This Row],[BMP Type]]="Street Sweeping",ProposedBMPs[[#This Row],[TN Load (lbs/yr)]]*ProposedBMPs[[#This Row],[TN Reduction (%)]],INDEX(Loading_Rates[#All],MATCH(ProposedBMPs[[#This Row],[MapShed Land Cover of Drainage Area]],Loading_Rates[[#All],[Source]],0),4)*ProposedBMPs[[#This Row],[Drainage Area (ac)]]*ProposedBMPs[[#This Row],[TN Reduction (%)]]),IF(ProposedBMPs[[#This Row],[BMP Type]]="Stream Restoration",Stream_Nutrients[TN (lbs/ft/yr)]*ProposedBMPs[[#This Row],[Stream Restoration* Length (ft) - Qualified projects only]],0))</calculatedColumnFormula>
      <totalsRowFormula>_xlfn.AGGREGATE(9,7,ProposedBMPs[TN Reduction (lbs/yr)])</totalsRowFormula>
    </tableColumn>
  </tableColumns>
  <tableStyleInfo name="TableStyleMedium2" showFirstColumn="0" showLastColumn="0" showRowStripes="1" showColumnStripes="0"/>
</table>
</file>

<file path=xl/tables/table9.xml><?xml version="1.0" encoding="utf-8"?>
<table xmlns="http://schemas.openxmlformats.org/spreadsheetml/2006/main" id="7" name="ProposedBMPs8" displayName="ProposedBMPs8" ref="A23:W27" totalsRowCount="1" headerRowDxfId="120" dataDxfId="119" totalsRowDxfId="118">
  <autoFilter ref="A23:W26"/>
  <tableColumns count="23">
    <tableColumn id="1" name="Name" totalsRowLabel="Total" dataDxfId="117" totalsRowDxfId="116"/>
    <tableColumn id="2" name="BMP Type" dataDxfId="115" totalsRowDxfId="114"/>
    <tableColumn id="20" name="Year Installed" dataDxfId="113" totalsRowDxfId="112"/>
    <tableColumn id="11" name="MapShed Land Cover of Drainage Area" dataDxfId="111" totalsRowDxfId="110"/>
    <tableColumn id="4" name="Drainage Area (ac)" dataDxfId="109" totalsRowDxfId="108"/>
    <tableColumn id="12" name="Treatment Depth (in)" dataDxfId="107" totalsRowDxfId="106"/>
    <tableColumn id="19" name="Stream Restoration* Length (ft) - Qualified projects only" dataDxfId="105" totalsRowDxfId="104"/>
    <tableColumn id="8" name="Street Sweeping* Road Length Swept (ft) - Qualified projects only" dataDxfId="103" totalsRowDxfId="102"/>
    <tableColumn id="5" name="Impervious Area (ac)" dataDxfId="101" totalsRowDxfId="100">
      <calculatedColumnFormula>ProposedBMPs8[[#This Row],[Drainage Area (ac)]]*ProposedBMPs8[[#This Row],[Impervious (%)]]</calculatedColumnFormula>
    </tableColumn>
    <tableColumn id="6" name="Treatment Depth (in/imp. ac)" dataDxfId="99" totalsRowDxfId="98">
      <calculatedColumnFormula>IFERROR(MIN(ProposedBMPs8[[#This Row],[Treatment Depth (in)]]*ProposedBMPs8[[#This Row],[Drainage Area (ac)]]/ProposedBMPs8[[#This Row],[Impervious Area (ac)]],2.5),NA())</calculatedColumnFormula>
    </tableColumn>
    <tableColumn id="7" name="Treatment Depth (in/imp. ac) Manual Override - use if no impervious area" dataDxfId="97" totalsRowDxfId="96"/>
    <tableColumn id="3" name="Effective Treatment Depth (in/imp. ac)" dataDxfId="95" totalsRowDxfId="94">
      <calculatedColumnFormula>IF(ProposedBMPs8[[#This Row],[Treatment Depth (in/imp. ac) Manual Override - use if no impervious area]]&gt;0,ProposedBMPs8[[#This Row],[Treatment Depth (in/imp. ac) Manual Override - use if no impervious area]],ProposedBMPs8[[#This Row],[Treatment Depth (in/imp. ac)]])</calculatedColumnFormula>
    </tableColumn>
    <tableColumn id="10" name="Impervious (%)" dataDxfId="93" totalsRowDxfId="92">
      <calculatedColumnFormula>IF(ProposedBMPs8[[#This Row],[BMP Type]]="Stream Restoration",NA(),IFERROR(INDEX(Impervious[#All],MATCH(ProposedBMPs8[[#This Row],[MapShed Land Cover of Drainage Area]],Impervious[[#All],[Source]],0),4),0))</calculatedColumnFormula>
    </tableColumn>
    <tableColumn id="9" name="TSS Load (lbs/yr)" dataDxfId="91" totalsRowDxfId="90">
      <calculatedColumnFormula>IF(ProposedBMPs8[[#This Row],[BMP Type]]="Street Sweeping",ProposedBMPs8[[#This Row],[Street Sweeping* Road Length Swept (ft) - Qualified projects only]]*Street_Sweeping[Road Width (ft)]/43560*INDEX(Loading_Rates[#All],MATCH(ProposedBMPs8[[#This Row],[MapShed Land Cover of Drainage Area]],Loading_Rates[[#All],[Source]],0),2)*ProposedBMPs8[[#This Row],[Impervious (%)]],IF(ProposedBMPs8[[#This Row],[BMP Type]]="Stream Restoration",NA(),INDEX(Loading_Rates[#All],MATCH(ProposedBMPs8[[#This Row],[MapShed Land Cover of Drainage Area]],Loading_Rates[[#All],[Source]],0),2)*ProposedBMPs8[[#This Row],[Drainage Area (ac)]]))</calculatedColumnFormula>
    </tableColumn>
    <tableColumn id="22" name="TP Load (lbs/yr)" dataDxfId="89" totalsRowDxfId="88">
      <calculatedColumnFormula>IF(ProposedBMPs8[[#This Row],[BMP Type]]="Street Sweeping",ProposedBMPs8[[#This Row],[Street Sweeping* Road Length Swept (ft) - Qualified projects only]]*Street_Sweeping[Road Width (ft)]/43560*INDEX(Loading_Rates[#All],MATCH(ProposedBMPs8[[#This Row],[MapShed Land Cover of Drainage Area]],Loading_Rates[[#All],[Source]],0),3)*ProposedBMPs8[[#This Row],[Impervious (%)]],IF(ProposedBMPs8[[#This Row],[BMP Type]]="Stream Restoration",NA(),INDEX(Loading_Rates[#All],MATCH(ProposedBMPs8[[#This Row],[MapShed Land Cover of Drainage Area]],Loading_Rates[[#All],[Source]],0),3)*ProposedBMPs8[[#This Row],[Drainage Area (ac)]]))</calculatedColumnFormula>
    </tableColumn>
    <tableColumn id="23" name="TN Load (lbs/yr)" dataDxfId="87" totalsRowDxfId="86">
      <calculatedColumnFormula>IF(ProposedBMPs8[[#This Row],[BMP Type]]="Street Sweeping",ProposedBMPs8[[#This Row],[Street Sweeping* Road Length Swept (ft) - Qualified projects only]]*Street_Sweeping[Road Width (ft)]/43560*INDEX(Loading_Rates[#All],MATCH(ProposedBMPs8[[#This Row],[MapShed Land Cover of Drainage Area]],Loading_Rates[[#All],[Source]],0),4)*ProposedBMPs8[[#This Row],[Impervious (%)]],IF(ProposedBMPs8[[#This Row],[BMP Type]]="Stream Restoration",NA(),INDEX(Loading_Rates[#All],MATCH(ProposedBMPs8[[#This Row],[MapShed Land Cover of Drainage Area]],Loading_Rates[[#All],[Source]],0),4)*ProposedBMPs8[[#This Row],[Drainage Area (ac)]]))</calculatedColumnFormula>
    </tableColumn>
    <tableColumn id="15" name="TSS Reduction (%)" dataDxfId="85" totalsRowDxfId="84">
      <calculatedColumnFormula>IF(ProposedBMPs8[[#This Row],[BMP Type]]="RR",0.0326*ProposedBMPs8[[#This Row],[Effective Treatment Depth (in/imp. ac)]]^5-0.2806*ProposedBMPs8[[#This Row],[Effective Treatment Depth (in/imp. ac)]]^4+0.9816*ProposedBMPs8[[#This Row],[Effective Treatment Depth (in/imp. ac)]]^3-1.8039*ProposedBMPs8[[#This Row],[Effective Treatment Depth (in/imp. ac)]]^2+1.8292*ProposedBMPs8[[#This Row],[Effective Treatment Depth (in/imp. ac)]]-0.0098,IF(ProposedBMPs8[[#This Row],[BMP Type]]="ST",0.0304*ProposedBMPs8[[#This Row],[Effective Treatment Depth (in/imp. ac)]]^5-0.2619*ProposedBMPs8[[#This Row],[Effective Treatment Depth (in/imp. ac)]]^4+0.9161*ProposedBMPs8[[#This Row],[Effective Treatment Depth (in/imp. ac)]]^3-1.6837*ProposedBMPs8[[#This Row],[Effective Treatment Depth (in/imp. ac)]]^2+1.7072*ProposedBMPs8[[#This Row],[Effective Treatment Depth (in/imp. ac)]]-0.0091,IF(ProposedBMPs8[[#This Row],[BMP Type]]="Street Sweeping",Street_Sweeping[TSS Reduction (%)],IF(OR(ProposedBMPs8[[#This Row],[BMP Type]]="Other",ProposedBMPs8[[#This Row],[BMP Type]]="Stream Restoration"),0,1))))</calculatedColumnFormula>
    </tableColumn>
    <tableColumn id="14" name="TP Reduction (%)" dataDxfId="83" totalsRowDxfId="82">
      <calculatedColumnFormula>IF(ProposedBMPs8[[#This Row],[BMP Type]]="RR",0.0304*ProposedBMPs8[[#This Row],[Effective Treatment Depth (in/imp. ac)]]^5-0.2619*ProposedBMPs8[[#This Row],[Effective Treatment Depth (in/imp. ac)]]^4+0.9161*ProposedBMPs8[[#This Row],[Effective Treatment Depth (in/imp. ac)]]^3-1.6837*ProposedBMPs8[[#This Row],[Effective Treatment Depth (in/imp. ac)]]^2+1.7072*ProposedBMPs8[[#This Row],[Effective Treatment Depth (in/imp. ac)]]-0.0091,IF(ProposedBMPs8[[#This Row],[BMP Type]]="ST",0.0239*ProposedBMPs8[[#This Row],[Effective Treatment Depth (in/imp. ac)]]^5-0.2058*ProposedBMPs8[[#This Row],[Effective Treatment Depth (in/imp. ac)]]^4+0.7198*ProposedBMPs8[[#This Row],[Effective Treatment Depth (in/imp. ac)]]^3-1.3229*ProposedBMPs8[[#This Row],[Effective Treatment Depth (in/imp. ac)]]^2+1.3414*ProposedBMPs8[[#This Row],[Effective Treatment Depth (in/imp. ac)]]-0.0072,IF(ProposedBMPs8[[#This Row],[BMP Type]]="Street Sweeping",Street_Sweeping[TP Reduction (%)],IF(OR(ProposedBMPs8[[#This Row],[BMP Type]]="Other",ProposedBMPs8[[#This Row],[BMP Type]]="Stream Restoration"),0,1))))</calculatedColumnFormula>
    </tableColumn>
    <tableColumn id="13" name="TN Reduction (%)" dataDxfId="81" totalsRowDxfId="80">
      <calculatedColumnFormula>IF(ProposedBMPs8[[#This Row],[BMP Type]]="RR",0.0308*ProposedBMPs8[[#This Row],[Effective Treatment Depth (in/imp. ac)]]^5-0.2562*ProposedBMPs8[[#This Row],[Effective Treatment Depth (in/imp. ac)]]^4+0.8634*ProposedBMPs8[[#This Row],[Effective Treatment Depth (in/imp. ac)]]^3-1.5285*ProposedBMPs8[[#This Row],[Effective Treatment Depth (in/imp. ac)]]^2+1.501*ProposedBMPs8[[#This Row],[Effective Treatment Depth (in/imp. ac)]]-0.013,IF(ProposedBMPs8[[#This Row],[BMP Type]]="ST",0.0152*ProposedBMPs8[[#This Row],[Effective Treatment Depth (in/imp. ac)]]^5-0.131*ProposedBMPs8[[#This Row],[Effective Treatment Depth (in/imp. ac)]]^4+0.4581*ProposedBMPs8[[#This Row],[Effective Treatment Depth (in/imp. ac)]]^3-0.8418*ProposedBMPs8[[#This Row],[Effective Treatment Depth (in/imp. ac)]]^2+0.8536*ProposedBMPs8[[#This Row],[Effective Treatment Depth (in/imp. ac)]]-0.0046,IF(ProposedBMPs8[[#This Row],[BMP Type]]="Street Sweeping",Street_Sweeping[TN Reduction (%)],IF(OR(ProposedBMPs8[[#This Row],[BMP Type]]="Other",ProposedBMPs8[[#This Row],[BMP Type]]="Stream Restoration"),0,1))))</calculatedColumnFormula>
    </tableColumn>
    <tableColumn id="18" name="TSS Reduction (lbs/yr)" totalsRowFunction="custom" dataDxfId="79" totalsRowDxfId="78">
      <calculatedColumnFormula>IF(ProposedBMPs8[[#This Row],[TSS Reduction (%)]]&gt;0,IF(ProposedBMPs8[[#This Row],[BMP Type]]="Street Sweeping",ProposedBMPs8[[#This Row],[TSS Load (lbs/yr)]]*ProposedBMPs8[[#This Row],[TSS Reduction (%)]],INDEX(Loading_Rates[#All],MATCH(ProposedBMPs8[[#This Row],[MapShed Land Cover of Drainage Area]],Loading_Rates[[#All],[Source]],0),2)*ProposedBMPs8[[#This Row],[Drainage Area (ac)]]*ProposedBMPs8[[#This Row],[TSS Reduction (%)]]),IF(ProposedBMPs8[[#This Row],[BMP Type]]="Stream Restoration",Stream_Nutrients[TSS (lbs/ft/yr)]*ProposedBMPs8[[#This Row],[Stream Restoration* Length (ft) - Qualified projects only]],0))</calculatedColumnFormula>
      <totalsRowFormula>_xlfn.AGGREGATE(9,7,ProposedBMPs8[TSS Reduction (lbs/yr)])</totalsRowFormula>
    </tableColumn>
    <tableColumn id="21" name="TSS Reduction (tons/yr)" totalsRowFunction="custom" dataDxfId="77" totalsRowDxfId="76">
      <calculatedColumnFormula>ProposedBMPs8[[#This Row],[TSS Reduction (lbs/yr)]]/2000</calculatedColumnFormula>
      <totalsRowFormula>_xlfn.AGGREGATE(9,7,ProposedBMPs8[TSS Reduction (tons/yr)])</totalsRowFormula>
    </tableColumn>
    <tableColumn id="17" name="TP Reduction (lbs/yr)" totalsRowFunction="custom" dataDxfId="75" totalsRowDxfId="74">
      <calculatedColumnFormula>IF(ProposedBMPs8[[#This Row],[TP Reduction (%)]]&gt;0,IF(ProposedBMPs8[[#This Row],[BMP Type]]="Street Sweeping",ProposedBMPs8[[#This Row],[TP Load (lbs/yr)]]*ProposedBMPs8[[#This Row],[TP Reduction (%)]],INDEX(Loading_Rates[#All],MATCH(ProposedBMPs8[[#This Row],[MapShed Land Cover of Drainage Area]],Loading_Rates[[#All],[Source]],0),3)*ProposedBMPs8[[#This Row],[Drainage Area (ac)]]*ProposedBMPs8[[#This Row],[TP Reduction (%)]]),IF(ProposedBMPs8[[#This Row],[BMP Type]]="Stream Restoration",Stream_Nutrients[TP (lbs/ft/yr)]*ProposedBMPs8[[#This Row],[Stream Restoration* Length (ft) - Qualified projects only]],0))</calculatedColumnFormula>
      <totalsRowFormula>_xlfn.AGGREGATE(9,7,ProposedBMPs8[TP Reduction (lbs/yr)])</totalsRowFormula>
    </tableColumn>
    <tableColumn id="16" name="TN Reduction (lbs/yr)" totalsRowFunction="custom" dataDxfId="73" totalsRowDxfId="72">
      <calculatedColumnFormula>IF(ProposedBMPs8[[#This Row],[TN Reduction (%)]]&gt;0,IF(ProposedBMPs8[[#This Row],[BMP Type]]="Street Sweeping",ProposedBMPs8[[#This Row],[TN Load (lbs/yr)]]*ProposedBMPs8[[#This Row],[TN Reduction (%)]],INDEX(Loading_Rates[#All],MATCH(ProposedBMPs8[[#This Row],[MapShed Land Cover of Drainage Area]],Loading_Rates[[#All],[Source]],0),4)*ProposedBMPs8[[#This Row],[Drainage Area (ac)]]*ProposedBMPs8[[#This Row],[TN Reduction (%)]]),IF(ProposedBMPs8[[#This Row],[BMP Type]]="Stream Restoration",Stream_Nutrients[TN (lbs/ft/yr)]*ProposedBMPs8[[#This Row],[Stream Restoration* Length (ft) - Qualified projects only]],0))</calculatedColumnFormula>
      <totalsRowFormula>_xlfn.AGGREGATE(9,7,ProposedBMPs8[TN Reduction (lbs/yr)])</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4.bin"/><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5.bin"/><Relationship Id="rId4" Type="http://schemas.openxmlformats.org/officeDocument/2006/relationships/table" Target="../tables/table7.xml"/></Relationships>
</file>

<file path=xl/worksheets/_rels/sheet6.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6.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33"/>
  <sheetViews>
    <sheetView view="pageLayout" zoomScaleNormal="100" workbookViewId="0">
      <selection activeCell="A2" sqref="A2"/>
    </sheetView>
  </sheetViews>
  <sheetFormatPr defaultRowHeight="15" x14ac:dyDescent="0.25"/>
  <cols>
    <col min="1" max="1" width="120" customWidth="1"/>
  </cols>
  <sheetData>
    <row r="2" spans="1:1" ht="23.25" x14ac:dyDescent="0.25">
      <c r="A2" s="48" t="s">
        <v>98</v>
      </c>
    </row>
    <row r="3" spans="1:1" ht="12" customHeight="1" x14ac:dyDescent="0.25">
      <c r="A3" s="49"/>
    </row>
    <row r="4" spans="1:1" ht="18.75" x14ac:dyDescent="0.25">
      <c r="A4" s="49" t="s">
        <v>89</v>
      </c>
    </row>
    <row r="5" spans="1:1" ht="18.75" x14ac:dyDescent="0.25">
      <c r="A5" s="49" t="s">
        <v>99</v>
      </c>
    </row>
    <row r="6" spans="1:1" ht="18.75" x14ac:dyDescent="0.25">
      <c r="A6" s="49" t="s">
        <v>93</v>
      </c>
    </row>
    <row r="7" spans="1:1" ht="18.75" x14ac:dyDescent="0.25">
      <c r="A7" s="49" t="s">
        <v>90</v>
      </c>
    </row>
    <row r="8" spans="1:1" ht="6.75" customHeight="1" x14ac:dyDescent="0.25">
      <c r="A8" s="49"/>
    </row>
    <row r="9" spans="1:1" ht="18.75" x14ac:dyDescent="0.25">
      <c r="A9" s="49" t="s">
        <v>91</v>
      </c>
    </row>
    <row r="10" spans="1:1" ht="18.75" x14ac:dyDescent="0.25">
      <c r="A10" s="49" t="s">
        <v>92</v>
      </c>
    </row>
    <row r="11" spans="1:1" ht="18.75" x14ac:dyDescent="0.25">
      <c r="A11" s="49" t="s">
        <v>93</v>
      </c>
    </row>
    <row r="12" spans="1:1" ht="18.75" x14ac:dyDescent="0.25">
      <c r="A12" s="49" t="s">
        <v>94</v>
      </c>
    </row>
    <row r="13" spans="1:1" ht="9" customHeight="1" x14ac:dyDescent="0.25">
      <c r="A13" s="49"/>
    </row>
    <row r="14" spans="1:1" ht="18.75" x14ac:dyDescent="0.25">
      <c r="A14" s="49" t="s">
        <v>146</v>
      </c>
    </row>
    <row r="15" spans="1:1" ht="117.75" customHeight="1" x14ac:dyDescent="0.25">
      <c r="A15" s="53" t="s">
        <v>100</v>
      </c>
    </row>
    <row r="16" spans="1:1" ht="27.75" customHeight="1" x14ac:dyDescent="0.25">
      <c r="A16" s="52" t="s">
        <v>101</v>
      </c>
    </row>
    <row r="17" spans="1:1" x14ac:dyDescent="0.25">
      <c r="A17" s="50"/>
    </row>
    <row r="18" spans="1:1" ht="57" customHeight="1" x14ac:dyDescent="0.25">
      <c r="A18" s="52" t="s">
        <v>102</v>
      </c>
    </row>
    <row r="19" spans="1:1" x14ac:dyDescent="0.25">
      <c r="A19" s="51"/>
    </row>
    <row r="20" spans="1:1" ht="30" x14ac:dyDescent="0.25">
      <c r="A20" s="52" t="s">
        <v>147</v>
      </c>
    </row>
    <row r="21" spans="1:1" x14ac:dyDescent="0.25">
      <c r="A21" s="51" t="s">
        <v>148</v>
      </c>
    </row>
    <row r="22" spans="1:1" x14ac:dyDescent="0.25">
      <c r="A22" s="63" t="s">
        <v>97</v>
      </c>
    </row>
    <row r="23" spans="1:1" x14ac:dyDescent="0.25">
      <c r="A23" s="62"/>
    </row>
    <row r="24" spans="1:1" x14ac:dyDescent="0.25">
      <c r="A24" s="51" t="s">
        <v>149</v>
      </c>
    </row>
    <row r="25" spans="1:1" x14ac:dyDescent="0.25">
      <c r="A25" s="51" t="s">
        <v>95</v>
      </c>
    </row>
    <row r="26" spans="1:1" x14ac:dyDescent="0.25">
      <c r="A26" s="63" t="s">
        <v>96</v>
      </c>
    </row>
    <row r="27" spans="1:1" x14ac:dyDescent="0.25">
      <c r="A27" s="51" t="s">
        <v>93</v>
      </c>
    </row>
    <row r="28" spans="1:1" x14ac:dyDescent="0.25">
      <c r="A28" s="51" t="s">
        <v>150</v>
      </c>
    </row>
    <row r="29" spans="1:1" x14ac:dyDescent="0.25">
      <c r="A29" s="63" t="s">
        <v>97</v>
      </c>
    </row>
    <row r="30" spans="1:1" x14ac:dyDescent="0.25">
      <c r="A30" s="51" t="s">
        <v>93</v>
      </c>
    </row>
    <row r="31" spans="1:1" x14ac:dyDescent="0.25">
      <c r="A31" s="51" t="s">
        <v>151</v>
      </c>
    </row>
    <row r="32" spans="1:1" x14ac:dyDescent="0.25">
      <c r="A32" s="63" t="s">
        <v>152</v>
      </c>
    </row>
    <row r="33" spans="1:1" x14ac:dyDescent="0.25">
      <c r="A33" s="62" t="s">
        <v>101</v>
      </c>
    </row>
  </sheetData>
  <pageMargins left="0.7" right="0.7" top="0.75" bottom="0.75" header="0.3" footer="0.3"/>
  <pageSetup orientation="portrait" r:id="rId1"/>
  <headerFooter>
    <oddFooter>&amp;RChristina Basin Urban BMP Tool (May 5, 2017)</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8"/>
  <sheetViews>
    <sheetView view="pageLayout" zoomScaleNormal="100" workbookViewId="0">
      <selection sqref="A1:G1"/>
    </sheetView>
  </sheetViews>
  <sheetFormatPr defaultRowHeight="15" x14ac:dyDescent="0.25"/>
  <cols>
    <col min="1" max="1" width="17.28515625" customWidth="1"/>
    <col min="2" max="2" width="9.42578125" customWidth="1"/>
    <col min="3" max="3" width="5.140625" customWidth="1"/>
    <col min="4" max="4" width="6.28515625" customWidth="1"/>
    <col min="5" max="5" width="16.7109375" customWidth="1"/>
    <col min="7" max="7" width="22.28515625" customWidth="1"/>
  </cols>
  <sheetData>
    <row r="1" spans="1:15" s="54" customFormat="1" ht="147.75" customHeight="1" x14ac:dyDescent="0.25">
      <c r="A1" s="66" t="s">
        <v>153</v>
      </c>
      <c r="B1" s="66"/>
      <c r="C1" s="66"/>
      <c r="D1" s="66"/>
      <c r="E1" s="66"/>
      <c r="F1" s="66"/>
      <c r="G1" s="66"/>
    </row>
    <row r="2" spans="1:15" ht="15" customHeight="1" x14ac:dyDescent="0.25">
      <c r="A2" s="67" t="s">
        <v>54</v>
      </c>
      <c r="B2" s="68"/>
      <c r="C2" s="18"/>
      <c r="D2" s="18"/>
      <c r="E2" s="18"/>
      <c r="F2" s="18"/>
      <c r="G2" s="18"/>
    </row>
    <row r="3" spans="1:15" ht="103.5" customHeight="1" x14ac:dyDescent="0.25">
      <c r="A3" s="66" t="s">
        <v>103</v>
      </c>
      <c r="B3" s="65"/>
      <c r="C3" s="65"/>
      <c r="D3" s="65"/>
      <c r="E3" s="65"/>
      <c r="F3" s="65"/>
      <c r="G3" s="65"/>
    </row>
    <row r="4" spans="1:15" s="14" customFormat="1" x14ac:dyDescent="0.25">
      <c r="A4" s="15" t="s">
        <v>51</v>
      </c>
    </row>
    <row r="5" spans="1:15" s="14" customFormat="1" ht="77.25" customHeight="1" x14ac:dyDescent="0.25">
      <c r="A5" s="66" t="s">
        <v>104</v>
      </c>
      <c r="B5" s="65"/>
      <c r="C5" s="65"/>
      <c r="D5" s="65"/>
      <c r="E5" s="65"/>
      <c r="F5" s="65"/>
      <c r="G5" s="65"/>
    </row>
    <row r="6" spans="1:15" s="14" customFormat="1" ht="78" customHeight="1" x14ac:dyDescent="0.25">
      <c r="A6" s="25"/>
      <c r="B6" s="65" t="s">
        <v>122</v>
      </c>
      <c r="C6" s="65"/>
      <c r="D6" s="65"/>
      <c r="E6" s="65"/>
      <c r="F6" s="65"/>
      <c r="G6" s="65"/>
    </row>
    <row r="7" spans="1:15" s="14" customFormat="1" ht="76.5" customHeight="1" x14ac:dyDescent="0.25">
      <c r="B7" s="69" t="s">
        <v>123</v>
      </c>
      <c r="C7" s="70"/>
      <c r="D7" s="70"/>
      <c r="E7" s="70"/>
      <c r="F7" s="70"/>
      <c r="G7" s="70"/>
    </row>
    <row r="8" spans="1:15" s="14" customFormat="1" x14ac:dyDescent="0.25"/>
    <row r="9" spans="1:15" s="14" customFormat="1" x14ac:dyDescent="0.25">
      <c r="A9" s="16" t="s">
        <v>52</v>
      </c>
      <c r="B9" s="67" t="s">
        <v>53</v>
      </c>
      <c r="C9" s="68"/>
    </row>
    <row r="10" spans="1:15" s="14" customFormat="1" ht="109.5" customHeight="1" x14ac:dyDescent="0.25">
      <c r="A10" s="66" t="s">
        <v>140</v>
      </c>
      <c r="B10" s="65"/>
      <c r="C10" s="65"/>
      <c r="D10" s="65"/>
      <c r="E10" s="65"/>
      <c r="F10" s="65"/>
      <c r="G10" s="65"/>
    </row>
    <row r="11" spans="1:15" s="14" customFormat="1" ht="10.5" customHeight="1" x14ac:dyDescent="0.25"/>
    <row r="12" spans="1:15" s="14" customFormat="1" ht="45.75" customHeight="1" x14ac:dyDescent="0.25">
      <c r="A12" s="66" t="s">
        <v>105</v>
      </c>
      <c r="B12" s="65"/>
      <c r="C12" s="65"/>
      <c r="D12" s="65"/>
      <c r="E12" s="65"/>
      <c r="F12" s="65"/>
      <c r="G12" s="65"/>
    </row>
    <row r="13" spans="1:15" s="14" customFormat="1" x14ac:dyDescent="0.25">
      <c r="A13" s="55" t="s">
        <v>31</v>
      </c>
      <c r="B13" s="14" t="s">
        <v>106</v>
      </c>
    </row>
    <row r="14" spans="1:15" s="14" customFormat="1" x14ac:dyDescent="0.25">
      <c r="B14" s="14" t="s">
        <v>107</v>
      </c>
    </row>
    <row r="15" spans="1:15" s="14" customFormat="1" x14ac:dyDescent="0.25">
      <c r="B15" s="17" t="s">
        <v>108</v>
      </c>
      <c r="E15" s="17"/>
      <c r="F15" s="17"/>
      <c r="G15" s="17"/>
      <c r="H15" s="17"/>
      <c r="I15" s="17"/>
      <c r="J15" s="17"/>
      <c r="K15" s="17"/>
      <c r="L15" s="17"/>
      <c r="M15" s="17"/>
      <c r="N15" s="17"/>
      <c r="O15" s="17"/>
    </row>
    <row r="16" spans="1:15" s="14" customFormat="1" ht="78" customHeight="1" x14ac:dyDescent="0.25">
      <c r="C16" s="17"/>
      <c r="D16" s="72" t="s">
        <v>141</v>
      </c>
      <c r="E16" s="73"/>
      <c r="F16" s="73"/>
      <c r="G16" s="73"/>
      <c r="H16" s="19"/>
      <c r="I16" s="19"/>
      <c r="J16" s="19"/>
      <c r="K16" s="19"/>
      <c r="L16" s="19"/>
      <c r="M16" s="19"/>
      <c r="N16" s="19"/>
      <c r="O16" s="17"/>
    </row>
    <row r="17" spans="1:15" s="14" customFormat="1" ht="93.75" customHeight="1" x14ac:dyDescent="0.25">
      <c r="C17" s="17"/>
      <c r="D17" s="72" t="s">
        <v>109</v>
      </c>
      <c r="E17" s="73"/>
      <c r="F17" s="73"/>
      <c r="G17" s="73"/>
      <c r="H17" s="19"/>
      <c r="I17" s="19"/>
      <c r="J17" s="19"/>
      <c r="K17" s="19"/>
      <c r="L17" s="19"/>
      <c r="M17" s="19"/>
      <c r="N17" s="19"/>
      <c r="O17" s="17"/>
    </row>
    <row r="18" spans="1:15" s="14" customFormat="1" ht="93.75" customHeight="1" x14ac:dyDescent="0.25">
      <c r="C18" s="17"/>
      <c r="D18" s="72" t="s">
        <v>110</v>
      </c>
      <c r="E18" s="73"/>
      <c r="F18" s="73"/>
      <c r="G18" s="73"/>
      <c r="H18" s="19"/>
      <c r="I18" s="19"/>
      <c r="J18" s="19"/>
      <c r="K18" s="19"/>
      <c r="L18" s="19"/>
      <c r="M18" s="19"/>
      <c r="N18" s="19"/>
      <c r="O18" s="17"/>
    </row>
    <row r="19" spans="1:15" s="14" customFormat="1" ht="18" customHeight="1" x14ac:dyDescent="0.25">
      <c r="B19" s="69" t="s">
        <v>116</v>
      </c>
      <c r="C19" s="70"/>
      <c r="D19" s="70"/>
      <c r="E19" s="70"/>
      <c r="F19" s="70"/>
      <c r="G19" s="70"/>
      <c r="I19" s="17"/>
      <c r="J19" s="17"/>
      <c r="K19" s="17"/>
      <c r="L19" s="17"/>
      <c r="M19" s="17"/>
      <c r="N19" s="17"/>
      <c r="O19" s="17"/>
    </row>
    <row r="20" spans="1:15" s="14" customFormat="1" ht="33" customHeight="1" x14ac:dyDescent="0.25">
      <c r="C20" s="27"/>
      <c r="D20" s="65" t="s">
        <v>142</v>
      </c>
      <c r="E20" s="65"/>
      <c r="F20" s="65"/>
      <c r="G20" s="65"/>
      <c r="I20" s="17"/>
      <c r="J20" s="17"/>
      <c r="K20" s="17"/>
      <c r="L20" s="17"/>
      <c r="M20" s="17"/>
      <c r="N20" s="17"/>
      <c r="O20" s="17"/>
    </row>
    <row r="21" spans="1:15" s="14" customFormat="1" ht="121.5" customHeight="1" x14ac:dyDescent="0.25">
      <c r="C21" s="27"/>
      <c r="D21" s="65" t="s">
        <v>111</v>
      </c>
      <c r="E21" s="65"/>
      <c r="F21" s="65"/>
      <c r="G21" s="65"/>
      <c r="I21" s="17"/>
      <c r="J21" s="17"/>
      <c r="K21" s="17"/>
      <c r="L21" s="17"/>
      <c r="M21" s="17"/>
      <c r="N21" s="17"/>
      <c r="O21" s="17"/>
    </row>
    <row r="22" spans="1:15" s="14" customFormat="1" ht="9.75" customHeight="1" x14ac:dyDescent="0.25">
      <c r="C22" s="17"/>
      <c r="D22" s="17"/>
      <c r="E22" s="17"/>
      <c r="F22" s="17"/>
      <c r="G22" s="17"/>
      <c r="H22" s="17"/>
      <c r="I22" s="17"/>
      <c r="J22" s="17"/>
      <c r="K22" s="17"/>
      <c r="L22" s="17"/>
      <c r="M22" s="17"/>
      <c r="N22" s="17"/>
      <c r="O22" s="17"/>
    </row>
    <row r="23" spans="1:15" s="14" customFormat="1" x14ac:dyDescent="0.25">
      <c r="A23" s="14" t="s">
        <v>112</v>
      </c>
      <c r="C23" s="17"/>
      <c r="D23" s="17"/>
      <c r="E23" s="17"/>
    </row>
    <row r="24" spans="1:15" s="14" customFormat="1" x14ac:dyDescent="0.25">
      <c r="B24" s="14" t="s">
        <v>113</v>
      </c>
    </row>
    <row r="25" spans="1:15" s="14" customFormat="1" ht="17.25" customHeight="1" x14ac:dyDescent="0.25">
      <c r="B25" s="19" t="s">
        <v>114</v>
      </c>
      <c r="C25" s="19"/>
    </row>
    <row r="26" spans="1:15" s="14" customFormat="1" ht="120" customHeight="1" x14ac:dyDescent="0.25">
      <c r="B26" s="66" t="s">
        <v>115</v>
      </c>
      <c r="C26" s="70"/>
      <c r="D26" s="70"/>
      <c r="E26" s="70"/>
      <c r="F26" s="70"/>
      <c r="G26" s="70"/>
    </row>
    <row r="27" spans="1:15" s="14" customFormat="1" x14ac:dyDescent="0.25">
      <c r="B27" s="14" t="s">
        <v>117</v>
      </c>
    </row>
    <row r="28" spans="1:15" s="14" customFormat="1" ht="74.25" customHeight="1" x14ac:dyDescent="0.25">
      <c r="B28" s="69" t="s">
        <v>118</v>
      </c>
      <c r="C28" s="70"/>
      <c r="D28" s="70"/>
      <c r="E28" s="70"/>
      <c r="F28" s="70"/>
      <c r="G28" s="70"/>
    </row>
    <row r="29" spans="1:15" s="14" customFormat="1" ht="45" customHeight="1" x14ac:dyDescent="0.25">
      <c r="B29" s="69" t="s">
        <v>143</v>
      </c>
      <c r="C29" s="70"/>
      <c r="D29" s="70"/>
      <c r="E29" s="70"/>
      <c r="F29" s="70"/>
      <c r="G29" s="70"/>
    </row>
    <row r="30" spans="1:15" s="14" customFormat="1" x14ac:dyDescent="0.25"/>
    <row r="31" spans="1:15" s="14" customFormat="1" ht="29.25" customHeight="1" x14ac:dyDescent="0.25">
      <c r="A31" s="71" t="s">
        <v>119</v>
      </c>
      <c r="B31" s="70"/>
      <c r="C31" s="70"/>
      <c r="D31" s="70"/>
      <c r="E31" s="70"/>
      <c r="F31" s="70"/>
      <c r="G31" s="70"/>
    </row>
    <row r="32" spans="1:15" s="14" customFormat="1" x14ac:dyDescent="0.25"/>
    <row r="33" spans="1:7" s="14" customFormat="1" ht="75" customHeight="1" x14ac:dyDescent="0.25">
      <c r="A33" s="66" t="s">
        <v>144</v>
      </c>
      <c r="B33" s="65"/>
      <c r="C33" s="65"/>
      <c r="D33" s="65"/>
      <c r="E33" s="65"/>
      <c r="F33" s="65"/>
      <c r="G33" s="65"/>
    </row>
    <row r="34" spans="1:7" s="14" customFormat="1" ht="17.25" customHeight="1" x14ac:dyDescent="0.25">
      <c r="A34" s="25"/>
      <c r="B34" s="26"/>
      <c r="C34" s="26"/>
      <c r="D34" s="26"/>
      <c r="E34" s="26"/>
      <c r="F34" s="26"/>
      <c r="G34" s="26"/>
    </row>
    <row r="35" spans="1:7" s="14" customFormat="1" ht="33" customHeight="1" x14ac:dyDescent="0.25">
      <c r="A35" s="69" t="s">
        <v>120</v>
      </c>
      <c r="B35" s="70"/>
      <c r="C35" s="70"/>
      <c r="D35" s="70"/>
      <c r="E35" s="70"/>
      <c r="F35" s="70"/>
      <c r="G35" s="70"/>
    </row>
    <row r="36" spans="1:7" ht="11.25" customHeight="1" x14ac:dyDescent="0.25"/>
    <row r="37" spans="1:7" ht="31.5" hidden="1" customHeight="1" x14ac:dyDescent="0.25">
      <c r="B37" s="20" t="s">
        <v>47</v>
      </c>
      <c r="C37" s="20"/>
      <c r="D37" s="20"/>
      <c r="E37" s="20"/>
      <c r="F37" s="20"/>
      <c r="G37" s="20"/>
    </row>
    <row r="38" spans="1:7" ht="135" hidden="1" x14ac:dyDescent="0.25">
      <c r="B38" s="1" t="s">
        <v>0</v>
      </c>
      <c r="C38" s="5" t="s">
        <v>33</v>
      </c>
      <c r="D38" s="5" t="s">
        <v>34</v>
      </c>
      <c r="E38" s="5" t="s">
        <v>35</v>
      </c>
    </row>
    <row r="39" spans="1:7" hidden="1" x14ac:dyDescent="0.25">
      <c r="B39" s="3" t="s">
        <v>1</v>
      </c>
      <c r="E39">
        <f>IF(ISNUMBER(Impervious[[#This Row],[Manual Entry Impervious (fraction)]]),Impervious[[#This Row],[Manual Entry Impervious (fraction)]],Impervious[[#This Row],[MapShed default Impervious (fraction)]])</f>
        <v>0</v>
      </c>
    </row>
    <row r="40" spans="1:7" hidden="1" x14ac:dyDescent="0.25">
      <c r="B40" s="2" t="s">
        <v>2</v>
      </c>
      <c r="E40">
        <f>IF(ISNUMBER(Impervious[[#This Row],[Manual Entry Impervious (fraction)]]),Impervious[[#This Row],[Manual Entry Impervious (fraction)]],Impervious[[#This Row],[MapShed default Impervious (fraction)]])</f>
        <v>0</v>
      </c>
    </row>
    <row r="41" spans="1:7" hidden="1" x14ac:dyDescent="0.25">
      <c r="B41" s="3" t="s">
        <v>3</v>
      </c>
      <c r="E41">
        <f>IF(ISNUMBER(Impervious[[#This Row],[Manual Entry Impervious (fraction)]]),Impervious[[#This Row],[Manual Entry Impervious (fraction)]],Impervious[[#This Row],[MapShed default Impervious (fraction)]])</f>
        <v>0</v>
      </c>
    </row>
    <row r="42" spans="1:7" hidden="1" x14ac:dyDescent="0.25">
      <c r="B42" s="2" t="s">
        <v>4</v>
      </c>
      <c r="E42">
        <f>IF(ISNUMBER(Impervious[[#This Row],[Manual Entry Impervious (fraction)]]),Impervious[[#This Row],[Manual Entry Impervious (fraction)]],Impervious[[#This Row],[MapShed default Impervious (fraction)]])</f>
        <v>0</v>
      </c>
    </row>
    <row r="43" spans="1:7" hidden="1" x14ac:dyDescent="0.25">
      <c r="B43" s="2" t="s">
        <v>5</v>
      </c>
      <c r="E43" s="6">
        <f>IF(ISNUMBER(Impervious[[#This Row],[Manual Entry Impervious (fraction)]]),Impervious[[#This Row],[Manual Entry Impervious (fraction)]],Impervious[[#This Row],[MapShed default Impervious (fraction)]])</f>
        <v>0</v>
      </c>
    </row>
    <row r="44" spans="1:7" hidden="1" x14ac:dyDescent="0.25">
      <c r="B44" s="2" t="s">
        <v>6</v>
      </c>
      <c r="E44" s="6">
        <f>IF(ISNUMBER(Impervious[[#This Row],[Manual Entry Impervious (fraction)]]),Impervious[[#This Row],[Manual Entry Impervious (fraction)]],Impervious[[#This Row],[MapShed default Impervious (fraction)]])</f>
        <v>0</v>
      </c>
    </row>
    <row r="45" spans="1:7" hidden="1" x14ac:dyDescent="0.25">
      <c r="B45" s="2" t="s">
        <v>7</v>
      </c>
      <c r="E45" s="6">
        <f>IF(ISNUMBER(Impervious[[#This Row],[Manual Entry Impervious (fraction)]]),Impervious[[#This Row],[Manual Entry Impervious (fraction)]],Impervious[[#This Row],[MapShed default Impervious (fraction)]])</f>
        <v>0</v>
      </c>
    </row>
    <row r="46" spans="1:7" hidden="1" x14ac:dyDescent="0.25">
      <c r="B46" s="2" t="s">
        <v>8</v>
      </c>
      <c r="E46" s="6">
        <f>IF(ISNUMBER(Impervious[[#This Row],[Manual Entry Impervious (fraction)]]),Impervious[[#This Row],[Manual Entry Impervious (fraction)]],Impervious[[#This Row],[MapShed default Impervious (fraction)]])</f>
        <v>0</v>
      </c>
    </row>
    <row r="47" spans="1:7" hidden="1" x14ac:dyDescent="0.25">
      <c r="B47" s="2" t="s">
        <v>9</v>
      </c>
      <c r="E47" s="6">
        <f>IF(ISNUMBER(Impervious[[#This Row],[Manual Entry Impervious (fraction)]]),Impervious[[#This Row],[Manual Entry Impervious (fraction)]],Impervious[[#This Row],[MapShed default Impervious (fraction)]])</f>
        <v>0</v>
      </c>
    </row>
    <row r="48" spans="1:7" hidden="1" x14ac:dyDescent="0.25">
      <c r="B48" s="2" t="s">
        <v>10</v>
      </c>
      <c r="E48" s="6">
        <f>IF(ISNUMBER(Impervious[[#This Row],[Manual Entry Impervious (fraction)]]),Impervious[[#This Row],[Manual Entry Impervious (fraction)]],Impervious[[#This Row],[MapShed default Impervious (fraction)]])</f>
        <v>0</v>
      </c>
    </row>
    <row r="49" spans="1:7" hidden="1" x14ac:dyDescent="0.25">
      <c r="B49" s="2" t="s">
        <v>11</v>
      </c>
      <c r="C49">
        <v>0.15</v>
      </c>
      <c r="E49" s="6">
        <f>IF(ISNUMBER(Impervious[[#This Row],[Manual Entry Impervious (fraction)]]),Impervious[[#This Row],[Manual Entry Impervious (fraction)]],Impervious[[#This Row],[MapShed default Impervious (fraction)]])</f>
        <v>0.15</v>
      </c>
    </row>
    <row r="50" spans="1:7" hidden="1" x14ac:dyDescent="0.25">
      <c r="B50" s="2" t="s">
        <v>12</v>
      </c>
      <c r="C50">
        <v>0.52</v>
      </c>
      <c r="E50" s="6">
        <f>IF(ISNUMBER(Impervious[[#This Row],[Manual Entry Impervious (fraction)]]),Impervious[[#This Row],[Manual Entry Impervious (fraction)]],Impervious[[#This Row],[MapShed default Impervious (fraction)]])</f>
        <v>0.52</v>
      </c>
    </row>
    <row r="51" spans="1:7" hidden="1" x14ac:dyDescent="0.25">
      <c r="B51" s="2" t="s">
        <v>13</v>
      </c>
      <c r="C51">
        <v>0.87</v>
      </c>
      <c r="E51" s="6">
        <f>IF(ISNUMBER(Impervious[[#This Row],[Manual Entry Impervious (fraction)]]),Impervious[[#This Row],[Manual Entry Impervious (fraction)]],Impervious[[#This Row],[MapShed default Impervious (fraction)]])</f>
        <v>0.87</v>
      </c>
    </row>
    <row r="52" spans="1:7" hidden="1" x14ac:dyDescent="0.25">
      <c r="B52" s="2" t="s">
        <v>14</v>
      </c>
      <c r="C52">
        <v>0.15</v>
      </c>
      <c r="E52" s="6">
        <f>IF(ISNUMBER(Impervious[[#This Row],[Manual Entry Impervious (fraction)]]),Impervious[[#This Row],[Manual Entry Impervious (fraction)]],Impervious[[#This Row],[MapShed default Impervious (fraction)]])</f>
        <v>0.15</v>
      </c>
    </row>
    <row r="53" spans="1:7" hidden="1" x14ac:dyDescent="0.25">
      <c r="B53" s="2" t="s">
        <v>15</v>
      </c>
      <c r="C53">
        <v>0.52</v>
      </c>
      <c r="E53" s="6">
        <f>IF(ISNUMBER(Impervious[[#This Row],[Manual Entry Impervious (fraction)]]),Impervious[[#This Row],[Manual Entry Impervious (fraction)]],Impervious[[#This Row],[MapShed default Impervious (fraction)]])</f>
        <v>0.52</v>
      </c>
    </row>
    <row r="54" spans="1:7" hidden="1" x14ac:dyDescent="0.25">
      <c r="B54" s="2" t="s">
        <v>16</v>
      </c>
      <c r="C54">
        <v>0.87</v>
      </c>
      <c r="E54" s="6">
        <f>IF(ISNUMBER(Impervious[[#This Row],[Manual Entry Impervious (fraction)]]),Impervious[[#This Row],[Manual Entry Impervious (fraction)]],Impervious[[#This Row],[MapShed default Impervious (fraction)]])</f>
        <v>0.87</v>
      </c>
    </row>
    <row r="55" spans="1:7" hidden="1" x14ac:dyDescent="0.25">
      <c r="B55" s="2" t="s">
        <v>81</v>
      </c>
      <c r="C55">
        <v>0.15</v>
      </c>
      <c r="E55" s="6">
        <f>IF(ISNUMBER(Impervious[[#This Row],[Manual Entry Impervious (fraction)]]),Impervious[[#This Row],[Manual Entry Impervious (fraction)]],Impervious[[#This Row],[MapShed default Impervious (fraction)]])</f>
        <v>0.15</v>
      </c>
    </row>
    <row r="56" spans="1:7" hidden="1" x14ac:dyDescent="0.25">
      <c r="B56" s="2" t="s">
        <v>82</v>
      </c>
      <c r="C56">
        <v>0.52</v>
      </c>
      <c r="E56" s="6">
        <f>IF(ISNUMBER(Impervious[[#This Row],[Manual Entry Impervious (fraction)]]),Impervious[[#This Row],[Manual Entry Impervious (fraction)]],Impervious[[#This Row],[MapShed default Impervious (fraction)]])</f>
        <v>0.52</v>
      </c>
    </row>
    <row r="57" spans="1:7" hidden="1" x14ac:dyDescent="0.25">
      <c r="B57" s="2" t="s">
        <v>83</v>
      </c>
      <c r="C57">
        <v>0.87</v>
      </c>
      <c r="E57" s="6">
        <f>IF(ISNUMBER(Impervious[[#This Row],[Manual Entry Impervious (fraction)]]),Impervious[[#This Row],[Manual Entry Impervious (fraction)]],Impervious[[#This Row],[MapShed default Impervious (fraction)]])</f>
        <v>0.87</v>
      </c>
    </row>
    <row r="58" spans="1:7" hidden="1" x14ac:dyDescent="0.25">
      <c r="B58" s="2" t="s">
        <v>84</v>
      </c>
      <c r="C58">
        <v>0.15</v>
      </c>
      <c r="E58" s="6">
        <f>IF(ISNUMBER(Impervious[[#This Row],[Manual Entry Impervious (fraction)]]),Impervious[[#This Row],[Manual Entry Impervious (fraction)]],Impervious[[#This Row],[MapShed default Impervious (fraction)]])</f>
        <v>0.15</v>
      </c>
    </row>
    <row r="59" spans="1:7" hidden="1" x14ac:dyDescent="0.25">
      <c r="B59" s="2" t="s">
        <v>85</v>
      </c>
      <c r="C59">
        <v>0.52</v>
      </c>
      <c r="E59" s="6">
        <f>IF(ISNUMBER(Impervious[[#This Row],[Manual Entry Impervious (fraction)]]),Impervious[[#This Row],[Manual Entry Impervious (fraction)]],Impervious[[#This Row],[MapShed default Impervious (fraction)]])</f>
        <v>0.52</v>
      </c>
    </row>
    <row r="60" spans="1:7" hidden="1" x14ac:dyDescent="0.25">
      <c r="B60" s="2" t="s">
        <v>86</v>
      </c>
      <c r="C60">
        <v>0.87</v>
      </c>
      <c r="E60" s="6">
        <f>IF(ISNUMBER(Impervious[[#This Row],[Manual Entry Impervious (fraction)]]),Impervious[[#This Row],[Manual Entry Impervious (fraction)]],Impervious[[#This Row],[MapShed default Impervious (fraction)]])</f>
        <v>0.87</v>
      </c>
    </row>
    <row r="61" spans="1:7" ht="62.25" customHeight="1" x14ac:dyDescent="0.25">
      <c r="A61" s="70" t="s">
        <v>121</v>
      </c>
      <c r="B61" s="70"/>
      <c r="C61" s="70"/>
      <c r="D61" s="70"/>
      <c r="E61" s="70"/>
      <c r="F61" s="70"/>
      <c r="G61" s="70"/>
    </row>
    <row r="63" spans="1:7" x14ac:dyDescent="0.25">
      <c r="A63" s="9"/>
      <c r="B63" s="14"/>
      <c r="C63" s="14"/>
      <c r="D63" s="14"/>
      <c r="E63" s="14"/>
      <c r="F63" s="14"/>
      <c r="G63" s="14"/>
    </row>
    <row r="64" spans="1:7" x14ac:dyDescent="0.25">
      <c r="A64" s="14"/>
      <c r="B64" s="14"/>
      <c r="C64" s="14"/>
      <c r="D64" s="14"/>
      <c r="E64" s="14"/>
      <c r="F64" s="14"/>
      <c r="G64" s="14"/>
    </row>
    <row r="65" spans="1:7" x14ac:dyDescent="0.25">
      <c r="A65" s="14"/>
      <c r="B65" s="14"/>
      <c r="C65" s="14"/>
      <c r="D65" s="14"/>
      <c r="E65" s="14"/>
      <c r="F65" s="14"/>
      <c r="G65" s="14"/>
    </row>
    <row r="66" spans="1:7" x14ac:dyDescent="0.25">
      <c r="A66" s="14"/>
      <c r="B66" s="14"/>
      <c r="C66" s="14"/>
      <c r="D66" s="14"/>
      <c r="E66" s="14"/>
      <c r="F66" s="14"/>
      <c r="G66" s="14"/>
    </row>
    <row r="67" spans="1:7" x14ac:dyDescent="0.25">
      <c r="A67" s="14"/>
      <c r="B67" s="14"/>
      <c r="C67" s="14"/>
      <c r="D67" s="14"/>
      <c r="E67" s="14"/>
      <c r="F67" s="14"/>
      <c r="G67" s="14"/>
    </row>
    <row r="68" spans="1:7" x14ac:dyDescent="0.25">
      <c r="A68" s="69"/>
      <c r="B68" s="70"/>
      <c r="C68" s="70"/>
      <c r="D68" s="70"/>
      <c r="E68" s="70"/>
      <c r="F68" s="70"/>
      <c r="G68" s="70"/>
    </row>
  </sheetData>
  <mergeCells count="23">
    <mergeCell ref="B26:G26"/>
    <mergeCell ref="B19:G19"/>
    <mergeCell ref="A68:G68"/>
    <mergeCell ref="A5:G5"/>
    <mergeCell ref="A10:G10"/>
    <mergeCell ref="A12:G12"/>
    <mergeCell ref="B28:G28"/>
    <mergeCell ref="B29:G29"/>
    <mergeCell ref="A31:G31"/>
    <mergeCell ref="A33:G33"/>
    <mergeCell ref="A35:G35"/>
    <mergeCell ref="A61:G61"/>
    <mergeCell ref="D16:G16"/>
    <mergeCell ref="D18:G18"/>
    <mergeCell ref="D17:G17"/>
    <mergeCell ref="D20:G20"/>
    <mergeCell ref="D21:G21"/>
    <mergeCell ref="A1:G1"/>
    <mergeCell ref="A2:B2"/>
    <mergeCell ref="A3:G3"/>
    <mergeCell ref="B9:C9"/>
    <mergeCell ref="B6:G6"/>
    <mergeCell ref="B7:G7"/>
  </mergeCells>
  <pageMargins left="0.7" right="0.7" top="0.75" bottom="0.75" header="0.3" footer="0.3"/>
  <pageSetup orientation="portrait" r:id="rId1"/>
  <headerFooter>
    <oddHeader>&amp;L&amp;"-,Bold"&amp;14Christina Basin Urban BMP Load Reduction Calculation Tool</oddHeader>
    <oddFooter>&amp;RChristina Basin Urban BMP Tool (May 5, 2017)</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4"/>
  <sheetViews>
    <sheetView view="pageLayout" topLeftCell="B73" zoomScale="80" zoomScaleNormal="100" zoomScalePageLayoutView="80" workbookViewId="0"/>
  </sheetViews>
  <sheetFormatPr defaultRowHeight="15" x14ac:dyDescent="0.25"/>
  <cols>
    <col min="14" max="14" width="22" customWidth="1"/>
    <col min="26" max="26" width="24.85546875" customWidth="1"/>
  </cols>
  <sheetData>
    <row r="1" spans="1:24" ht="25.5" customHeight="1" x14ac:dyDescent="0.3">
      <c r="A1" s="21" t="s">
        <v>49</v>
      </c>
    </row>
    <row r="2" spans="1:24" ht="36" customHeight="1" x14ac:dyDescent="0.25">
      <c r="A2" s="74" t="s">
        <v>55</v>
      </c>
      <c r="B2" s="75"/>
      <c r="C2" s="75"/>
      <c r="D2" s="75"/>
      <c r="E2" s="75"/>
      <c r="F2" s="75"/>
      <c r="G2" s="75"/>
      <c r="H2" s="75"/>
      <c r="I2" s="75"/>
      <c r="J2" s="75"/>
      <c r="K2" s="75"/>
      <c r="L2" s="75"/>
      <c r="M2" s="75"/>
      <c r="N2" s="75"/>
      <c r="O2" s="75"/>
      <c r="P2" s="10"/>
      <c r="Q2" s="9"/>
      <c r="R2" s="9"/>
      <c r="S2" s="9"/>
      <c r="T2" s="9"/>
      <c r="U2" s="9"/>
      <c r="V2" s="9"/>
      <c r="W2" s="9"/>
    </row>
    <row r="3" spans="1:24" ht="15.75" x14ac:dyDescent="0.25">
      <c r="A3" s="22" t="s">
        <v>30</v>
      </c>
      <c r="C3" s="9"/>
      <c r="D3" s="9"/>
      <c r="E3" s="9"/>
      <c r="F3" s="9"/>
      <c r="G3" s="9"/>
      <c r="H3" s="9"/>
      <c r="I3" s="9"/>
      <c r="J3" s="9"/>
      <c r="K3" s="9"/>
      <c r="L3" s="9"/>
      <c r="M3" s="9"/>
      <c r="N3" s="9"/>
      <c r="Q3" s="9"/>
      <c r="R3" s="9"/>
      <c r="S3" s="9"/>
      <c r="T3" s="9"/>
      <c r="U3" s="9"/>
      <c r="V3" s="9"/>
      <c r="W3" s="9"/>
    </row>
    <row r="4" spans="1:24" x14ac:dyDescent="0.25">
      <c r="P4" s="11"/>
      <c r="Q4" s="11"/>
      <c r="R4" s="11"/>
      <c r="S4" s="11"/>
      <c r="T4" s="11"/>
      <c r="U4" s="11"/>
      <c r="V4" s="11"/>
      <c r="W4" s="11"/>
      <c r="X4" s="11"/>
    </row>
    <row r="36" spans="1:14" ht="46.5" customHeight="1" x14ac:dyDescent="0.25"/>
    <row r="37" spans="1:14" ht="69.75" customHeight="1" x14ac:dyDescent="0.25"/>
    <row r="38" spans="1:14" ht="69.75" customHeight="1" x14ac:dyDescent="0.25"/>
    <row r="39" spans="1:14" ht="82.5" customHeight="1" x14ac:dyDescent="0.25"/>
    <row r="40" spans="1:14" x14ac:dyDescent="0.25">
      <c r="A40" s="14" t="s">
        <v>28</v>
      </c>
      <c r="B40" s="14"/>
      <c r="C40" s="14"/>
      <c r="D40" s="14"/>
      <c r="E40" s="14"/>
      <c r="F40" s="14"/>
      <c r="G40" s="14"/>
      <c r="H40" s="14"/>
      <c r="I40" s="14"/>
      <c r="J40" s="14"/>
      <c r="K40" s="14"/>
      <c r="L40" s="14"/>
      <c r="M40" s="14"/>
      <c r="N40" s="14"/>
    </row>
    <row r="41" spans="1:14" x14ac:dyDescent="0.25">
      <c r="A41" s="23" t="s">
        <v>25</v>
      </c>
      <c r="B41" s="14"/>
      <c r="C41" s="14"/>
      <c r="D41" s="14"/>
      <c r="E41" s="14"/>
      <c r="F41" s="14"/>
      <c r="G41" s="14"/>
      <c r="H41" s="14"/>
      <c r="I41" s="14"/>
      <c r="J41" s="14"/>
      <c r="K41" s="14"/>
      <c r="L41" s="14"/>
      <c r="M41" s="14"/>
      <c r="N41" s="14"/>
    </row>
    <row r="42" spans="1:14" x14ac:dyDescent="0.25">
      <c r="A42" s="14" t="s">
        <v>26</v>
      </c>
      <c r="B42" s="14"/>
      <c r="C42" s="14"/>
      <c r="D42" s="14"/>
      <c r="E42" s="14"/>
      <c r="F42" s="14"/>
      <c r="G42" s="14"/>
      <c r="H42" s="14"/>
      <c r="I42" s="14"/>
      <c r="J42" s="14"/>
      <c r="K42" s="14"/>
      <c r="L42" s="14"/>
      <c r="M42" s="14"/>
      <c r="N42" s="14"/>
    </row>
    <row r="43" spans="1:14" x14ac:dyDescent="0.25">
      <c r="A43" s="14" t="s">
        <v>27</v>
      </c>
      <c r="B43" s="14"/>
      <c r="C43" s="14"/>
      <c r="D43" s="14"/>
      <c r="E43" s="14"/>
      <c r="F43" s="14"/>
      <c r="G43" s="14"/>
      <c r="H43" s="14"/>
      <c r="I43" s="14"/>
      <c r="J43" s="14"/>
      <c r="K43" s="14"/>
      <c r="L43" s="14"/>
      <c r="M43" s="14"/>
      <c r="N43" s="14"/>
    </row>
    <row r="44" spans="1:14" x14ac:dyDescent="0.25">
      <c r="A44" s="14" t="s">
        <v>50</v>
      </c>
      <c r="B44" s="14"/>
      <c r="C44" s="14"/>
      <c r="D44" s="14"/>
      <c r="E44" s="14"/>
      <c r="F44" s="14"/>
      <c r="G44" s="14"/>
      <c r="H44" s="14"/>
      <c r="I44" s="14"/>
      <c r="J44" s="14"/>
      <c r="K44" s="14"/>
      <c r="L44" s="14"/>
      <c r="M44" s="14"/>
      <c r="N44" s="14"/>
    </row>
    <row r="45" spans="1:14" ht="14.25" customHeight="1" x14ac:dyDescent="0.25"/>
    <row r="46" spans="1:14" x14ac:dyDescent="0.25">
      <c r="A46" s="10" t="s">
        <v>29</v>
      </c>
    </row>
    <row r="110" spans="1:9" ht="16.5" customHeight="1" x14ac:dyDescent="0.25">
      <c r="A110" s="14" t="s">
        <v>28</v>
      </c>
      <c r="B110" s="14"/>
      <c r="C110" s="14"/>
      <c r="D110" s="14"/>
      <c r="E110" s="14"/>
      <c r="F110" s="14"/>
      <c r="G110" s="14"/>
      <c r="H110" s="14"/>
      <c r="I110" s="14"/>
    </row>
    <row r="111" spans="1:9" x14ac:dyDescent="0.25">
      <c r="A111" s="23" t="s">
        <v>25</v>
      </c>
      <c r="B111" s="14"/>
      <c r="C111" s="14"/>
      <c r="D111" s="14"/>
      <c r="E111" s="14"/>
      <c r="F111" s="14"/>
      <c r="G111" s="14"/>
      <c r="H111" s="14"/>
      <c r="I111" s="14"/>
    </row>
    <row r="112" spans="1:9" x14ac:dyDescent="0.25">
      <c r="A112" s="14" t="s">
        <v>26</v>
      </c>
      <c r="B112" s="14"/>
      <c r="C112" s="14"/>
      <c r="D112" s="14"/>
      <c r="E112" s="14"/>
      <c r="F112" s="14"/>
      <c r="G112" s="14"/>
      <c r="H112" s="14"/>
      <c r="I112" s="14"/>
    </row>
    <row r="113" spans="1:9" x14ac:dyDescent="0.25">
      <c r="A113" s="14" t="s">
        <v>27</v>
      </c>
      <c r="B113" s="14"/>
      <c r="C113" s="14"/>
      <c r="D113" s="14"/>
      <c r="E113" s="14"/>
      <c r="F113" s="14"/>
      <c r="G113" s="14"/>
      <c r="H113" s="14"/>
      <c r="I113" s="14"/>
    </row>
    <row r="114" spans="1:9" x14ac:dyDescent="0.25">
      <c r="A114" s="14" t="s">
        <v>50</v>
      </c>
      <c r="B114" s="14"/>
      <c r="C114" s="14"/>
      <c r="D114" s="14"/>
      <c r="E114" s="14"/>
      <c r="F114" s="14"/>
      <c r="G114" s="14"/>
      <c r="H114" s="14"/>
      <c r="I114" s="14"/>
    </row>
  </sheetData>
  <mergeCells count="1">
    <mergeCell ref="A2:O2"/>
  </mergeCells>
  <pageMargins left="0.7" right="0.7" top="0.75" bottom="0.75" header="0.3" footer="0.3"/>
  <pageSetup scale="60" fitToHeight="0" orientation="portrait" r:id="rId1"/>
  <headerFooter>
    <oddHeader>&amp;C&amp;14Christina Basin Urban BMP Load Reduction Calculation Tool</oddHeader>
    <oddFooter>&amp;RChristina Basin Urban BMP Tool (May 3, 2017)</oddFooter>
  </headerFooter>
  <rowBreaks count="1" manualBreakCount="1">
    <brk id="44"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37"/>
  <sheetViews>
    <sheetView view="pageLayout" topLeftCell="A4" zoomScale="90" zoomScaleNormal="100" zoomScalePageLayoutView="90" workbookViewId="0">
      <selection activeCell="B14" sqref="B14"/>
    </sheetView>
  </sheetViews>
  <sheetFormatPr defaultRowHeight="15" x14ac:dyDescent="0.25"/>
  <cols>
    <col min="1" max="1" width="24" customWidth="1"/>
    <col min="2" max="2" width="21.85546875" bestFit="1" customWidth="1"/>
    <col min="3" max="3" width="15.140625" bestFit="1" customWidth="1"/>
    <col min="4" max="4" width="15.85546875" customWidth="1"/>
    <col min="5" max="5" width="13.5703125" customWidth="1"/>
    <col min="6" max="6" width="40.28515625" bestFit="1" customWidth="1"/>
    <col min="7" max="7" width="10.85546875" bestFit="1" customWidth="1"/>
    <col min="8" max="8" width="12" bestFit="1" customWidth="1"/>
    <col min="9" max="9" width="32.42578125" bestFit="1" customWidth="1"/>
    <col min="10" max="10" width="29.5703125" bestFit="1" customWidth="1"/>
    <col min="11" max="11" width="20" bestFit="1" customWidth="1"/>
  </cols>
  <sheetData>
    <row r="1" spans="1:7" ht="30" customHeight="1" x14ac:dyDescent="0.25">
      <c r="A1" s="57" t="s">
        <v>124</v>
      </c>
    </row>
    <row r="2" spans="1:7" ht="75" customHeight="1" x14ac:dyDescent="0.25">
      <c r="A2" s="77" t="s">
        <v>127</v>
      </c>
      <c r="B2" s="65"/>
      <c r="C2" s="65"/>
      <c r="D2" s="65"/>
      <c r="E2" s="65"/>
      <c r="F2" s="11"/>
      <c r="G2" s="11"/>
    </row>
    <row r="3" spans="1:7" ht="64.5" customHeight="1" x14ac:dyDescent="0.25">
      <c r="A3" s="78" t="s">
        <v>145</v>
      </c>
      <c r="B3" s="78"/>
      <c r="C3" s="78"/>
      <c r="D3" s="78"/>
      <c r="E3" s="78"/>
    </row>
    <row r="5" spans="1:7" x14ac:dyDescent="0.25">
      <c r="A5" s="58" t="s">
        <v>125</v>
      </c>
    </row>
    <row r="6" spans="1:7" x14ac:dyDescent="0.25">
      <c r="A6" s="58" t="s">
        <v>126</v>
      </c>
      <c r="D6" s="11"/>
    </row>
    <row r="7" spans="1:7" x14ac:dyDescent="0.25">
      <c r="E7" s="12"/>
    </row>
    <row r="8" spans="1:7" x14ac:dyDescent="0.25">
      <c r="A8" t="s">
        <v>0</v>
      </c>
      <c r="B8" t="s">
        <v>43</v>
      </c>
      <c r="C8" t="s">
        <v>42</v>
      </c>
      <c r="D8" t="s">
        <v>41</v>
      </c>
    </row>
    <row r="9" spans="1:7" x14ac:dyDescent="0.25">
      <c r="A9" t="s">
        <v>1</v>
      </c>
      <c r="B9" s="4">
        <v>416</v>
      </c>
      <c r="C9" s="4">
        <v>0.5</v>
      </c>
      <c r="D9" s="4">
        <v>0.5</v>
      </c>
      <c r="E9" s="79" t="s">
        <v>128</v>
      </c>
    </row>
    <row r="10" spans="1:7" x14ac:dyDescent="0.25">
      <c r="A10" t="s">
        <v>2</v>
      </c>
      <c r="B10" s="4">
        <v>1116.7</v>
      </c>
      <c r="C10" s="4">
        <v>0</v>
      </c>
      <c r="D10" s="4">
        <v>0</v>
      </c>
      <c r="E10" s="80"/>
    </row>
    <row r="11" spans="1:7" x14ac:dyDescent="0.25">
      <c r="A11" t="s">
        <v>3</v>
      </c>
      <c r="B11" s="4">
        <v>340.7</v>
      </c>
      <c r="C11" s="4">
        <v>0</v>
      </c>
      <c r="D11" s="4">
        <v>0</v>
      </c>
      <c r="E11" s="80"/>
    </row>
    <row r="12" spans="1:7" x14ac:dyDescent="0.25">
      <c r="A12" t="s">
        <v>4</v>
      </c>
      <c r="B12" s="4">
        <v>331.6</v>
      </c>
      <c r="C12" s="4">
        <v>0</v>
      </c>
      <c r="D12" s="4">
        <v>0</v>
      </c>
      <c r="E12" s="80"/>
    </row>
    <row r="13" spans="1:7" x14ac:dyDescent="0.25">
      <c r="A13" t="s">
        <v>5</v>
      </c>
      <c r="B13" s="4">
        <v>384.3</v>
      </c>
      <c r="C13" s="4">
        <v>0</v>
      </c>
      <c r="D13" s="4">
        <v>0</v>
      </c>
      <c r="E13" s="80"/>
    </row>
    <row r="14" spans="1:7" x14ac:dyDescent="0.25">
      <c r="A14" t="s">
        <v>6</v>
      </c>
      <c r="B14" s="4">
        <v>352.6</v>
      </c>
      <c r="C14" s="4">
        <v>0</v>
      </c>
      <c r="D14" s="4">
        <v>0</v>
      </c>
      <c r="E14" s="80"/>
    </row>
    <row r="15" spans="1:7" x14ac:dyDescent="0.25">
      <c r="A15" t="s">
        <v>7</v>
      </c>
      <c r="B15" s="4">
        <v>469.4</v>
      </c>
      <c r="C15" s="4">
        <v>0</v>
      </c>
      <c r="D15" s="4">
        <v>0</v>
      </c>
      <c r="E15" s="80"/>
    </row>
    <row r="16" spans="1:7" x14ac:dyDescent="0.25">
      <c r="A16" t="s">
        <v>8</v>
      </c>
      <c r="B16" s="4">
        <v>327.7</v>
      </c>
      <c r="C16" s="4">
        <v>0</v>
      </c>
      <c r="D16" s="4">
        <v>0</v>
      </c>
      <c r="E16" s="80"/>
    </row>
    <row r="17" spans="1:8" x14ac:dyDescent="0.25">
      <c r="A17" t="s">
        <v>9</v>
      </c>
      <c r="B17" s="4">
        <v>327.7</v>
      </c>
      <c r="C17" s="4">
        <v>0</v>
      </c>
      <c r="D17" s="4">
        <v>0</v>
      </c>
      <c r="E17" s="80"/>
    </row>
    <row r="18" spans="1:8" x14ac:dyDescent="0.25">
      <c r="A18" t="s">
        <v>10</v>
      </c>
      <c r="B18" s="4">
        <v>327.7</v>
      </c>
      <c r="C18" s="4">
        <v>0</v>
      </c>
      <c r="D18" s="4">
        <v>0</v>
      </c>
      <c r="E18" s="80"/>
    </row>
    <row r="19" spans="1:8" x14ac:dyDescent="0.25">
      <c r="A19" t="s">
        <v>11</v>
      </c>
      <c r="B19" s="4">
        <v>923.9</v>
      </c>
      <c r="C19" s="4">
        <v>0.5</v>
      </c>
      <c r="D19" s="4">
        <v>5</v>
      </c>
      <c r="E19" s="80"/>
    </row>
    <row r="20" spans="1:8" x14ac:dyDescent="0.25">
      <c r="A20" t="s">
        <v>12</v>
      </c>
      <c r="B20" s="4">
        <v>1682.5</v>
      </c>
      <c r="C20" s="4">
        <v>0.5</v>
      </c>
      <c r="D20" s="4">
        <v>5</v>
      </c>
      <c r="E20" s="80"/>
    </row>
    <row r="21" spans="1:8" x14ac:dyDescent="0.25">
      <c r="A21" t="s">
        <v>13</v>
      </c>
      <c r="B21" s="4">
        <v>2369.5</v>
      </c>
      <c r="C21" s="4">
        <v>0.5</v>
      </c>
      <c r="D21" s="4">
        <v>5</v>
      </c>
      <c r="E21" s="80"/>
    </row>
    <row r="22" spans="1:8" x14ac:dyDescent="0.25">
      <c r="A22" t="s">
        <v>14</v>
      </c>
      <c r="B22" s="4">
        <v>923.9</v>
      </c>
      <c r="C22" s="4">
        <v>0.5</v>
      </c>
      <c r="D22" s="4">
        <v>5</v>
      </c>
      <c r="E22" s="80"/>
    </row>
    <row r="23" spans="1:8" x14ac:dyDescent="0.25">
      <c r="A23" t="s">
        <v>15</v>
      </c>
      <c r="B23" s="4">
        <v>1682.5</v>
      </c>
      <c r="C23" s="4">
        <v>0.5</v>
      </c>
      <c r="D23" s="4">
        <v>5</v>
      </c>
      <c r="E23" s="80"/>
    </row>
    <row r="24" spans="1:8" ht="15.75" thickBot="1" x14ac:dyDescent="0.3">
      <c r="A24" t="s">
        <v>16</v>
      </c>
      <c r="B24" s="4">
        <v>2369.5</v>
      </c>
      <c r="C24" s="4">
        <v>0.5</v>
      </c>
      <c r="D24" s="4">
        <v>5</v>
      </c>
      <c r="E24" s="80"/>
    </row>
    <row r="25" spans="1:8" ht="15.75" thickTop="1" x14ac:dyDescent="0.25">
      <c r="A25" s="39" t="s">
        <v>81</v>
      </c>
      <c r="B25" s="40">
        <v>9.15</v>
      </c>
      <c r="C25" s="40">
        <v>0.05</v>
      </c>
      <c r="D25" s="41">
        <v>0.5</v>
      </c>
      <c r="E25" s="76" t="s">
        <v>87</v>
      </c>
    </row>
    <row r="26" spans="1:8" x14ac:dyDescent="0.25">
      <c r="A26" s="42" t="s">
        <v>82</v>
      </c>
      <c r="B26" s="43">
        <v>41.41</v>
      </c>
      <c r="C26" s="43">
        <v>0.05</v>
      </c>
      <c r="D26" s="44">
        <v>0.5</v>
      </c>
      <c r="E26" s="76"/>
    </row>
    <row r="27" spans="1:8" x14ac:dyDescent="0.25">
      <c r="A27" s="42" t="s">
        <v>83</v>
      </c>
      <c r="B27" s="43">
        <v>41.42</v>
      </c>
      <c r="C27" s="43">
        <v>0.05</v>
      </c>
      <c r="D27" s="44">
        <v>0.5</v>
      </c>
      <c r="E27" s="76"/>
    </row>
    <row r="28" spans="1:8" x14ac:dyDescent="0.25">
      <c r="A28" s="42" t="s">
        <v>84</v>
      </c>
      <c r="B28" s="43">
        <v>9.15</v>
      </c>
      <c r="C28" s="43">
        <v>0.05</v>
      </c>
      <c r="D28" s="44">
        <v>0.5</v>
      </c>
      <c r="E28" s="76"/>
    </row>
    <row r="29" spans="1:8" x14ac:dyDescent="0.25">
      <c r="A29" s="42" t="s">
        <v>85</v>
      </c>
      <c r="B29" s="43">
        <v>41.41</v>
      </c>
      <c r="C29" s="43">
        <v>0.05</v>
      </c>
      <c r="D29" s="44">
        <v>0.5</v>
      </c>
      <c r="E29" s="76"/>
    </row>
    <row r="30" spans="1:8" ht="15.75" thickBot="1" x14ac:dyDescent="0.3">
      <c r="A30" s="45" t="s">
        <v>86</v>
      </c>
      <c r="B30" s="46">
        <v>41.42</v>
      </c>
      <c r="C30" s="46">
        <v>0.05</v>
      </c>
      <c r="D30" s="47">
        <v>0.5</v>
      </c>
      <c r="E30" s="76"/>
    </row>
    <row r="31" spans="1:8" ht="31.5" customHeight="1" thickTop="1" x14ac:dyDescent="0.25">
      <c r="D31" s="8"/>
      <c r="E31" s="8"/>
      <c r="F31" s="7"/>
    </row>
    <row r="32" spans="1:8" x14ac:dyDescent="0.25">
      <c r="A32" t="s">
        <v>129</v>
      </c>
      <c r="D32" s="8"/>
      <c r="E32" s="8"/>
      <c r="F32" s="7"/>
      <c r="H32" s="8"/>
    </row>
    <row r="33" spans="1:8" x14ac:dyDescent="0.25">
      <c r="A33" s="59" t="s">
        <v>63</v>
      </c>
      <c r="B33" t="s">
        <v>65</v>
      </c>
      <c r="C33" t="s">
        <v>66</v>
      </c>
      <c r="D33" s="8" t="s">
        <v>67</v>
      </c>
      <c r="E33" s="8" t="s">
        <v>75</v>
      </c>
      <c r="F33" s="7"/>
      <c r="H33" s="8"/>
    </row>
    <row r="34" spans="1:8" x14ac:dyDescent="0.25">
      <c r="A34" t="s">
        <v>70</v>
      </c>
      <c r="B34" s="24">
        <f>0.1</f>
        <v>0.1</v>
      </c>
      <c r="C34" s="24">
        <f t="shared" ref="C34:D34" si="0">0.1</f>
        <v>0.1</v>
      </c>
      <c r="D34" s="24">
        <f t="shared" si="0"/>
        <v>0.1</v>
      </c>
      <c r="E34" s="6">
        <v>20</v>
      </c>
      <c r="F34" s="7"/>
    </row>
    <row r="35" spans="1:8" x14ac:dyDescent="0.25">
      <c r="F35" s="7"/>
    </row>
    <row r="36" spans="1:8" x14ac:dyDescent="0.25">
      <c r="A36" s="59" t="s">
        <v>88</v>
      </c>
      <c r="B36" t="s">
        <v>72</v>
      </c>
      <c r="C36" t="s">
        <v>74</v>
      </c>
      <c r="D36" t="s">
        <v>73</v>
      </c>
      <c r="F36" s="7"/>
    </row>
    <row r="37" spans="1:8" x14ac:dyDescent="0.25">
      <c r="A37" t="s">
        <v>71</v>
      </c>
      <c r="B37">
        <v>115</v>
      </c>
      <c r="C37">
        <v>0.17399999999999999</v>
      </c>
      <c r="D37">
        <v>0.192</v>
      </c>
    </row>
  </sheetData>
  <mergeCells count="4">
    <mergeCell ref="E25:E30"/>
    <mergeCell ref="A2:E2"/>
    <mergeCell ref="A3:E3"/>
    <mergeCell ref="E9:E24"/>
  </mergeCells>
  <pageMargins left="0.7" right="0.7" top="0.75" bottom="0.75" header="0.3" footer="0.3"/>
  <pageSetup orientation="portrait" r:id="rId1"/>
  <headerFooter>
    <oddHeader>&amp;CChristina Basin Urban BMP Load Reduction Calculation Tool</oddHeader>
    <oddFooter>&amp;RChristina Basin Urban BMP Tool (May 3, 2017)</oddFooter>
  </headerFooter>
  <tableParts count="3">
    <tablePart r:id="rId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W61"/>
  <sheetViews>
    <sheetView tabSelected="1" zoomScaleNormal="100" workbookViewId="0">
      <selection activeCell="N18" sqref="N18"/>
    </sheetView>
  </sheetViews>
  <sheetFormatPr defaultRowHeight="15" x14ac:dyDescent="0.25"/>
  <cols>
    <col min="1" max="1" width="33" customWidth="1"/>
    <col min="2" max="2" width="18.28515625" bestFit="1" customWidth="1"/>
    <col min="3" max="3" width="13.28515625" bestFit="1" customWidth="1"/>
    <col min="4" max="4" width="20.42578125" customWidth="1"/>
    <col min="5" max="5" width="13.7109375" customWidth="1"/>
    <col min="6" max="6" width="16.42578125" customWidth="1"/>
    <col min="7" max="8" width="21.7109375" customWidth="1"/>
    <col min="9" max="9" width="15.5703125" customWidth="1"/>
    <col min="10" max="10" width="16.28515625" customWidth="1"/>
    <col min="11" max="11" width="26.7109375" customWidth="1"/>
    <col min="12" max="12" width="19.7109375" customWidth="1"/>
    <col min="13" max="16" width="11.7109375" customWidth="1"/>
    <col min="17" max="18" width="12.42578125" bestFit="1" customWidth="1"/>
    <col min="19" max="19" width="11.28515625" customWidth="1"/>
    <col min="20" max="20" width="18.7109375" customWidth="1"/>
    <col min="21" max="21" width="12.42578125" customWidth="1"/>
    <col min="22" max="23" width="18.7109375" customWidth="1"/>
    <col min="24" max="24" width="23.5703125" customWidth="1"/>
    <col min="25" max="34" width="23.140625" customWidth="1"/>
  </cols>
  <sheetData>
    <row r="1" spans="1:23" ht="23.25" customHeight="1" x14ac:dyDescent="0.3">
      <c r="A1" s="56" t="s">
        <v>130</v>
      </c>
      <c r="N1" s="56" t="s">
        <v>130</v>
      </c>
    </row>
    <row r="2" spans="1:23" ht="18.75" customHeight="1" x14ac:dyDescent="0.25">
      <c r="A2" s="81" t="s">
        <v>135</v>
      </c>
      <c r="B2" s="82"/>
      <c r="C2" s="82"/>
      <c r="D2" s="82"/>
      <c r="E2" s="82"/>
      <c r="F2" s="82"/>
      <c r="G2" s="82"/>
      <c r="H2" s="82"/>
      <c r="I2" s="11"/>
      <c r="J2" s="11"/>
      <c r="K2" s="11"/>
      <c r="L2" s="11"/>
      <c r="M2" s="11"/>
      <c r="N2" s="11"/>
      <c r="O2" s="11"/>
      <c r="P2" s="11"/>
    </row>
    <row r="3" spans="1:23" ht="36" customHeight="1" x14ac:dyDescent="0.25">
      <c r="A3" s="81" t="s">
        <v>136</v>
      </c>
      <c r="B3" s="82"/>
      <c r="C3" s="82"/>
      <c r="D3" s="82"/>
      <c r="E3" s="82"/>
      <c r="F3" s="82"/>
      <c r="G3" s="82"/>
      <c r="H3" s="82"/>
      <c r="I3" s="11"/>
      <c r="J3" s="11"/>
      <c r="K3" s="11"/>
      <c r="L3" s="11"/>
      <c r="M3" s="11"/>
      <c r="N3" s="11"/>
      <c r="O3" s="11"/>
      <c r="P3" s="11"/>
    </row>
    <row r="4" spans="1:23" ht="37.5" customHeight="1" x14ac:dyDescent="0.25">
      <c r="A4" s="83" t="s">
        <v>69</v>
      </c>
      <c r="B4" s="65"/>
      <c r="C4" s="65"/>
      <c r="D4" s="65"/>
      <c r="E4" s="65"/>
      <c r="F4" s="65"/>
      <c r="G4" s="65"/>
      <c r="H4" s="65"/>
      <c r="I4" s="11"/>
      <c r="J4" s="11"/>
      <c r="K4" s="11"/>
      <c r="L4" s="11"/>
      <c r="M4" s="11"/>
      <c r="N4" s="11"/>
      <c r="O4" s="11"/>
      <c r="P4" s="11"/>
    </row>
    <row r="5" spans="1:23" s="54" customFormat="1" ht="33.75" customHeight="1" x14ac:dyDescent="0.25">
      <c r="A5" s="83" t="s">
        <v>131</v>
      </c>
      <c r="B5" s="65"/>
      <c r="C5" s="65"/>
      <c r="D5" s="65"/>
      <c r="E5" s="65"/>
      <c r="F5" s="65"/>
      <c r="G5" s="65"/>
      <c r="H5" s="65"/>
      <c r="I5" s="61"/>
      <c r="J5" s="61"/>
      <c r="K5" s="61"/>
      <c r="L5" s="61"/>
      <c r="M5" s="61"/>
      <c r="N5" s="61"/>
      <c r="O5" s="61"/>
      <c r="P5" s="61"/>
    </row>
    <row r="6" spans="1:23" x14ac:dyDescent="0.25">
      <c r="A6" s="13" t="s">
        <v>133</v>
      </c>
      <c r="B6" s="13"/>
      <c r="C6" s="13"/>
      <c r="E6" s="11"/>
      <c r="G6" s="11"/>
      <c r="H6" s="11"/>
      <c r="I6" s="11"/>
      <c r="J6" s="11"/>
      <c r="K6" s="11"/>
      <c r="L6" s="11"/>
      <c r="M6" s="11"/>
      <c r="N6" s="11"/>
      <c r="O6" s="11"/>
      <c r="P6" s="11"/>
    </row>
    <row r="7" spans="1:23" x14ac:dyDescent="0.25">
      <c r="A7" s="58" t="s">
        <v>125</v>
      </c>
      <c r="B7" s="11"/>
      <c r="C7" s="11"/>
      <c r="E7" s="11"/>
      <c r="F7" s="60"/>
      <c r="G7" s="11"/>
      <c r="H7" s="11"/>
      <c r="I7" s="11"/>
      <c r="J7" s="11"/>
      <c r="K7" s="11"/>
      <c r="L7" s="11"/>
      <c r="M7" s="11"/>
      <c r="N7" s="11"/>
      <c r="O7" s="11"/>
      <c r="P7" s="11"/>
    </row>
    <row r="8" spans="1:23" x14ac:dyDescent="0.25">
      <c r="A8" s="58" t="s">
        <v>126</v>
      </c>
      <c r="B8" s="11"/>
      <c r="C8" s="11"/>
      <c r="E8" s="11"/>
      <c r="F8" s="60"/>
      <c r="G8" s="11"/>
      <c r="H8" s="11"/>
      <c r="I8" s="11"/>
      <c r="J8" s="11"/>
      <c r="K8" s="11"/>
      <c r="L8" s="11"/>
      <c r="M8" s="11"/>
      <c r="N8" s="11"/>
      <c r="O8" s="11"/>
      <c r="P8" s="11"/>
    </row>
    <row r="9" spans="1:23" x14ac:dyDescent="0.25">
      <c r="A9" t="s">
        <v>132</v>
      </c>
    </row>
    <row r="10" spans="1:23" x14ac:dyDescent="0.25">
      <c r="A10" t="s">
        <v>154</v>
      </c>
      <c r="Q10" s="11"/>
      <c r="R10" s="11"/>
      <c r="S10" s="11"/>
      <c r="T10" s="11"/>
      <c r="U10" s="11"/>
    </row>
    <row r="11" spans="1:23" ht="60" x14ac:dyDescent="0.25">
      <c r="A11" s="28" t="s">
        <v>20</v>
      </c>
      <c r="B11" s="29" t="s">
        <v>24</v>
      </c>
      <c r="C11" s="28" t="s">
        <v>45</v>
      </c>
      <c r="D11" s="29" t="s">
        <v>36</v>
      </c>
      <c r="E11" s="29" t="s">
        <v>21</v>
      </c>
      <c r="F11" s="29" t="s">
        <v>23</v>
      </c>
      <c r="G11" s="29" t="s">
        <v>79</v>
      </c>
      <c r="H11" s="29" t="s">
        <v>80</v>
      </c>
      <c r="I11" s="29" t="s">
        <v>22</v>
      </c>
      <c r="J11" s="29" t="s">
        <v>44</v>
      </c>
      <c r="K11" s="29" t="s">
        <v>56</v>
      </c>
      <c r="L11" s="29" t="s">
        <v>57</v>
      </c>
      <c r="M11" s="29" t="s">
        <v>68</v>
      </c>
      <c r="N11" s="29" t="s">
        <v>76</v>
      </c>
      <c r="O11" s="29" t="s">
        <v>77</v>
      </c>
      <c r="P11" s="29" t="s">
        <v>78</v>
      </c>
      <c r="Q11" s="29" t="s">
        <v>65</v>
      </c>
      <c r="R11" s="29" t="s">
        <v>66</v>
      </c>
      <c r="S11" s="29" t="s">
        <v>67</v>
      </c>
      <c r="T11" s="29" t="s">
        <v>39</v>
      </c>
      <c r="U11" s="29" t="s">
        <v>40</v>
      </c>
      <c r="V11" s="29" t="s">
        <v>38</v>
      </c>
      <c r="W11" s="29" t="s">
        <v>37</v>
      </c>
    </row>
    <row r="12" spans="1:23" x14ac:dyDescent="0.25">
      <c r="A12" s="30" t="s">
        <v>46</v>
      </c>
      <c r="B12" s="30" t="s">
        <v>18</v>
      </c>
      <c r="C12" s="31">
        <v>2009</v>
      </c>
      <c r="D12" s="30" t="s">
        <v>11</v>
      </c>
      <c r="E12" s="32">
        <v>1</v>
      </c>
      <c r="F12" s="33">
        <v>2</v>
      </c>
      <c r="G12" s="34"/>
      <c r="H12" s="34"/>
      <c r="I12" s="35">
        <f>ExistingBMPs[[#This Row],[Drainage Area (ac)]]*ExistingBMPs[[#This Row],[Impervious (%)]]</f>
        <v>0.15</v>
      </c>
      <c r="J12" s="35">
        <f>IFERROR(MIN(ExistingBMPs[[#This Row],[Treatment Depth (in)]]*ExistingBMPs[[#This Row],[Drainage Area (ac)]]/ExistingBMPs[[#This Row],[Impervious Area (ac)]],2.5),NA())</f>
        <v>2.5</v>
      </c>
      <c r="K12" s="33"/>
      <c r="L12" s="35">
        <f>IF(ExistingBMPs[[#This Row],[Treatment Depth (in/imp. ac) Manual Override - use if no impervious area]]&gt;0,ExistingBMPs[[#This Row],[Treatment Depth (in/imp. ac) Manual Override - use if no impervious area]],ExistingBMPs[[#This Row],[Treatment Depth (in/imp. ac)]])</f>
        <v>2.5</v>
      </c>
      <c r="M12" s="36">
        <f>IF(ExistingBMPs[[#This Row],[BMP Type]]="Stream Restoration",NA(),IFERROR(INDEX(Impervious[#All],MATCH(ExistingBMPs[[#This Row],[MapShed Land Cover of Drainage Area]],Impervious[[#All],[Source]],0),4),0))</f>
        <v>0.15</v>
      </c>
      <c r="N12" s="37">
        <f>IF(ExistingBMPs[[#This Row],[BMP Type]]="Street Sweeping",ExistingBMPs[[#This Row],[Street Sweeping* Road Length Swept (ft) - Qualified projects only]]*Street_Sweeping[Road Width (ft)]/43560*INDEX(Loading_Rates[#All],MATCH(ExistingBMPs[[#This Row],[MapShed Land Cover of Drainage Area]],Loading_Rates[[#All],[Source]],0),2)*ExistingBMPs[[#This Row],[Impervious (%)]],IF(ExistingBMPs[[#This Row],[BMP Type]]="Stream Restoration",NA(),INDEX(Loading_Rates[#All],MATCH(ExistingBMPs[[#This Row],[MapShed Land Cover of Drainage Area]],Loading_Rates[[#All],[Source]],0),2)*ExistingBMPs[[#This Row],[Drainage Area (ac)]]))</f>
        <v>923.9</v>
      </c>
      <c r="O12" s="37">
        <f>IF(ExistingBMPs[[#This Row],[BMP Type]]="Street Sweeping",ExistingBMPs[[#This Row],[Street Sweeping* Road Length Swept (ft) - Qualified projects only]]*Street_Sweeping[Road Width (ft)]/43560*INDEX(Loading_Rates[#All],MATCH(ExistingBMPs[[#This Row],[MapShed Land Cover of Drainage Area]],Loading_Rates[[#All],[Source]],0),3)*ExistingBMPs[[#This Row],[Impervious (%)]],IF(ExistingBMPs[[#This Row],[BMP Type]]="Stream Restoration",NA(),INDEX(Loading_Rates[#All],MATCH(ExistingBMPs[[#This Row],[MapShed Land Cover of Drainage Area]],Loading_Rates[[#All],[Source]],0),3)*ExistingBMPs[[#This Row],[Drainage Area (ac)]]))</f>
        <v>0.5</v>
      </c>
      <c r="P12" s="37">
        <f>IF(ExistingBMPs[[#This Row],[BMP Type]]="Street Sweeping",ExistingBMPs[[#This Row],[Street Sweeping* Road Length Swept (ft) - Qualified projects only]]*Street_Sweeping[Road Width (ft)]/43560*INDEX(Loading_Rates[#All],MATCH(ExistingBMPs[[#This Row],[MapShed Land Cover of Drainage Area]],Loading_Rates[[#All],[Source]],0),4)*ExistingBMPs[[#This Row],[Impervious (%)]],IF(ExistingBMPs[[#This Row],[BMP Type]]="Stream Restoration",NA(),INDEX(Loading_Rates[#All],MATCH(ExistingBMPs[[#This Row],[MapShed Land Cover of Drainage Area]],Loading_Rates[[#All],[Source]],0),4)*ExistingBMPs[[#This Row],[Drainage Area (ac)]]))</f>
        <v>5</v>
      </c>
      <c r="Q12" s="36">
        <f>IF(ExistingBMPs[[#This Row],[BMP Type]]="RR",0.0326*ExistingBMPs[[#This Row],[Effective Treatment Depth (in/imp. ac)]]^5-0.2806*ExistingBMPs[[#This Row],[Effective Treatment Depth (in/imp. ac)]]^4+0.9816*ExistingBMPs[[#This Row],[Effective Treatment Depth (in/imp. ac)]]^3-1.8039*ExistingBMPs[[#This Row],[Effective Treatment Depth (in/imp. ac)]]^2+1.8292*ExistingBMPs[[#This Row],[Effective Treatment Depth (in/imp. ac)]]-0.0098,IF(ExistingBMPs[[#This Row],[BMP Type]]="ST",0.0304*ExistingBMPs[[#This Row],[Effective Treatment Depth (in/imp. ac)]]^5-0.2619*ExistingBMPs[[#This Row],[Effective Treatment Depth (in/imp. ac)]]^4+0.9161*ExistingBMPs[[#This Row],[Effective Treatment Depth (in/imp. ac)]]^3-1.6837*ExistingBMPs[[#This Row],[Effective Treatment Depth (in/imp. ac)]]^2+1.7072*ExistingBMPs[[#This Row],[Effective Treatment Depth (in/imp. ac)]]-0.0091,IF(ExistingBMPs[[#This Row],[BMP Type]]="Street Sweeping",Street_Sweeping[TSS Reduction (%)],IF(OR(ExistingBMPs[[#This Row],[BMP Type]]="Other",ExistingBMPs[[#This Row],[BMP Type]]="Stream Restoration"),0,1))))</f>
        <v>0.84898124999999891</v>
      </c>
      <c r="R12" s="36">
        <f>IF(ExistingBMPs[[#This Row],[BMP Type]]="RR",0.0304*ExistingBMPs[[#This Row],[Effective Treatment Depth (in/imp. ac)]]^5-0.2619*ExistingBMPs[[#This Row],[Effective Treatment Depth (in/imp. ac)]]^4+0.9161*ExistingBMPs[[#This Row],[Effective Treatment Depth (in/imp. ac)]]^3-1.6837*ExistingBMPs[[#This Row],[Effective Treatment Depth (in/imp. ac)]]^2+1.7072*ExistingBMPs[[#This Row],[Effective Treatment Depth (in/imp. ac)]]-0.0091,IF(ExistingBMPs[[#This Row],[BMP Type]]="ST",0.0239*ExistingBMPs[[#This Row],[Effective Treatment Depth (in/imp. ac)]]^5-0.2058*ExistingBMPs[[#This Row],[Effective Treatment Depth (in/imp. ac)]]^4+0.7198*ExistingBMPs[[#This Row],[Effective Treatment Depth (in/imp. ac)]]^3-1.3229*ExistingBMPs[[#This Row],[Effective Treatment Depth (in/imp. ac)]]^2+1.3414*ExistingBMPs[[#This Row],[Effective Treatment Depth (in/imp. ac)]]-0.0072,IF(ExistingBMPs[[#This Row],[BMP Type]]="Street Sweeping",Street_Sweeping[TP Reduction (%)],IF(OR(ExistingBMPs[[#This Row],[BMP Type]]="Other",ExistingBMPs[[#This Row],[BMP Type]]="Stream Restoration"),0,1))))</f>
        <v>0.78811874999999987</v>
      </c>
      <c r="S12" s="36">
        <f>IF(ExistingBMPs[[#This Row],[BMP Type]]="RR",0.0308*ExistingBMPs[[#This Row],[Effective Treatment Depth (in/imp. ac)]]^5-0.2562*ExistingBMPs[[#This Row],[Effective Treatment Depth (in/imp. ac)]]^4+0.8634*ExistingBMPs[[#This Row],[Effective Treatment Depth (in/imp. ac)]]^3-1.5285*ExistingBMPs[[#This Row],[Effective Treatment Depth (in/imp. ac)]]^2+1.501*ExistingBMPs[[#This Row],[Effective Treatment Depth (in/imp. ac)]]-0.013,IF(ExistingBMPs[[#This Row],[BMP Type]]="ST",0.0152*ExistingBMPs[[#This Row],[Effective Treatment Depth (in/imp. ac)]]^5-0.131*ExistingBMPs[[#This Row],[Effective Treatment Depth (in/imp. ac)]]^4+0.4581*ExistingBMPs[[#This Row],[Effective Treatment Depth (in/imp. ac)]]^3-0.8418*ExistingBMPs[[#This Row],[Effective Treatment Depth (in/imp. ac)]]^2+0.8536*ExistingBMPs[[#This Row],[Effective Treatment Depth (in/imp. ac)]]-0.0046,IF(ExistingBMPs[[#This Row],[BMP Type]]="Street Sweeping",Street_Sweeping[TN Reduction (%)],IF(OR(ExistingBMPs[[#This Row],[BMP Type]]="Other",ExistingBMPs[[#This Row],[BMP Type]]="Stream Restoration"),0,1))))</f>
        <v>0.67699999999999949</v>
      </c>
      <c r="T12" s="37">
        <f>IF(ExistingBMPs[[#This Row],[TSS Reduction (%)]]&gt;0,IF(ExistingBMPs[[#This Row],[BMP Type]]="Street Sweeping",ExistingBMPs[[#This Row],[TSS Load (lbs/yr)]]*ExistingBMPs[[#This Row],[TSS Reduction (%)]],INDEX(Loading_Rates[#All],MATCH(ExistingBMPs[[#This Row],[MapShed Land Cover of Drainage Area]],Loading_Rates[[#All],[Source]],0),2)*ExistingBMPs[[#This Row],[Drainage Area (ac)]]*ExistingBMPs[[#This Row],[TSS Reduction (%)]]),IF(ExistingBMPs[[#This Row],[BMP Type]]="Stream Restoration",Stream_Nutrients[TSS (lbs/ft/yr)]*ExistingBMPs[[#This Row],[Stream Restoration* Length (ft) - Qualified projects only]],0))</f>
        <v>784.37377687499895</v>
      </c>
      <c r="U12" s="37">
        <f>ExistingBMPs[[#This Row],[TSS Reduction (lbs/yr)]]/2000</f>
        <v>0.39218688843749949</v>
      </c>
      <c r="V12" s="37">
        <f>IF(ExistingBMPs[[#This Row],[TP Reduction (%)]]&gt;0,IF(ExistingBMPs[[#This Row],[BMP Type]]="Street Sweeping",ExistingBMPs[[#This Row],[TP Load (lbs/yr)]]*ExistingBMPs[[#This Row],[TP Reduction (%)]],INDEX(Loading_Rates[#All],MATCH(ExistingBMPs[[#This Row],[MapShed Land Cover of Drainage Area]],Loading_Rates[[#All],[Source]],0),3)*ExistingBMPs[[#This Row],[Drainage Area (ac)]]*ExistingBMPs[[#This Row],[TP Reduction (%)]]),IF(ExistingBMPs[[#This Row],[BMP Type]]="Stream Restoration",Stream_Nutrients[TP (lbs/ft/yr)]*ExistingBMPs[[#This Row],[Stream Restoration* Length (ft) - Qualified projects only]],0))</f>
        <v>0.39405937499999993</v>
      </c>
      <c r="W12" s="37">
        <f>IF(ExistingBMPs[[#This Row],[TN Reduction (%)]]&gt;0,IF(ExistingBMPs[[#This Row],[BMP Type]]="Street Sweeping",ExistingBMPs[[#This Row],[TN Load (lbs/yr)]]*ExistingBMPs[[#This Row],[TN Reduction (%)]],INDEX(Loading_Rates[#All],MATCH(ExistingBMPs[[#This Row],[MapShed Land Cover of Drainage Area]],Loading_Rates[[#All],[Source]],0),4)*ExistingBMPs[[#This Row],[Drainage Area (ac)]]*ExistingBMPs[[#This Row],[TN Reduction (%)]]),IF(ExistingBMPs[[#This Row],[BMP Type]]="Stream Restoration",Stream_Nutrients[TN (lbs/ft/yr)]*ExistingBMPs[[#This Row],[Stream Restoration* Length (ft) - Qualified projects only]],0))</f>
        <v>3.3849999999999976</v>
      </c>
    </row>
    <row r="13" spans="1:23" x14ac:dyDescent="0.25">
      <c r="A13" s="30" t="s">
        <v>48</v>
      </c>
      <c r="B13" s="30" t="s">
        <v>19</v>
      </c>
      <c r="C13" s="31">
        <v>2015</v>
      </c>
      <c r="D13" s="30" t="s">
        <v>12</v>
      </c>
      <c r="E13" s="32">
        <v>32</v>
      </c>
      <c r="F13" s="33">
        <v>2</v>
      </c>
      <c r="G13" s="34"/>
      <c r="H13" s="34"/>
      <c r="I13" s="35">
        <f>ExistingBMPs[[#This Row],[Drainage Area (ac)]]*ExistingBMPs[[#This Row],[Impervious (%)]]</f>
        <v>16.64</v>
      </c>
      <c r="J13" s="35">
        <f>IFERROR(MIN(ExistingBMPs[[#This Row],[Treatment Depth (in)]]*ExistingBMPs[[#This Row],[Drainage Area (ac)]]/ExistingBMPs[[#This Row],[Impervious Area (ac)]],2.5),NA())</f>
        <v>2.5</v>
      </c>
      <c r="K13" s="33"/>
      <c r="L13" s="35">
        <f>IF(ExistingBMPs[[#This Row],[Treatment Depth (in/imp. ac) Manual Override - use if no impervious area]]&gt;0,ExistingBMPs[[#This Row],[Treatment Depth (in/imp. ac) Manual Override - use if no impervious area]],ExistingBMPs[[#This Row],[Treatment Depth (in/imp. ac)]])</f>
        <v>2.5</v>
      </c>
      <c r="M13" s="36">
        <f>IF(ExistingBMPs[[#This Row],[BMP Type]]="Stream Restoration",NA(),IFERROR(INDEX(Impervious[#All],MATCH(ExistingBMPs[[#This Row],[MapShed Land Cover of Drainage Area]],Impervious[[#All],[Source]],0),4),0))</f>
        <v>0.52</v>
      </c>
      <c r="N13" s="37">
        <f>IF(ExistingBMPs[[#This Row],[BMP Type]]="Street Sweeping",ExistingBMPs[[#This Row],[Street Sweeping* Road Length Swept (ft) - Qualified projects only]]*Street_Sweeping[Road Width (ft)]/43560*INDEX(Loading_Rates[#All],MATCH(ExistingBMPs[[#This Row],[MapShed Land Cover of Drainage Area]],Loading_Rates[[#All],[Source]],0),2)*ExistingBMPs[[#This Row],[Impervious (%)]],IF(ExistingBMPs[[#This Row],[BMP Type]]="Stream Restoration",NA(),INDEX(Loading_Rates[#All],MATCH(ExistingBMPs[[#This Row],[MapShed Land Cover of Drainage Area]],Loading_Rates[[#All],[Source]],0),2)*ExistingBMPs[[#This Row],[Drainage Area (ac)]]))</f>
        <v>53840</v>
      </c>
      <c r="O13" s="37">
        <f>IF(ExistingBMPs[[#This Row],[BMP Type]]="Street Sweeping",ExistingBMPs[[#This Row],[Street Sweeping* Road Length Swept (ft) - Qualified projects only]]*Street_Sweeping[Road Width (ft)]/43560*INDEX(Loading_Rates[#All],MATCH(ExistingBMPs[[#This Row],[MapShed Land Cover of Drainage Area]],Loading_Rates[[#All],[Source]],0),3)*ExistingBMPs[[#This Row],[Impervious (%)]],IF(ExistingBMPs[[#This Row],[BMP Type]]="Stream Restoration",NA(),INDEX(Loading_Rates[#All],MATCH(ExistingBMPs[[#This Row],[MapShed Land Cover of Drainage Area]],Loading_Rates[[#All],[Source]],0),3)*ExistingBMPs[[#This Row],[Drainage Area (ac)]]))</f>
        <v>16</v>
      </c>
      <c r="P13" s="37">
        <f>IF(ExistingBMPs[[#This Row],[BMP Type]]="Street Sweeping",ExistingBMPs[[#This Row],[Street Sweeping* Road Length Swept (ft) - Qualified projects only]]*Street_Sweeping[Road Width (ft)]/43560*INDEX(Loading_Rates[#All],MATCH(ExistingBMPs[[#This Row],[MapShed Land Cover of Drainage Area]],Loading_Rates[[#All],[Source]],0),4)*ExistingBMPs[[#This Row],[Impervious (%)]],IF(ExistingBMPs[[#This Row],[BMP Type]]="Stream Restoration",NA(),INDEX(Loading_Rates[#All],MATCH(ExistingBMPs[[#This Row],[MapShed Land Cover of Drainage Area]],Loading_Rates[[#All],[Source]],0),4)*ExistingBMPs[[#This Row],[Drainage Area (ac)]]))</f>
        <v>160</v>
      </c>
      <c r="Q13" s="36">
        <f>IF(ExistingBMPs[[#This Row],[BMP Type]]="RR",0.0326*ExistingBMPs[[#This Row],[Effective Treatment Depth (in/imp. ac)]]^5-0.2806*ExistingBMPs[[#This Row],[Effective Treatment Depth (in/imp. ac)]]^4+0.9816*ExistingBMPs[[#This Row],[Effective Treatment Depth (in/imp. ac)]]^3-1.8039*ExistingBMPs[[#This Row],[Effective Treatment Depth (in/imp. ac)]]^2+1.8292*ExistingBMPs[[#This Row],[Effective Treatment Depth (in/imp. ac)]]-0.0098,IF(ExistingBMPs[[#This Row],[BMP Type]]="ST",0.0304*ExistingBMPs[[#This Row],[Effective Treatment Depth (in/imp. ac)]]^5-0.2619*ExistingBMPs[[#This Row],[Effective Treatment Depth (in/imp. ac)]]^4+0.9161*ExistingBMPs[[#This Row],[Effective Treatment Depth (in/imp. ac)]]^3-1.6837*ExistingBMPs[[#This Row],[Effective Treatment Depth (in/imp. ac)]]^2+1.7072*ExistingBMPs[[#This Row],[Effective Treatment Depth (in/imp. ac)]]-0.0091,IF(ExistingBMPs[[#This Row],[BMP Type]]="Street Sweeping",Street_Sweeping[TSS Reduction (%)],IF(OR(ExistingBMPs[[#This Row],[BMP Type]]="Other",ExistingBMPs[[#This Row],[BMP Type]]="Stream Restoration"),0,1))))</f>
        <v>0.78811874999999987</v>
      </c>
      <c r="R13" s="36">
        <f>IF(ExistingBMPs[[#This Row],[BMP Type]]="RR",0.0304*ExistingBMPs[[#This Row],[Effective Treatment Depth (in/imp. ac)]]^5-0.2619*ExistingBMPs[[#This Row],[Effective Treatment Depth (in/imp. ac)]]^4+0.9161*ExistingBMPs[[#This Row],[Effective Treatment Depth (in/imp. ac)]]^3-1.6837*ExistingBMPs[[#This Row],[Effective Treatment Depth (in/imp. ac)]]^2+1.7072*ExistingBMPs[[#This Row],[Effective Treatment Depth (in/imp. ac)]]-0.0091,IF(ExistingBMPs[[#This Row],[BMP Type]]="ST",0.0239*ExistingBMPs[[#This Row],[Effective Treatment Depth (in/imp. ac)]]^5-0.2058*ExistingBMPs[[#This Row],[Effective Treatment Depth (in/imp. ac)]]^4+0.7198*ExistingBMPs[[#This Row],[Effective Treatment Depth (in/imp. ac)]]^3-1.3229*ExistingBMPs[[#This Row],[Effective Treatment Depth (in/imp. ac)]]^2+1.3414*ExistingBMPs[[#This Row],[Effective Treatment Depth (in/imp. ac)]]-0.0072,IF(ExistingBMPs[[#This Row],[BMP Type]]="Street Sweeping",Street_Sweeping[TP Reduction (%)],IF(OR(ExistingBMPs[[#This Row],[BMP Type]]="Other",ExistingBMPs[[#This Row],[BMP Type]]="Stream Restoration"),0,1))))</f>
        <v>0.61997187499999973</v>
      </c>
      <c r="S13" s="36">
        <f>IF(ExistingBMPs[[#This Row],[BMP Type]]="RR",0.0308*ExistingBMPs[[#This Row],[Effective Treatment Depth (in/imp. ac)]]^5-0.2562*ExistingBMPs[[#This Row],[Effective Treatment Depth (in/imp. ac)]]^4+0.8634*ExistingBMPs[[#This Row],[Effective Treatment Depth (in/imp. ac)]]^3-1.5285*ExistingBMPs[[#This Row],[Effective Treatment Depth (in/imp. ac)]]^2+1.501*ExistingBMPs[[#This Row],[Effective Treatment Depth (in/imp. ac)]]-0.013,IF(ExistingBMPs[[#This Row],[BMP Type]]="ST",0.0152*ExistingBMPs[[#This Row],[Effective Treatment Depth (in/imp. ac)]]^5-0.131*ExistingBMPs[[#This Row],[Effective Treatment Depth (in/imp. ac)]]^4+0.4581*ExistingBMPs[[#This Row],[Effective Treatment Depth (in/imp. ac)]]^3-0.8418*ExistingBMPs[[#This Row],[Effective Treatment Depth (in/imp. ac)]]^2+0.8536*ExistingBMPs[[#This Row],[Effective Treatment Depth (in/imp. ac)]]-0.0046,IF(ExistingBMPs[[#This Row],[BMP Type]]="Street Sweeping",Street_Sweeping[TN Reduction (%)],IF(OR(ExistingBMPs[[#This Row],[BMP Type]]="Other",ExistingBMPs[[#This Row],[BMP Type]]="Stream Restoration"),0,1))))</f>
        <v>0.39315000000000072</v>
      </c>
      <c r="T13" s="37">
        <f>IF(ExistingBMPs[[#This Row],[TSS Reduction (%)]]&gt;0,IF(ExistingBMPs[[#This Row],[BMP Type]]="Street Sweeping",ExistingBMPs[[#This Row],[TSS Load (lbs/yr)]]*ExistingBMPs[[#This Row],[TSS Reduction (%)]],INDEX(Loading_Rates[#All],MATCH(ExistingBMPs[[#This Row],[MapShed Land Cover of Drainage Area]],Loading_Rates[[#All],[Source]],0),2)*ExistingBMPs[[#This Row],[Drainage Area (ac)]]*ExistingBMPs[[#This Row],[TSS Reduction (%)]]),IF(ExistingBMPs[[#This Row],[BMP Type]]="Stream Restoration",Stream_Nutrients[TSS (lbs/ft/yr)]*ExistingBMPs[[#This Row],[Stream Restoration* Length (ft) - Qualified projects only]],0))</f>
        <v>42432.313499999989</v>
      </c>
      <c r="U13" s="37">
        <f>ExistingBMPs[[#This Row],[TSS Reduction (lbs/yr)]]/2000</f>
        <v>21.216156749999996</v>
      </c>
      <c r="V13" s="37">
        <f>IF(ExistingBMPs[[#This Row],[TP Reduction (%)]]&gt;0,IF(ExistingBMPs[[#This Row],[BMP Type]]="Street Sweeping",ExistingBMPs[[#This Row],[TP Load (lbs/yr)]]*ExistingBMPs[[#This Row],[TP Reduction (%)]],INDEX(Loading_Rates[#All],MATCH(ExistingBMPs[[#This Row],[MapShed Land Cover of Drainage Area]],Loading_Rates[[#All],[Source]],0),3)*ExistingBMPs[[#This Row],[Drainage Area (ac)]]*ExistingBMPs[[#This Row],[TP Reduction (%)]]),IF(ExistingBMPs[[#This Row],[BMP Type]]="Stream Restoration",Stream_Nutrients[TP (lbs/ft/yr)]*ExistingBMPs[[#This Row],[Stream Restoration* Length (ft) - Qualified projects only]],0))</f>
        <v>9.9195499999999956</v>
      </c>
      <c r="W13" s="37">
        <f>IF(ExistingBMPs[[#This Row],[TN Reduction (%)]]&gt;0,IF(ExistingBMPs[[#This Row],[BMP Type]]="Street Sweeping",ExistingBMPs[[#This Row],[TN Load (lbs/yr)]]*ExistingBMPs[[#This Row],[TN Reduction (%)]],INDEX(Loading_Rates[#All],MATCH(ExistingBMPs[[#This Row],[MapShed Land Cover of Drainage Area]],Loading_Rates[[#All],[Source]],0),4)*ExistingBMPs[[#This Row],[Drainage Area (ac)]]*ExistingBMPs[[#This Row],[TN Reduction (%)]]),IF(ExistingBMPs[[#This Row],[BMP Type]]="Stream Restoration",Stream_Nutrients[TN (lbs/ft/yr)]*ExistingBMPs[[#This Row],[Stream Restoration* Length (ft) - Qualified projects only]],0))</f>
        <v>62.904000000000117</v>
      </c>
    </row>
    <row r="14" spans="1:23" x14ac:dyDescent="0.25">
      <c r="A14" s="30" t="s">
        <v>32</v>
      </c>
      <c r="B14" s="30" t="s">
        <v>18</v>
      </c>
      <c r="C14" s="31">
        <v>2010</v>
      </c>
      <c r="D14" s="30" t="s">
        <v>13</v>
      </c>
      <c r="E14" s="32">
        <v>6</v>
      </c>
      <c r="F14" s="33">
        <v>2</v>
      </c>
      <c r="G14" s="34"/>
      <c r="H14" s="34"/>
      <c r="I14" s="35">
        <f>ExistingBMPs[[#This Row],[Drainage Area (ac)]]*ExistingBMPs[[#This Row],[Impervious (%)]]</f>
        <v>5.22</v>
      </c>
      <c r="J14" s="35">
        <f>IFERROR(MIN(ExistingBMPs[[#This Row],[Treatment Depth (in)]]*ExistingBMPs[[#This Row],[Drainage Area (ac)]]/ExistingBMPs[[#This Row],[Impervious Area (ac)]],2.5),NA())</f>
        <v>2.298850574712644</v>
      </c>
      <c r="K14" s="33"/>
      <c r="L14" s="35">
        <f>IF(ExistingBMPs[[#This Row],[Treatment Depth (in/imp. ac) Manual Override - use if no impervious area]]&gt;0,ExistingBMPs[[#This Row],[Treatment Depth (in/imp. ac) Manual Override - use if no impervious area]],ExistingBMPs[[#This Row],[Treatment Depth (in/imp. ac)]])</f>
        <v>2.298850574712644</v>
      </c>
      <c r="M14" s="36">
        <f>IF(ExistingBMPs[[#This Row],[BMP Type]]="Stream Restoration",NA(),IFERROR(INDEX(Impervious[#All],MATCH(ExistingBMPs[[#This Row],[MapShed Land Cover of Drainage Area]],Impervious[[#All],[Source]],0),4),0))</f>
        <v>0.87</v>
      </c>
      <c r="N14" s="37">
        <f>IF(ExistingBMPs[[#This Row],[BMP Type]]="Street Sweeping",ExistingBMPs[[#This Row],[Street Sweeping* Road Length Swept (ft) - Qualified projects only]]*Street_Sweeping[Road Width (ft)]/43560*INDEX(Loading_Rates[#All],MATCH(ExistingBMPs[[#This Row],[MapShed Land Cover of Drainage Area]],Loading_Rates[[#All],[Source]],0),2)*ExistingBMPs[[#This Row],[Impervious (%)]],IF(ExistingBMPs[[#This Row],[BMP Type]]="Stream Restoration",NA(),INDEX(Loading_Rates[#All],MATCH(ExistingBMPs[[#This Row],[MapShed Land Cover of Drainage Area]],Loading_Rates[[#All],[Source]],0),2)*ExistingBMPs[[#This Row],[Drainage Area (ac)]]))</f>
        <v>14217</v>
      </c>
      <c r="O14" s="37">
        <f>IF(ExistingBMPs[[#This Row],[BMP Type]]="Street Sweeping",ExistingBMPs[[#This Row],[Street Sweeping* Road Length Swept (ft) - Qualified projects only]]*Street_Sweeping[Road Width (ft)]/43560*INDEX(Loading_Rates[#All],MATCH(ExistingBMPs[[#This Row],[MapShed Land Cover of Drainage Area]],Loading_Rates[[#All],[Source]],0),3)*ExistingBMPs[[#This Row],[Impervious (%)]],IF(ExistingBMPs[[#This Row],[BMP Type]]="Stream Restoration",NA(),INDEX(Loading_Rates[#All],MATCH(ExistingBMPs[[#This Row],[MapShed Land Cover of Drainage Area]],Loading_Rates[[#All],[Source]],0),3)*ExistingBMPs[[#This Row],[Drainage Area (ac)]]))</f>
        <v>3</v>
      </c>
      <c r="P14" s="37">
        <f>IF(ExistingBMPs[[#This Row],[BMP Type]]="Street Sweeping",ExistingBMPs[[#This Row],[Street Sweeping* Road Length Swept (ft) - Qualified projects only]]*Street_Sweeping[Road Width (ft)]/43560*INDEX(Loading_Rates[#All],MATCH(ExistingBMPs[[#This Row],[MapShed Land Cover of Drainage Area]],Loading_Rates[[#All],[Source]],0),4)*ExistingBMPs[[#This Row],[Impervious (%)]],IF(ExistingBMPs[[#This Row],[BMP Type]]="Stream Restoration",NA(),INDEX(Loading_Rates[#All],MATCH(ExistingBMPs[[#This Row],[MapShed Land Cover of Drainage Area]],Loading_Rates[[#All],[Source]],0),4)*ExistingBMPs[[#This Row],[Drainage Area (ac)]]))</f>
        <v>30</v>
      </c>
      <c r="Q14" s="36">
        <f>IF(ExistingBMPs[[#This Row],[BMP Type]]="RR",0.0326*ExistingBMPs[[#This Row],[Effective Treatment Depth (in/imp. ac)]]^5-0.2806*ExistingBMPs[[#This Row],[Effective Treatment Depth (in/imp. ac)]]^4+0.9816*ExistingBMPs[[#This Row],[Effective Treatment Depth (in/imp. ac)]]^3-1.8039*ExistingBMPs[[#This Row],[Effective Treatment Depth (in/imp. ac)]]^2+1.8292*ExistingBMPs[[#This Row],[Effective Treatment Depth (in/imp. ac)]]-0.0098,IF(ExistingBMPs[[#This Row],[BMP Type]]="ST",0.0304*ExistingBMPs[[#This Row],[Effective Treatment Depth (in/imp. ac)]]^5-0.2619*ExistingBMPs[[#This Row],[Effective Treatment Depth (in/imp. ac)]]^4+0.9161*ExistingBMPs[[#This Row],[Effective Treatment Depth (in/imp. ac)]]^3-1.6837*ExistingBMPs[[#This Row],[Effective Treatment Depth (in/imp. ac)]]^2+1.7072*ExistingBMPs[[#This Row],[Effective Treatment Depth (in/imp. ac)]]-0.0091,IF(ExistingBMPs[[#This Row],[BMP Type]]="Street Sweeping",Street_Sweeping[TSS Reduction (%)],IF(OR(ExistingBMPs[[#This Row],[BMP Type]]="Other",ExistingBMPs[[#This Row],[BMP Type]]="Stream Restoration"),0,1))))</f>
        <v>0.84374902243371985</v>
      </c>
      <c r="R14" s="36">
        <f>IF(ExistingBMPs[[#This Row],[BMP Type]]="RR",0.0304*ExistingBMPs[[#This Row],[Effective Treatment Depth (in/imp. ac)]]^5-0.2619*ExistingBMPs[[#This Row],[Effective Treatment Depth (in/imp. ac)]]^4+0.9161*ExistingBMPs[[#This Row],[Effective Treatment Depth (in/imp. ac)]]^3-1.6837*ExistingBMPs[[#This Row],[Effective Treatment Depth (in/imp. ac)]]^2+1.7072*ExistingBMPs[[#This Row],[Effective Treatment Depth (in/imp. ac)]]-0.0091,IF(ExistingBMPs[[#This Row],[BMP Type]]="ST",0.0239*ExistingBMPs[[#This Row],[Effective Treatment Depth (in/imp. ac)]]^5-0.2058*ExistingBMPs[[#This Row],[Effective Treatment Depth (in/imp. ac)]]^4+0.7198*ExistingBMPs[[#This Row],[Effective Treatment Depth (in/imp. ac)]]^3-1.3229*ExistingBMPs[[#This Row],[Effective Treatment Depth (in/imp. ac)]]^2+1.3414*ExistingBMPs[[#This Row],[Effective Treatment Depth (in/imp. ac)]]-0.0072,IF(ExistingBMPs[[#This Row],[BMP Type]]="Street Sweeping",Street_Sweeping[TP Reduction (%)],IF(OR(ExistingBMPs[[#This Row],[BMP Type]]="Other",ExistingBMPs[[#This Row],[BMP Type]]="Stream Restoration"),0,1))))</f>
        <v>0.78447887832736918</v>
      </c>
      <c r="S14" s="36">
        <f>IF(ExistingBMPs[[#This Row],[BMP Type]]="RR",0.0308*ExistingBMPs[[#This Row],[Effective Treatment Depth (in/imp. ac)]]^5-0.2562*ExistingBMPs[[#This Row],[Effective Treatment Depth (in/imp. ac)]]^4+0.8634*ExistingBMPs[[#This Row],[Effective Treatment Depth (in/imp. ac)]]^3-1.5285*ExistingBMPs[[#This Row],[Effective Treatment Depth (in/imp. ac)]]^2+1.501*ExistingBMPs[[#This Row],[Effective Treatment Depth (in/imp. ac)]]-0.013,IF(ExistingBMPs[[#This Row],[BMP Type]]="ST",0.0152*ExistingBMPs[[#This Row],[Effective Treatment Depth (in/imp. ac)]]^5-0.131*ExistingBMPs[[#This Row],[Effective Treatment Depth (in/imp. ac)]]^4+0.4581*ExistingBMPs[[#This Row],[Effective Treatment Depth (in/imp. ac)]]^3-0.8418*ExistingBMPs[[#This Row],[Effective Treatment Depth (in/imp. ac)]]^2+0.8536*ExistingBMPs[[#This Row],[Effective Treatment Depth (in/imp. ac)]]-0.0046,IF(ExistingBMPs[[#This Row],[BMP Type]]="Street Sweeping",Street_Sweeping[TN Reduction (%)],IF(OR(ExistingBMPs[[#This Row],[BMP Type]]="Other",ExistingBMPs[[#This Row],[BMP Type]]="Stream Restoration"),0,1))))</f>
        <v>0.67137529215454383</v>
      </c>
      <c r="T14" s="37">
        <f>IF(ExistingBMPs[[#This Row],[TSS Reduction (%)]]&gt;0,IF(ExistingBMPs[[#This Row],[BMP Type]]="Street Sweeping",ExistingBMPs[[#This Row],[TSS Load (lbs/yr)]]*ExistingBMPs[[#This Row],[TSS Reduction (%)]],INDEX(Loading_Rates[#All],MATCH(ExistingBMPs[[#This Row],[MapShed Land Cover of Drainage Area]],Loading_Rates[[#All],[Source]],0),2)*ExistingBMPs[[#This Row],[Drainage Area (ac)]]*ExistingBMPs[[#This Row],[TSS Reduction (%)]]),IF(ExistingBMPs[[#This Row],[BMP Type]]="Stream Restoration",Stream_Nutrients[TSS (lbs/ft/yr)]*ExistingBMPs[[#This Row],[Stream Restoration* Length (ft) - Qualified projects only]],0))</f>
        <v>11995.579851940196</v>
      </c>
      <c r="U14" s="37">
        <f>ExistingBMPs[[#This Row],[TSS Reduction (lbs/yr)]]/2000</f>
        <v>5.997789925970098</v>
      </c>
      <c r="V14" s="37">
        <f>IF(ExistingBMPs[[#This Row],[TP Reduction (%)]]&gt;0,IF(ExistingBMPs[[#This Row],[BMP Type]]="Street Sweeping",ExistingBMPs[[#This Row],[TP Load (lbs/yr)]]*ExistingBMPs[[#This Row],[TP Reduction (%)]],INDEX(Loading_Rates[#All],MATCH(ExistingBMPs[[#This Row],[MapShed Land Cover of Drainage Area]],Loading_Rates[[#All],[Source]],0),3)*ExistingBMPs[[#This Row],[Drainage Area (ac)]]*ExistingBMPs[[#This Row],[TP Reduction (%)]]),IF(ExistingBMPs[[#This Row],[BMP Type]]="Stream Restoration",Stream_Nutrients[TP (lbs/ft/yr)]*ExistingBMPs[[#This Row],[Stream Restoration* Length (ft) - Qualified projects only]],0))</f>
        <v>2.3534366349821076</v>
      </c>
      <c r="W14" s="37">
        <f>IF(ExistingBMPs[[#This Row],[TN Reduction (%)]]&gt;0,IF(ExistingBMPs[[#This Row],[BMP Type]]="Street Sweeping",ExistingBMPs[[#This Row],[TN Load (lbs/yr)]]*ExistingBMPs[[#This Row],[TN Reduction (%)]],INDEX(Loading_Rates[#All],MATCH(ExistingBMPs[[#This Row],[MapShed Land Cover of Drainage Area]],Loading_Rates[[#All],[Source]],0),4)*ExistingBMPs[[#This Row],[Drainage Area (ac)]]*ExistingBMPs[[#This Row],[TN Reduction (%)]]),IF(ExistingBMPs[[#This Row],[BMP Type]]="Stream Restoration",Stream_Nutrients[TN (lbs/ft/yr)]*ExistingBMPs[[#This Row],[Stream Restoration* Length (ft) - Qualified projects only]],0))</f>
        <v>20.141258764636316</v>
      </c>
    </row>
    <row r="15" spans="1:23" x14ac:dyDescent="0.25">
      <c r="A15" s="30" t="s">
        <v>58</v>
      </c>
      <c r="B15" s="30" t="s">
        <v>18</v>
      </c>
      <c r="C15" s="31">
        <v>2010</v>
      </c>
      <c r="D15" s="30" t="s">
        <v>2</v>
      </c>
      <c r="E15" s="32">
        <v>3</v>
      </c>
      <c r="F15" s="33">
        <v>1</v>
      </c>
      <c r="G15" s="34"/>
      <c r="H15" s="34"/>
      <c r="I15" s="35">
        <f>ExistingBMPs[[#This Row],[Drainage Area (ac)]]*ExistingBMPs[[#This Row],[Impervious (%)]]</f>
        <v>0</v>
      </c>
      <c r="J15" s="35" t="e">
        <f>IFERROR(MIN(ExistingBMPs[[#This Row],[Treatment Depth (in)]]*ExistingBMPs[[#This Row],[Drainage Area (ac)]]/ExistingBMPs[[#This Row],[Impervious Area (ac)]],2.5),NA())</f>
        <v>#N/A</v>
      </c>
      <c r="K15" s="33"/>
      <c r="L15" s="35" t="e">
        <f>IF(ExistingBMPs[[#This Row],[Treatment Depth (in/imp. ac) Manual Override - use if no impervious area]]&gt;0,ExistingBMPs[[#This Row],[Treatment Depth (in/imp. ac) Manual Override - use if no impervious area]],ExistingBMPs[[#This Row],[Treatment Depth (in/imp. ac)]])</f>
        <v>#N/A</v>
      </c>
      <c r="M15" s="36">
        <f>IF(ExistingBMPs[[#This Row],[BMP Type]]="Stream Restoration",NA(),IFERROR(INDEX(Impervious[#All],MATCH(ExistingBMPs[[#This Row],[MapShed Land Cover of Drainage Area]],Impervious[[#All],[Source]],0),4),0))</f>
        <v>0</v>
      </c>
      <c r="N15" s="37">
        <f>IF(ExistingBMPs[[#This Row],[BMP Type]]="Street Sweeping",ExistingBMPs[[#This Row],[Street Sweeping* Road Length Swept (ft) - Qualified projects only]]*Street_Sweeping[Road Width (ft)]/43560*INDEX(Loading_Rates[#All],MATCH(ExistingBMPs[[#This Row],[MapShed Land Cover of Drainage Area]],Loading_Rates[[#All],[Source]],0),2)*ExistingBMPs[[#This Row],[Impervious (%)]],IF(ExistingBMPs[[#This Row],[BMP Type]]="Stream Restoration",NA(),INDEX(Loading_Rates[#All],MATCH(ExistingBMPs[[#This Row],[MapShed Land Cover of Drainage Area]],Loading_Rates[[#All],[Source]],0),2)*ExistingBMPs[[#This Row],[Drainage Area (ac)]]))</f>
        <v>3350.1000000000004</v>
      </c>
      <c r="O15" s="37">
        <f>IF(ExistingBMPs[[#This Row],[BMP Type]]="Street Sweeping",ExistingBMPs[[#This Row],[Street Sweeping* Road Length Swept (ft) - Qualified projects only]]*Street_Sweeping[Road Width (ft)]/43560*INDEX(Loading_Rates[#All],MATCH(ExistingBMPs[[#This Row],[MapShed Land Cover of Drainage Area]],Loading_Rates[[#All],[Source]],0),3)*ExistingBMPs[[#This Row],[Impervious (%)]],IF(ExistingBMPs[[#This Row],[BMP Type]]="Stream Restoration",NA(),INDEX(Loading_Rates[#All],MATCH(ExistingBMPs[[#This Row],[MapShed Land Cover of Drainage Area]],Loading_Rates[[#All],[Source]],0),3)*ExistingBMPs[[#This Row],[Drainage Area (ac)]]))</f>
        <v>0</v>
      </c>
      <c r="P15" s="37">
        <f>IF(ExistingBMPs[[#This Row],[BMP Type]]="Street Sweeping",ExistingBMPs[[#This Row],[Street Sweeping* Road Length Swept (ft) - Qualified projects only]]*Street_Sweeping[Road Width (ft)]/43560*INDEX(Loading_Rates[#All],MATCH(ExistingBMPs[[#This Row],[MapShed Land Cover of Drainage Area]],Loading_Rates[[#All],[Source]],0),4)*ExistingBMPs[[#This Row],[Impervious (%)]],IF(ExistingBMPs[[#This Row],[BMP Type]]="Stream Restoration",NA(),INDEX(Loading_Rates[#All],MATCH(ExistingBMPs[[#This Row],[MapShed Land Cover of Drainage Area]],Loading_Rates[[#All],[Source]],0),4)*ExistingBMPs[[#This Row],[Drainage Area (ac)]]))</f>
        <v>0</v>
      </c>
      <c r="Q15" s="36" t="e">
        <f>IF(ExistingBMPs[[#This Row],[BMP Type]]="RR",0.0326*ExistingBMPs[[#This Row],[Effective Treatment Depth (in/imp. ac)]]^5-0.2806*ExistingBMPs[[#This Row],[Effective Treatment Depth (in/imp. ac)]]^4+0.9816*ExistingBMPs[[#This Row],[Effective Treatment Depth (in/imp. ac)]]^3-1.8039*ExistingBMPs[[#This Row],[Effective Treatment Depth (in/imp. ac)]]^2+1.8292*ExistingBMPs[[#This Row],[Effective Treatment Depth (in/imp. ac)]]-0.0098,IF(ExistingBMPs[[#This Row],[BMP Type]]="ST",0.0304*ExistingBMPs[[#This Row],[Effective Treatment Depth (in/imp. ac)]]^5-0.2619*ExistingBMPs[[#This Row],[Effective Treatment Depth (in/imp. ac)]]^4+0.9161*ExistingBMPs[[#This Row],[Effective Treatment Depth (in/imp. ac)]]^3-1.6837*ExistingBMPs[[#This Row],[Effective Treatment Depth (in/imp. ac)]]^2+1.7072*ExistingBMPs[[#This Row],[Effective Treatment Depth (in/imp. ac)]]-0.0091,IF(ExistingBMPs[[#This Row],[BMP Type]]="Street Sweeping",Street_Sweeping[TSS Reduction (%)],IF(OR(ExistingBMPs[[#This Row],[BMP Type]]="Other",ExistingBMPs[[#This Row],[BMP Type]]="Stream Restoration"),0,1))))</f>
        <v>#N/A</v>
      </c>
      <c r="R15" s="36" t="e">
        <f>IF(ExistingBMPs[[#This Row],[BMP Type]]="RR",0.0304*ExistingBMPs[[#This Row],[Effective Treatment Depth (in/imp. ac)]]^5-0.2619*ExistingBMPs[[#This Row],[Effective Treatment Depth (in/imp. ac)]]^4+0.9161*ExistingBMPs[[#This Row],[Effective Treatment Depth (in/imp. ac)]]^3-1.6837*ExistingBMPs[[#This Row],[Effective Treatment Depth (in/imp. ac)]]^2+1.7072*ExistingBMPs[[#This Row],[Effective Treatment Depth (in/imp. ac)]]-0.0091,IF(ExistingBMPs[[#This Row],[BMP Type]]="ST",0.0239*ExistingBMPs[[#This Row],[Effective Treatment Depth (in/imp. ac)]]^5-0.2058*ExistingBMPs[[#This Row],[Effective Treatment Depth (in/imp. ac)]]^4+0.7198*ExistingBMPs[[#This Row],[Effective Treatment Depth (in/imp. ac)]]^3-1.3229*ExistingBMPs[[#This Row],[Effective Treatment Depth (in/imp. ac)]]^2+1.3414*ExistingBMPs[[#This Row],[Effective Treatment Depth (in/imp. ac)]]-0.0072,IF(ExistingBMPs[[#This Row],[BMP Type]]="Street Sweeping",Street_Sweeping[TP Reduction (%)],IF(OR(ExistingBMPs[[#This Row],[BMP Type]]="Other",ExistingBMPs[[#This Row],[BMP Type]]="Stream Restoration"),0,1))))</f>
        <v>#N/A</v>
      </c>
      <c r="S15" s="36" t="e">
        <f>IF(ExistingBMPs[[#This Row],[BMP Type]]="RR",0.0308*ExistingBMPs[[#This Row],[Effective Treatment Depth (in/imp. ac)]]^5-0.2562*ExistingBMPs[[#This Row],[Effective Treatment Depth (in/imp. ac)]]^4+0.8634*ExistingBMPs[[#This Row],[Effective Treatment Depth (in/imp. ac)]]^3-1.5285*ExistingBMPs[[#This Row],[Effective Treatment Depth (in/imp. ac)]]^2+1.501*ExistingBMPs[[#This Row],[Effective Treatment Depth (in/imp. ac)]]-0.013,IF(ExistingBMPs[[#This Row],[BMP Type]]="ST",0.0152*ExistingBMPs[[#This Row],[Effective Treatment Depth (in/imp. ac)]]^5-0.131*ExistingBMPs[[#This Row],[Effective Treatment Depth (in/imp. ac)]]^4+0.4581*ExistingBMPs[[#This Row],[Effective Treatment Depth (in/imp. ac)]]^3-0.8418*ExistingBMPs[[#This Row],[Effective Treatment Depth (in/imp. ac)]]^2+0.8536*ExistingBMPs[[#This Row],[Effective Treatment Depth (in/imp. ac)]]-0.0046,IF(ExistingBMPs[[#This Row],[BMP Type]]="Street Sweeping",Street_Sweeping[TN Reduction (%)],IF(OR(ExistingBMPs[[#This Row],[BMP Type]]="Other",ExistingBMPs[[#This Row],[BMP Type]]="Stream Restoration"),0,1))))</f>
        <v>#N/A</v>
      </c>
      <c r="T15" s="37" t="e">
        <f>IF(ExistingBMPs[[#This Row],[TSS Reduction (%)]]&gt;0,IF(ExistingBMPs[[#This Row],[BMP Type]]="Street Sweeping",ExistingBMPs[[#This Row],[TSS Load (lbs/yr)]]*ExistingBMPs[[#This Row],[TSS Reduction (%)]],INDEX(Loading_Rates[#All],MATCH(ExistingBMPs[[#This Row],[MapShed Land Cover of Drainage Area]],Loading_Rates[[#All],[Source]],0),2)*ExistingBMPs[[#This Row],[Drainage Area (ac)]]*ExistingBMPs[[#This Row],[TSS Reduction (%)]]),IF(ExistingBMPs[[#This Row],[BMP Type]]="Stream Restoration",Stream_Nutrients[TSS (lbs/ft/yr)]*ExistingBMPs[[#This Row],[Stream Restoration* Length (ft) - Qualified projects only]],0))</f>
        <v>#N/A</v>
      </c>
      <c r="U15" s="37" t="e">
        <f>ExistingBMPs[[#This Row],[TSS Reduction (lbs/yr)]]/2000</f>
        <v>#N/A</v>
      </c>
      <c r="V15" s="37" t="e">
        <f>IF(ExistingBMPs[[#This Row],[TP Reduction (%)]]&gt;0,IF(ExistingBMPs[[#This Row],[BMP Type]]="Street Sweeping",ExistingBMPs[[#This Row],[TP Load (lbs/yr)]]*ExistingBMPs[[#This Row],[TP Reduction (%)]],INDEX(Loading_Rates[#All],MATCH(ExistingBMPs[[#This Row],[MapShed Land Cover of Drainage Area]],Loading_Rates[[#All],[Source]],0),3)*ExistingBMPs[[#This Row],[Drainage Area (ac)]]*ExistingBMPs[[#This Row],[TP Reduction (%)]]),IF(ExistingBMPs[[#This Row],[BMP Type]]="Stream Restoration",Stream_Nutrients[TP (lbs/ft/yr)]*ExistingBMPs[[#This Row],[Stream Restoration* Length (ft) - Qualified projects only]],0))</f>
        <v>#N/A</v>
      </c>
      <c r="W15" s="37" t="e">
        <f>IF(ExistingBMPs[[#This Row],[TN Reduction (%)]]&gt;0,IF(ExistingBMPs[[#This Row],[BMP Type]]="Street Sweeping",ExistingBMPs[[#This Row],[TN Load (lbs/yr)]]*ExistingBMPs[[#This Row],[TN Reduction (%)]],INDEX(Loading_Rates[#All],MATCH(ExistingBMPs[[#This Row],[MapShed Land Cover of Drainage Area]],Loading_Rates[[#All],[Source]],0),4)*ExistingBMPs[[#This Row],[Drainage Area (ac)]]*ExistingBMPs[[#This Row],[TN Reduction (%)]]),IF(ExistingBMPs[[#This Row],[BMP Type]]="Stream Restoration",Stream_Nutrients[TN (lbs/ft/yr)]*ExistingBMPs[[#This Row],[Stream Restoration* Length (ft) - Qualified projects only]],0))</f>
        <v>#N/A</v>
      </c>
    </row>
    <row r="16" spans="1:23" x14ac:dyDescent="0.25">
      <c r="A16" s="30" t="s">
        <v>59</v>
      </c>
      <c r="B16" s="30" t="s">
        <v>18</v>
      </c>
      <c r="C16" s="31">
        <v>2010</v>
      </c>
      <c r="D16" s="30" t="s">
        <v>1</v>
      </c>
      <c r="E16" s="32">
        <v>1.5</v>
      </c>
      <c r="F16" s="33">
        <v>1</v>
      </c>
      <c r="G16" s="34"/>
      <c r="H16" s="34"/>
      <c r="I16" s="35">
        <f>ExistingBMPs[[#This Row],[Drainage Area (ac)]]*ExistingBMPs[[#This Row],[Impervious (%)]]</f>
        <v>0</v>
      </c>
      <c r="J16" s="35" t="e">
        <f>IFERROR(MIN(ExistingBMPs[[#This Row],[Treatment Depth (in)]]*ExistingBMPs[[#This Row],[Drainage Area (ac)]]/ExistingBMPs[[#This Row],[Impervious Area (ac)]],2.5),NA())</f>
        <v>#N/A</v>
      </c>
      <c r="K16" s="33">
        <v>1.92</v>
      </c>
      <c r="L16" s="35">
        <f>IF(ExistingBMPs[[#This Row],[Treatment Depth (in/imp. ac) Manual Override - use if no impervious area]]&gt;0,ExistingBMPs[[#This Row],[Treatment Depth (in/imp. ac) Manual Override - use if no impervious area]],ExistingBMPs[[#This Row],[Treatment Depth (in/imp. ac)]])</f>
        <v>1.92</v>
      </c>
      <c r="M16" s="36">
        <f>IF(ExistingBMPs[[#This Row],[BMP Type]]="Stream Restoration",NA(),IFERROR(INDEX(Impervious[#All],MATCH(ExistingBMPs[[#This Row],[MapShed Land Cover of Drainage Area]],Impervious[[#All],[Source]],0),4),0))</f>
        <v>0</v>
      </c>
      <c r="N16" s="37">
        <f>IF(ExistingBMPs[[#This Row],[BMP Type]]="Street Sweeping",ExistingBMPs[[#This Row],[Street Sweeping* Road Length Swept (ft) - Qualified projects only]]*Street_Sweeping[Road Width (ft)]/43560*INDEX(Loading_Rates[#All],MATCH(ExistingBMPs[[#This Row],[MapShed Land Cover of Drainage Area]],Loading_Rates[[#All],[Source]],0),2)*ExistingBMPs[[#This Row],[Impervious (%)]],IF(ExistingBMPs[[#This Row],[BMP Type]]="Stream Restoration",NA(),INDEX(Loading_Rates[#All],MATCH(ExistingBMPs[[#This Row],[MapShed Land Cover of Drainage Area]],Loading_Rates[[#All],[Source]],0),2)*ExistingBMPs[[#This Row],[Drainage Area (ac)]]))</f>
        <v>624</v>
      </c>
      <c r="O16" s="37">
        <f>IF(ExistingBMPs[[#This Row],[BMP Type]]="Street Sweeping",ExistingBMPs[[#This Row],[Street Sweeping* Road Length Swept (ft) - Qualified projects only]]*Street_Sweeping[Road Width (ft)]/43560*INDEX(Loading_Rates[#All],MATCH(ExistingBMPs[[#This Row],[MapShed Land Cover of Drainage Area]],Loading_Rates[[#All],[Source]],0),3)*ExistingBMPs[[#This Row],[Impervious (%)]],IF(ExistingBMPs[[#This Row],[BMP Type]]="Stream Restoration",NA(),INDEX(Loading_Rates[#All],MATCH(ExistingBMPs[[#This Row],[MapShed Land Cover of Drainage Area]],Loading_Rates[[#All],[Source]],0),3)*ExistingBMPs[[#This Row],[Drainage Area (ac)]]))</f>
        <v>0.75</v>
      </c>
      <c r="P16" s="37">
        <f>IF(ExistingBMPs[[#This Row],[BMP Type]]="Street Sweeping",ExistingBMPs[[#This Row],[Street Sweeping* Road Length Swept (ft) - Qualified projects only]]*Street_Sweeping[Road Width (ft)]/43560*INDEX(Loading_Rates[#All],MATCH(ExistingBMPs[[#This Row],[MapShed Land Cover of Drainage Area]],Loading_Rates[[#All],[Source]],0),4)*ExistingBMPs[[#This Row],[Impervious (%)]],IF(ExistingBMPs[[#This Row],[BMP Type]]="Stream Restoration",NA(),INDEX(Loading_Rates[#All],MATCH(ExistingBMPs[[#This Row],[MapShed Land Cover of Drainage Area]],Loading_Rates[[#All],[Source]],0),4)*ExistingBMPs[[#This Row],[Drainage Area (ac)]]))</f>
        <v>0.75</v>
      </c>
      <c r="Q16" s="36">
        <f>IF(ExistingBMPs[[#This Row],[BMP Type]]="RR",0.0326*ExistingBMPs[[#This Row],[Effective Treatment Depth (in/imp. ac)]]^5-0.2806*ExistingBMPs[[#This Row],[Effective Treatment Depth (in/imp. ac)]]^4+0.9816*ExistingBMPs[[#This Row],[Effective Treatment Depth (in/imp. ac)]]^3-1.8039*ExistingBMPs[[#This Row],[Effective Treatment Depth (in/imp. ac)]]^2+1.8292*ExistingBMPs[[#This Row],[Effective Treatment Depth (in/imp. ac)]]-0.0098,IF(ExistingBMPs[[#This Row],[BMP Type]]="ST",0.0304*ExistingBMPs[[#This Row],[Effective Treatment Depth (in/imp. ac)]]^5-0.2619*ExistingBMPs[[#This Row],[Effective Treatment Depth (in/imp. ac)]]^4+0.9161*ExistingBMPs[[#This Row],[Effective Treatment Depth (in/imp. ac)]]^3-1.6837*ExistingBMPs[[#This Row],[Effective Treatment Depth (in/imp. ac)]]^2+1.7072*ExistingBMPs[[#This Row],[Effective Treatment Depth (in/imp. ac)]]-0.0091,IF(ExistingBMPs[[#This Row],[BMP Type]]="Street Sweeping",Street_Sweeping[TSS Reduction (%)],IF(OR(ExistingBMPs[[#This Row],[BMP Type]]="Other",ExistingBMPs[[#This Row],[BMP Type]]="Stream Restoration"),0,1))))</f>
        <v>0.83739238316031916</v>
      </c>
      <c r="R16" s="36">
        <f>IF(ExistingBMPs[[#This Row],[BMP Type]]="RR",0.0304*ExistingBMPs[[#This Row],[Effective Treatment Depth (in/imp. ac)]]^5-0.2619*ExistingBMPs[[#This Row],[Effective Treatment Depth (in/imp. ac)]]^4+0.9161*ExistingBMPs[[#This Row],[Effective Treatment Depth (in/imp. ac)]]^3-1.6837*ExistingBMPs[[#This Row],[Effective Treatment Depth (in/imp. ac)]]^2+1.7072*ExistingBMPs[[#This Row],[Effective Treatment Depth (in/imp. ac)]]-0.0091,IF(ExistingBMPs[[#This Row],[BMP Type]]="ST",0.0239*ExistingBMPs[[#This Row],[Effective Treatment Depth (in/imp. ac)]]^5-0.2058*ExistingBMPs[[#This Row],[Effective Treatment Depth (in/imp. ac)]]^4+0.7198*ExistingBMPs[[#This Row],[Effective Treatment Depth (in/imp. ac)]]^3-1.3229*ExistingBMPs[[#This Row],[Effective Treatment Depth (in/imp. ac)]]^2+1.3414*ExistingBMPs[[#This Row],[Effective Treatment Depth (in/imp. ac)]]-0.0072,IF(ExistingBMPs[[#This Row],[BMP Type]]="Street Sweeping",Street_Sweeping[TP Reduction (%)],IF(OR(ExistingBMPs[[#This Row],[BMP Type]]="Other",ExistingBMPs[[#This Row],[BMP Type]]="Stream Restoration"),0,1))))</f>
        <v>0.78007825200128</v>
      </c>
      <c r="S16" s="36">
        <f>IF(ExistingBMPs[[#This Row],[BMP Type]]="RR",0.0308*ExistingBMPs[[#This Row],[Effective Treatment Depth (in/imp. ac)]]^5-0.2562*ExistingBMPs[[#This Row],[Effective Treatment Depth (in/imp. ac)]]^4+0.8634*ExistingBMPs[[#This Row],[Effective Treatment Depth (in/imp. ac)]]^3-1.5285*ExistingBMPs[[#This Row],[Effective Treatment Depth (in/imp. ac)]]^2+1.501*ExistingBMPs[[#This Row],[Effective Treatment Depth (in/imp. ac)]]-0.013,IF(ExistingBMPs[[#This Row],[BMP Type]]="ST",0.0152*ExistingBMPs[[#This Row],[Effective Treatment Depth (in/imp. ac)]]^5-0.131*ExistingBMPs[[#This Row],[Effective Treatment Depth (in/imp. ac)]]^4+0.4581*ExistingBMPs[[#This Row],[Effective Treatment Depth (in/imp. ac)]]^3-0.8418*ExistingBMPs[[#This Row],[Effective Treatment Depth (in/imp. ac)]]^2+0.8536*ExistingBMPs[[#This Row],[Effective Treatment Depth (in/imp. ac)]]-0.0046,IF(ExistingBMPs[[#This Row],[BMP Type]]="Street Sweeping",Street_Sweeping[TN Reduction (%)],IF(OR(ExistingBMPs[[#This Row],[BMP Type]]="Other",ExistingBMPs[[#This Row],[BMP Type]]="Stream Restoration"),0,1))))</f>
        <v>0.66729601120255999</v>
      </c>
      <c r="T16" s="37">
        <f>IF(ExistingBMPs[[#This Row],[TSS Reduction (%)]]&gt;0,IF(ExistingBMPs[[#This Row],[BMP Type]]="Street Sweeping",ExistingBMPs[[#This Row],[TSS Load (lbs/yr)]]*ExistingBMPs[[#This Row],[TSS Reduction (%)]],INDEX(Loading_Rates[#All],MATCH(ExistingBMPs[[#This Row],[MapShed Land Cover of Drainage Area]],Loading_Rates[[#All],[Source]],0),2)*ExistingBMPs[[#This Row],[Drainage Area (ac)]]*ExistingBMPs[[#This Row],[TSS Reduction (%)]]),IF(ExistingBMPs[[#This Row],[BMP Type]]="Stream Restoration",Stream_Nutrients[TSS (lbs/ft/yr)]*ExistingBMPs[[#This Row],[Stream Restoration* Length (ft) - Qualified projects only]],0))</f>
        <v>522.53284709203911</v>
      </c>
      <c r="U16" s="37">
        <f>ExistingBMPs[[#This Row],[TSS Reduction (lbs/yr)]]/2000</f>
        <v>0.26126642354601953</v>
      </c>
      <c r="V16" s="37">
        <f>IF(ExistingBMPs[[#This Row],[TP Reduction (%)]]&gt;0,IF(ExistingBMPs[[#This Row],[BMP Type]]="Street Sweeping",ExistingBMPs[[#This Row],[TP Load (lbs/yr)]]*ExistingBMPs[[#This Row],[TP Reduction (%)]],INDEX(Loading_Rates[#All],MATCH(ExistingBMPs[[#This Row],[MapShed Land Cover of Drainage Area]],Loading_Rates[[#All],[Source]],0),3)*ExistingBMPs[[#This Row],[Drainage Area (ac)]]*ExistingBMPs[[#This Row],[TP Reduction (%)]]),IF(ExistingBMPs[[#This Row],[BMP Type]]="Stream Restoration",Stream_Nutrients[TP (lbs/ft/yr)]*ExistingBMPs[[#This Row],[Stream Restoration* Length (ft) - Qualified projects only]],0))</f>
        <v>0.58505868900096003</v>
      </c>
      <c r="W16" s="37">
        <f>IF(ExistingBMPs[[#This Row],[TN Reduction (%)]]&gt;0,IF(ExistingBMPs[[#This Row],[BMP Type]]="Street Sweeping",ExistingBMPs[[#This Row],[TN Load (lbs/yr)]]*ExistingBMPs[[#This Row],[TN Reduction (%)]],INDEX(Loading_Rates[#All],MATCH(ExistingBMPs[[#This Row],[MapShed Land Cover of Drainage Area]],Loading_Rates[[#All],[Source]],0),4)*ExistingBMPs[[#This Row],[Drainage Area (ac)]]*ExistingBMPs[[#This Row],[TN Reduction (%)]]),IF(ExistingBMPs[[#This Row],[BMP Type]]="Stream Restoration",Stream_Nutrients[TN (lbs/ft/yr)]*ExistingBMPs[[#This Row],[Stream Restoration* Length (ft) - Qualified projects only]],0))</f>
        <v>0.50047200840191997</v>
      </c>
    </row>
    <row r="17" spans="1:23" x14ac:dyDescent="0.25">
      <c r="A17" s="30" t="s">
        <v>61</v>
      </c>
      <c r="B17" s="30" t="s">
        <v>60</v>
      </c>
      <c r="C17" s="31">
        <v>2014</v>
      </c>
      <c r="D17" s="30"/>
      <c r="E17" s="32"/>
      <c r="F17" s="33"/>
      <c r="G17" s="34">
        <v>500</v>
      </c>
      <c r="H17" s="34"/>
      <c r="I17" s="35" t="e">
        <f>ExistingBMPs[[#This Row],[Drainage Area (ac)]]*ExistingBMPs[[#This Row],[Impervious (%)]]</f>
        <v>#N/A</v>
      </c>
      <c r="J17" s="35" t="e">
        <f>IFERROR(MIN(ExistingBMPs[[#This Row],[Treatment Depth (in)]]*ExistingBMPs[[#This Row],[Drainage Area (ac)]]/ExistingBMPs[[#This Row],[Impervious Area (ac)]],2.5),NA())</f>
        <v>#N/A</v>
      </c>
      <c r="K17" s="33"/>
      <c r="L17" s="35" t="e">
        <f>IF(ExistingBMPs[[#This Row],[Treatment Depth (in/imp. ac) Manual Override - use if no impervious area]]&gt;0,ExistingBMPs[[#This Row],[Treatment Depth (in/imp. ac) Manual Override - use if no impervious area]],ExistingBMPs[[#This Row],[Treatment Depth (in/imp. ac)]])</f>
        <v>#N/A</v>
      </c>
      <c r="M17" s="36" t="e">
        <f>IF(ExistingBMPs[[#This Row],[BMP Type]]="Stream Restoration",NA(),IFERROR(INDEX(Impervious[#All],MATCH(ExistingBMPs[[#This Row],[MapShed Land Cover of Drainage Area]],Impervious[[#All],[Source]],0),4),0))</f>
        <v>#N/A</v>
      </c>
      <c r="N17" s="37" t="e">
        <f>IF(ExistingBMPs[[#This Row],[BMP Type]]="Street Sweeping",ExistingBMPs[[#This Row],[Street Sweeping* Road Length Swept (ft) - Qualified projects only]]*Street_Sweeping[Road Width (ft)]/43560*INDEX(Loading_Rates[#All],MATCH(ExistingBMPs[[#This Row],[MapShed Land Cover of Drainage Area]],Loading_Rates[[#All],[Source]],0),2)*ExistingBMPs[[#This Row],[Impervious (%)]],IF(ExistingBMPs[[#This Row],[BMP Type]]="Stream Restoration",NA(),INDEX(Loading_Rates[#All],MATCH(ExistingBMPs[[#This Row],[MapShed Land Cover of Drainage Area]],Loading_Rates[[#All],[Source]],0),2)*ExistingBMPs[[#This Row],[Drainage Area (ac)]]))</f>
        <v>#N/A</v>
      </c>
      <c r="O17" s="37" t="e">
        <f>IF(ExistingBMPs[[#This Row],[BMP Type]]="Street Sweeping",ExistingBMPs[[#This Row],[Street Sweeping* Road Length Swept (ft) - Qualified projects only]]*Street_Sweeping[Road Width (ft)]/43560*INDEX(Loading_Rates[#All],MATCH(ExistingBMPs[[#This Row],[MapShed Land Cover of Drainage Area]],Loading_Rates[[#All],[Source]],0),3)*ExistingBMPs[[#This Row],[Impervious (%)]],IF(ExistingBMPs[[#This Row],[BMP Type]]="Stream Restoration",NA(),INDEX(Loading_Rates[#All],MATCH(ExistingBMPs[[#This Row],[MapShed Land Cover of Drainage Area]],Loading_Rates[[#All],[Source]],0),3)*ExistingBMPs[[#This Row],[Drainage Area (ac)]]))</f>
        <v>#N/A</v>
      </c>
      <c r="P17" s="37" t="e">
        <f>IF(ExistingBMPs[[#This Row],[BMP Type]]="Street Sweeping",ExistingBMPs[[#This Row],[Street Sweeping* Road Length Swept (ft) - Qualified projects only]]*Street_Sweeping[Road Width (ft)]/43560*INDEX(Loading_Rates[#All],MATCH(ExistingBMPs[[#This Row],[MapShed Land Cover of Drainage Area]],Loading_Rates[[#All],[Source]],0),4)*ExistingBMPs[[#This Row],[Impervious (%)]],IF(ExistingBMPs[[#This Row],[BMP Type]]="Stream Restoration",NA(),INDEX(Loading_Rates[#All],MATCH(ExistingBMPs[[#This Row],[MapShed Land Cover of Drainage Area]],Loading_Rates[[#All],[Source]],0),4)*ExistingBMPs[[#This Row],[Drainage Area (ac)]]))</f>
        <v>#N/A</v>
      </c>
      <c r="Q17" s="36">
        <f>IF(ExistingBMPs[[#This Row],[BMP Type]]="RR",0.0326*ExistingBMPs[[#This Row],[Effective Treatment Depth (in/imp. ac)]]^5-0.2806*ExistingBMPs[[#This Row],[Effective Treatment Depth (in/imp. ac)]]^4+0.9816*ExistingBMPs[[#This Row],[Effective Treatment Depth (in/imp. ac)]]^3-1.8039*ExistingBMPs[[#This Row],[Effective Treatment Depth (in/imp. ac)]]^2+1.8292*ExistingBMPs[[#This Row],[Effective Treatment Depth (in/imp. ac)]]-0.0098,IF(ExistingBMPs[[#This Row],[BMP Type]]="ST",0.0304*ExistingBMPs[[#This Row],[Effective Treatment Depth (in/imp. ac)]]^5-0.2619*ExistingBMPs[[#This Row],[Effective Treatment Depth (in/imp. ac)]]^4+0.9161*ExistingBMPs[[#This Row],[Effective Treatment Depth (in/imp. ac)]]^3-1.6837*ExistingBMPs[[#This Row],[Effective Treatment Depth (in/imp. ac)]]^2+1.7072*ExistingBMPs[[#This Row],[Effective Treatment Depth (in/imp. ac)]]-0.0091,IF(ExistingBMPs[[#This Row],[BMP Type]]="Street Sweeping",Street_Sweeping[TSS Reduction (%)],IF(OR(ExistingBMPs[[#This Row],[BMP Type]]="Other",ExistingBMPs[[#This Row],[BMP Type]]="Stream Restoration"),0,1))))</f>
        <v>0</v>
      </c>
      <c r="R17" s="36">
        <f>IF(ExistingBMPs[[#This Row],[BMP Type]]="RR",0.0304*ExistingBMPs[[#This Row],[Effective Treatment Depth (in/imp. ac)]]^5-0.2619*ExistingBMPs[[#This Row],[Effective Treatment Depth (in/imp. ac)]]^4+0.9161*ExistingBMPs[[#This Row],[Effective Treatment Depth (in/imp. ac)]]^3-1.6837*ExistingBMPs[[#This Row],[Effective Treatment Depth (in/imp. ac)]]^2+1.7072*ExistingBMPs[[#This Row],[Effective Treatment Depth (in/imp. ac)]]-0.0091,IF(ExistingBMPs[[#This Row],[BMP Type]]="ST",0.0239*ExistingBMPs[[#This Row],[Effective Treatment Depth (in/imp. ac)]]^5-0.2058*ExistingBMPs[[#This Row],[Effective Treatment Depth (in/imp. ac)]]^4+0.7198*ExistingBMPs[[#This Row],[Effective Treatment Depth (in/imp. ac)]]^3-1.3229*ExistingBMPs[[#This Row],[Effective Treatment Depth (in/imp. ac)]]^2+1.3414*ExistingBMPs[[#This Row],[Effective Treatment Depth (in/imp. ac)]]-0.0072,IF(ExistingBMPs[[#This Row],[BMP Type]]="Street Sweeping",Street_Sweeping[TP Reduction (%)],IF(OR(ExistingBMPs[[#This Row],[BMP Type]]="Other",ExistingBMPs[[#This Row],[BMP Type]]="Stream Restoration"),0,1))))</f>
        <v>0</v>
      </c>
      <c r="S17" s="36">
        <f>IF(ExistingBMPs[[#This Row],[BMP Type]]="RR",0.0308*ExistingBMPs[[#This Row],[Effective Treatment Depth (in/imp. ac)]]^5-0.2562*ExistingBMPs[[#This Row],[Effective Treatment Depth (in/imp. ac)]]^4+0.8634*ExistingBMPs[[#This Row],[Effective Treatment Depth (in/imp. ac)]]^3-1.5285*ExistingBMPs[[#This Row],[Effective Treatment Depth (in/imp. ac)]]^2+1.501*ExistingBMPs[[#This Row],[Effective Treatment Depth (in/imp. ac)]]-0.013,IF(ExistingBMPs[[#This Row],[BMP Type]]="ST",0.0152*ExistingBMPs[[#This Row],[Effective Treatment Depth (in/imp. ac)]]^5-0.131*ExistingBMPs[[#This Row],[Effective Treatment Depth (in/imp. ac)]]^4+0.4581*ExistingBMPs[[#This Row],[Effective Treatment Depth (in/imp. ac)]]^3-0.8418*ExistingBMPs[[#This Row],[Effective Treatment Depth (in/imp. ac)]]^2+0.8536*ExistingBMPs[[#This Row],[Effective Treatment Depth (in/imp. ac)]]-0.0046,IF(ExistingBMPs[[#This Row],[BMP Type]]="Street Sweeping",Street_Sweeping[TN Reduction (%)],IF(OR(ExistingBMPs[[#This Row],[BMP Type]]="Other",ExistingBMPs[[#This Row],[BMP Type]]="Stream Restoration"),0,1))))</f>
        <v>0</v>
      </c>
      <c r="T17" s="37">
        <f>IF(ExistingBMPs[[#This Row],[TSS Reduction (%)]]&gt;0,IF(ExistingBMPs[[#This Row],[BMP Type]]="Street Sweeping",ExistingBMPs[[#This Row],[TSS Load (lbs/yr)]]*ExistingBMPs[[#This Row],[TSS Reduction (%)]],INDEX(Loading_Rates[#All],MATCH(ExistingBMPs[[#This Row],[MapShed Land Cover of Drainage Area]],Loading_Rates[[#All],[Source]],0),2)*ExistingBMPs[[#This Row],[Drainage Area (ac)]]*ExistingBMPs[[#This Row],[TSS Reduction (%)]]),IF(ExistingBMPs[[#This Row],[BMP Type]]="Stream Restoration",Stream_Nutrients[TSS (lbs/ft/yr)]*ExistingBMPs[[#This Row],[Stream Restoration* Length (ft) - Qualified projects only]],0))</f>
        <v>57500</v>
      </c>
      <c r="U17" s="37">
        <f>ExistingBMPs[[#This Row],[TSS Reduction (lbs/yr)]]/2000</f>
        <v>28.75</v>
      </c>
      <c r="V17" s="37">
        <f>IF(ExistingBMPs[[#This Row],[TP Reduction (%)]]&gt;0,IF(ExistingBMPs[[#This Row],[BMP Type]]="Street Sweeping",ExistingBMPs[[#This Row],[TP Load (lbs/yr)]]*ExistingBMPs[[#This Row],[TP Reduction (%)]],INDEX(Loading_Rates[#All],MATCH(ExistingBMPs[[#This Row],[MapShed Land Cover of Drainage Area]],Loading_Rates[[#All],[Source]],0),3)*ExistingBMPs[[#This Row],[Drainage Area (ac)]]*ExistingBMPs[[#This Row],[TP Reduction (%)]]),IF(ExistingBMPs[[#This Row],[BMP Type]]="Stream Restoration",Stream_Nutrients[TP (lbs/ft/yr)]*ExistingBMPs[[#This Row],[Stream Restoration* Length (ft) - Qualified projects only]],0))</f>
        <v>87</v>
      </c>
      <c r="W17" s="37">
        <f>IF(ExistingBMPs[[#This Row],[TN Reduction (%)]]&gt;0,IF(ExistingBMPs[[#This Row],[BMP Type]]="Street Sweeping",ExistingBMPs[[#This Row],[TN Load (lbs/yr)]]*ExistingBMPs[[#This Row],[TN Reduction (%)]],INDEX(Loading_Rates[#All],MATCH(ExistingBMPs[[#This Row],[MapShed Land Cover of Drainage Area]],Loading_Rates[[#All],[Source]],0),4)*ExistingBMPs[[#This Row],[Drainage Area (ac)]]*ExistingBMPs[[#This Row],[TN Reduction (%)]]),IF(ExistingBMPs[[#This Row],[BMP Type]]="Stream Restoration",Stream_Nutrients[TN (lbs/ft/yr)]*ExistingBMPs[[#This Row],[Stream Restoration* Length (ft) - Qualified projects only]],0))</f>
        <v>96</v>
      </c>
    </row>
    <row r="18" spans="1:23" x14ac:dyDescent="0.25">
      <c r="A18" s="30" t="s">
        <v>62</v>
      </c>
      <c r="B18" s="30" t="s">
        <v>63</v>
      </c>
      <c r="C18" s="31">
        <v>2012</v>
      </c>
      <c r="D18" s="30" t="s">
        <v>81</v>
      </c>
      <c r="E18" s="32"/>
      <c r="F18" s="33"/>
      <c r="G18" s="34"/>
      <c r="H18" s="34">
        <v>2000</v>
      </c>
      <c r="I18" s="35">
        <f>ExistingBMPs[[#This Row],[Drainage Area (ac)]]*ExistingBMPs[[#This Row],[Impervious (%)]]</f>
        <v>0</v>
      </c>
      <c r="J18" s="35" t="e">
        <f>IFERROR(MIN(ExistingBMPs[[#This Row],[Treatment Depth (in)]]*ExistingBMPs[[#This Row],[Drainage Area (ac)]]/ExistingBMPs[[#This Row],[Impervious Area (ac)]],2.5),NA())</f>
        <v>#N/A</v>
      </c>
      <c r="K18" s="33"/>
      <c r="L18" s="35" t="e">
        <f>IF(ExistingBMPs[[#This Row],[Treatment Depth (in/imp. ac) Manual Override - use if no impervious area]]&gt;0,ExistingBMPs[[#This Row],[Treatment Depth (in/imp. ac) Manual Override - use if no impervious area]],ExistingBMPs[[#This Row],[Treatment Depth (in/imp. ac)]])</f>
        <v>#N/A</v>
      </c>
      <c r="M18" s="36">
        <f>IF(ExistingBMPs[[#This Row],[BMP Type]]="Stream Restoration",NA(),IFERROR(INDEX(Impervious[#All],MATCH(ExistingBMPs[[#This Row],[MapShed Land Cover of Drainage Area]],Impervious[[#All],[Source]],0),4),0))</f>
        <v>0.15</v>
      </c>
      <c r="N18" s="37">
        <f>IF(ExistingBMPs[[#This Row],[BMP Type]]="Street Sweeping",ExistingBMPs[[#This Row],[Street Sweeping* Road Length Swept (ft) - Qualified projects only]]*Street_Sweeping[Road Width (ft)]/43560*INDEX(Loading_Rates[#All],MATCH(ExistingBMPs[[#This Row],[MapShed Land Cover of Drainage Area]],Loading_Rates[[#All],[Source]],0),2)*ExistingBMPs[[#This Row],[Impervious (%)]],IF(ExistingBMPs[[#This Row],[BMP Type]]="Stream Restoration",NA(),INDEX(Loading_Rates[#All],MATCH(ExistingBMPs[[#This Row],[MapShed Land Cover of Drainage Area]],Loading_Rates[[#All],[Source]],0),2)*ExistingBMPs[[#This Row],[Drainage Area (ac)]]))</f>
        <v>1.2603305785123966</v>
      </c>
      <c r="O18" s="37">
        <f>IF(ExistingBMPs[[#This Row],[BMP Type]]="Street Sweeping",ExistingBMPs[[#This Row],[Street Sweeping* Road Length Swept (ft) - Qualified projects only]]*Street_Sweeping[Road Width (ft)]/43560*INDEX(Loading_Rates[#All],MATCH(ExistingBMPs[[#This Row],[MapShed Land Cover of Drainage Area]],Loading_Rates[[#All],[Source]],0),3)*ExistingBMPs[[#This Row],[Impervious (%)]],IF(ExistingBMPs[[#This Row],[BMP Type]]="Stream Restoration",NA(),INDEX(Loading_Rates[#All],MATCH(ExistingBMPs[[#This Row],[MapShed Land Cover of Drainage Area]],Loading_Rates[[#All],[Source]],0),3)*ExistingBMPs[[#This Row],[Drainage Area (ac)]]))</f>
        <v>6.8870523415977963E-3</v>
      </c>
      <c r="P18" s="37">
        <f>IF(ExistingBMPs[[#This Row],[BMP Type]]="Street Sweeping",ExistingBMPs[[#This Row],[Street Sweeping* Road Length Swept (ft) - Qualified projects only]]*Street_Sweeping[Road Width (ft)]/43560*INDEX(Loading_Rates[#All],MATCH(ExistingBMPs[[#This Row],[MapShed Land Cover of Drainage Area]],Loading_Rates[[#All],[Source]],0),4)*ExistingBMPs[[#This Row],[Impervious (%)]],IF(ExistingBMPs[[#This Row],[BMP Type]]="Stream Restoration",NA(),INDEX(Loading_Rates[#All],MATCH(ExistingBMPs[[#This Row],[MapShed Land Cover of Drainage Area]],Loading_Rates[[#All],[Source]],0),4)*ExistingBMPs[[#This Row],[Drainage Area (ac)]]))</f>
        <v>6.8870523415977963E-2</v>
      </c>
      <c r="Q18" s="36">
        <f>IF(ExistingBMPs[[#This Row],[BMP Type]]="RR",0.0326*ExistingBMPs[[#This Row],[Effective Treatment Depth (in/imp. ac)]]^5-0.2806*ExistingBMPs[[#This Row],[Effective Treatment Depth (in/imp. ac)]]^4+0.9816*ExistingBMPs[[#This Row],[Effective Treatment Depth (in/imp. ac)]]^3-1.8039*ExistingBMPs[[#This Row],[Effective Treatment Depth (in/imp. ac)]]^2+1.8292*ExistingBMPs[[#This Row],[Effective Treatment Depth (in/imp. ac)]]-0.0098,IF(ExistingBMPs[[#This Row],[BMP Type]]="ST",0.0304*ExistingBMPs[[#This Row],[Effective Treatment Depth (in/imp. ac)]]^5-0.2619*ExistingBMPs[[#This Row],[Effective Treatment Depth (in/imp. ac)]]^4+0.9161*ExistingBMPs[[#This Row],[Effective Treatment Depth (in/imp. ac)]]^3-1.6837*ExistingBMPs[[#This Row],[Effective Treatment Depth (in/imp. ac)]]^2+1.7072*ExistingBMPs[[#This Row],[Effective Treatment Depth (in/imp. ac)]]-0.0091,IF(ExistingBMPs[[#This Row],[BMP Type]]="Street Sweeping",Street_Sweeping[TSS Reduction (%)],IF(OR(ExistingBMPs[[#This Row],[BMP Type]]="Other",ExistingBMPs[[#This Row],[BMP Type]]="Stream Restoration"),0,1))))</f>
        <v>0.1</v>
      </c>
      <c r="R18" s="36">
        <f>IF(ExistingBMPs[[#This Row],[BMP Type]]="RR",0.0304*ExistingBMPs[[#This Row],[Effective Treatment Depth (in/imp. ac)]]^5-0.2619*ExistingBMPs[[#This Row],[Effective Treatment Depth (in/imp. ac)]]^4+0.9161*ExistingBMPs[[#This Row],[Effective Treatment Depth (in/imp. ac)]]^3-1.6837*ExistingBMPs[[#This Row],[Effective Treatment Depth (in/imp. ac)]]^2+1.7072*ExistingBMPs[[#This Row],[Effective Treatment Depth (in/imp. ac)]]-0.0091,IF(ExistingBMPs[[#This Row],[BMP Type]]="ST",0.0239*ExistingBMPs[[#This Row],[Effective Treatment Depth (in/imp. ac)]]^5-0.2058*ExistingBMPs[[#This Row],[Effective Treatment Depth (in/imp. ac)]]^4+0.7198*ExistingBMPs[[#This Row],[Effective Treatment Depth (in/imp. ac)]]^3-1.3229*ExistingBMPs[[#This Row],[Effective Treatment Depth (in/imp. ac)]]^2+1.3414*ExistingBMPs[[#This Row],[Effective Treatment Depth (in/imp. ac)]]-0.0072,IF(ExistingBMPs[[#This Row],[BMP Type]]="Street Sweeping",Street_Sweeping[TP Reduction (%)],IF(OR(ExistingBMPs[[#This Row],[BMP Type]]="Other",ExistingBMPs[[#This Row],[BMP Type]]="Stream Restoration"),0,1))))</f>
        <v>0.1</v>
      </c>
      <c r="S18" s="36">
        <f>IF(ExistingBMPs[[#This Row],[BMP Type]]="RR",0.0308*ExistingBMPs[[#This Row],[Effective Treatment Depth (in/imp. ac)]]^5-0.2562*ExistingBMPs[[#This Row],[Effective Treatment Depth (in/imp. ac)]]^4+0.8634*ExistingBMPs[[#This Row],[Effective Treatment Depth (in/imp. ac)]]^3-1.5285*ExistingBMPs[[#This Row],[Effective Treatment Depth (in/imp. ac)]]^2+1.501*ExistingBMPs[[#This Row],[Effective Treatment Depth (in/imp. ac)]]-0.013,IF(ExistingBMPs[[#This Row],[BMP Type]]="ST",0.0152*ExistingBMPs[[#This Row],[Effective Treatment Depth (in/imp. ac)]]^5-0.131*ExistingBMPs[[#This Row],[Effective Treatment Depth (in/imp. ac)]]^4+0.4581*ExistingBMPs[[#This Row],[Effective Treatment Depth (in/imp. ac)]]^3-0.8418*ExistingBMPs[[#This Row],[Effective Treatment Depth (in/imp. ac)]]^2+0.8536*ExistingBMPs[[#This Row],[Effective Treatment Depth (in/imp. ac)]]-0.0046,IF(ExistingBMPs[[#This Row],[BMP Type]]="Street Sweeping",Street_Sweeping[TN Reduction (%)],IF(OR(ExistingBMPs[[#This Row],[BMP Type]]="Other",ExistingBMPs[[#This Row],[BMP Type]]="Stream Restoration"),0,1))))</f>
        <v>0.1</v>
      </c>
      <c r="T18" s="37">
        <f>IF(ExistingBMPs[[#This Row],[TSS Reduction (%)]]&gt;0,IF(ExistingBMPs[[#This Row],[BMP Type]]="Street Sweeping",ExistingBMPs[[#This Row],[TSS Load (lbs/yr)]]*ExistingBMPs[[#This Row],[TSS Reduction (%)]],INDEX(Loading_Rates[#All],MATCH(ExistingBMPs[[#This Row],[MapShed Land Cover of Drainage Area]],Loading_Rates[[#All],[Source]],0),2)*ExistingBMPs[[#This Row],[Drainage Area (ac)]]*ExistingBMPs[[#This Row],[TSS Reduction (%)]]),IF(ExistingBMPs[[#This Row],[BMP Type]]="Stream Restoration",Stream_Nutrients[TSS (lbs/ft/yr)]*ExistingBMPs[[#This Row],[Stream Restoration* Length (ft) - Qualified projects only]],0))</f>
        <v>0.12603305785123967</v>
      </c>
      <c r="U18" s="37">
        <f>ExistingBMPs[[#This Row],[TSS Reduction (lbs/yr)]]/2000</f>
        <v>6.3016528925619836E-5</v>
      </c>
      <c r="V18" s="37">
        <f>IF(ExistingBMPs[[#This Row],[TP Reduction (%)]]&gt;0,IF(ExistingBMPs[[#This Row],[BMP Type]]="Street Sweeping",ExistingBMPs[[#This Row],[TP Load (lbs/yr)]]*ExistingBMPs[[#This Row],[TP Reduction (%)]],INDEX(Loading_Rates[#All],MATCH(ExistingBMPs[[#This Row],[MapShed Land Cover of Drainage Area]],Loading_Rates[[#All],[Source]],0),3)*ExistingBMPs[[#This Row],[Drainage Area (ac)]]*ExistingBMPs[[#This Row],[TP Reduction (%)]]),IF(ExistingBMPs[[#This Row],[BMP Type]]="Stream Restoration",Stream_Nutrients[TP (lbs/ft/yr)]*ExistingBMPs[[#This Row],[Stream Restoration* Length (ft) - Qualified projects only]],0))</f>
        <v>6.8870523415977963E-4</v>
      </c>
      <c r="W18" s="37">
        <f>IF(ExistingBMPs[[#This Row],[TN Reduction (%)]]&gt;0,IF(ExistingBMPs[[#This Row],[BMP Type]]="Street Sweeping",ExistingBMPs[[#This Row],[TN Load (lbs/yr)]]*ExistingBMPs[[#This Row],[TN Reduction (%)]],INDEX(Loading_Rates[#All],MATCH(ExistingBMPs[[#This Row],[MapShed Land Cover of Drainage Area]],Loading_Rates[[#All],[Source]],0),4)*ExistingBMPs[[#This Row],[Drainage Area (ac)]]*ExistingBMPs[[#This Row],[TN Reduction (%)]]),IF(ExistingBMPs[[#This Row],[BMP Type]]="Stream Restoration",Stream_Nutrients[TN (lbs/ft/yr)]*ExistingBMPs[[#This Row],[Stream Restoration* Length (ft) - Qualified projects only]],0))</f>
        <v>6.8870523415977963E-3</v>
      </c>
    </row>
    <row r="19" spans="1:23" x14ac:dyDescent="0.25">
      <c r="A19" s="30" t="s">
        <v>64</v>
      </c>
      <c r="B19" s="30" t="s">
        <v>63</v>
      </c>
      <c r="C19" s="31">
        <v>2015</v>
      </c>
      <c r="D19" s="31" t="s">
        <v>83</v>
      </c>
      <c r="E19" s="32"/>
      <c r="F19" s="33"/>
      <c r="G19" s="34"/>
      <c r="H19" s="34">
        <v>20000</v>
      </c>
      <c r="I19" s="35">
        <f>ExistingBMPs[[#This Row],[Drainage Area (ac)]]*ExistingBMPs[[#This Row],[Impervious (%)]]</f>
        <v>0</v>
      </c>
      <c r="J19" s="35" t="e">
        <f>IFERROR(MIN(ExistingBMPs[[#This Row],[Treatment Depth (in)]]*ExistingBMPs[[#This Row],[Drainage Area (ac)]]/ExistingBMPs[[#This Row],[Impervious Area (ac)]],2.5),NA())</f>
        <v>#N/A</v>
      </c>
      <c r="K19" s="33"/>
      <c r="L19" s="35" t="e">
        <f>IF(ExistingBMPs[[#This Row],[Treatment Depth (in/imp. ac) Manual Override - use if no impervious area]]&gt;0,ExistingBMPs[[#This Row],[Treatment Depth (in/imp. ac) Manual Override - use if no impervious area]],ExistingBMPs[[#This Row],[Treatment Depth (in/imp. ac)]])</f>
        <v>#N/A</v>
      </c>
      <c r="M19" s="36">
        <f>IF(ExistingBMPs[[#This Row],[BMP Type]]="Stream Restoration",NA(),IFERROR(INDEX(Impervious[#All],MATCH(ExistingBMPs[[#This Row],[MapShed Land Cover of Drainage Area]],Impervious[[#All],[Source]],0),4),0))</f>
        <v>0.87</v>
      </c>
      <c r="N19" s="37">
        <f>IF(ExistingBMPs[[#This Row],[BMP Type]]="Street Sweeping",ExistingBMPs[[#This Row],[Street Sweeping* Road Length Swept (ft) - Qualified projects only]]*Street_Sweeping[Road Width (ft)]/43560*INDEX(Loading_Rates[#All],MATCH(ExistingBMPs[[#This Row],[MapShed Land Cover of Drainage Area]],Loading_Rates[[#All],[Source]],0),2)*ExistingBMPs[[#This Row],[Impervious (%)]],IF(ExistingBMPs[[#This Row],[BMP Type]]="Stream Restoration",NA(),INDEX(Loading_Rates[#All],MATCH(ExistingBMPs[[#This Row],[MapShed Land Cover of Drainage Area]],Loading_Rates[[#All],[Source]],0),2)*ExistingBMPs[[#This Row],[Drainage Area (ac)]]))</f>
        <v>330.90358126721759</v>
      </c>
      <c r="O19" s="37">
        <f>IF(ExistingBMPs[[#This Row],[BMP Type]]="Street Sweeping",ExistingBMPs[[#This Row],[Street Sweeping* Road Length Swept (ft) - Qualified projects only]]*Street_Sweeping[Road Width (ft)]/43560*INDEX(Loading_Rates[#All],MATCH(ExistingBMPs[[#This Row],[MapShed Land Cover of Drainage Area]],Loading_Rates[[#All],[Source]],0),3)*ExistingBMPs[[#This Row],[Impervious (%)]],IF(ExistingBMPs[[#This Row],[BMP Type]]="Stream Restoration",NA(),INDEX(Loading_Rates[#All],MATCH(ExistingBMPs[[#This Row],[MapShed Land Cover of Drainage Area]],Loading_Rates[[#All],[Source]],0),3)*ExistingBMPs[[#This Row],[Drainage Area (ac)]]))</f>
        <v>0.39944903581267216</v>
      </c>
      <c r="P19" s="37">
        <f>IF(ExistingBMPs[[#This Row],[BMP Type]]="Street Sweeping",ExistingBMPs[[#This Row],[Street Sweeping* Road Length Swept (ft) - Qualified projects only]]*Street_Sweeping[Road Width (ft)]/43560*INDEX(Loading_Rates[#All],MATCH(ExistingBMPs[[#This Row],[MapShed Land Cover of Drainage Area]],Loading_Rates[[#All],[Source]],0),4)*ExistingBMPs[[#This Row],[Impervious (%)]],IF(ExistingBMPs[[#This Row],[BMP Type]]="Stream Restoration",NA(),INDEX(Loading_Rates[#All],MATCH(ExistingBMPs[[#This Row],[MapShed Land Cover of Drainage Area]],Loading_Rates[[#All],[Source]],0),4)*ExistingBMPs[[#This Row],[Drainage Area (ac)]]))</f>
        <v>3.9944903581267215</v>
      </c>
      <c r="Q19" s="36">
        <f>IF(ExistingBMPs[[#This Row],[BMP Type]]="RR",0.0326*ExistingBMPs[[#This Row],[Effective Treatment Depth (in/imp. ac)]]^5-0.2806*ExistingBMPs[[#This Row],[Effective Treatment Depth (in/imp. ac)]]^4+0.9816*ExistingBMPs[[#This Row],[Effective Treatment Depth (in/imp. ac)]]^3-1.8039*ExistingBMPs[[#This Row],[Effective Treatment Depth (in/imp. ac)]]^2+1.8292*ExistingBMPs[[#This Row],[Effective Treatment Depth (in/imp. ac)]]-0.0098,IF(ExistingBMPs[[#This Row],[BMP Type]]="ST",0.0304*ExistingBMPs[[#This Row],[Effective Treatment Depth (in/imp. ac)]]^5-0.2619*ExistingBMPs[[#This Row],[Effective Treatment Depth (in/imp. ac)]]^4+0.9161*ExistingBMPs[[#This Row],[Effective Treatment Depth (in/imp. ac)]]^3-1.6837*ExistingBMPs[[#This Row],[Effective Treatment Depth (in/imp. ac)]]^2+1.7072*ExistingBMPs[[#This Row],[Effective Treatment Depth (in/imp. ac)]]-0.0091,IF(ExistingBMPs[[#This Row],[BMP Type]]="Street Sweeping",Street_Sweeping[TSS Reduction (%)],IF(OR(ExistingBMPs[[#This Row],[BMP Type]]="Other",ExistingBMPs[[#This Row],[BMP Type]]="Stream Restoration"),0,1))))</f>
        <v>0.1</v>
      </c>
      <c r="R19" s="36">
        <f>IF(ExistingBMPs[[#This Row],[BMP Type]]="RR",0.0304*ExistingBMPs[[#This Row],[Effective Treatment Depth (in/imp. ac)]]^5-0.2619*ExistingBMPs[[#This Row],[Effective Treatment Depth (in/imp. ac)]]^4+0.9161*ExistingBMPs[[#This Row],[Effective Treatment Depth (in/imp. ac)]]^3-1.6837*ExistingBMPs[[#This Row],[Effective Treatment Depth (in/imp. ac)]]^2+1.7072*ExistingBMPs[[#This Row],[Effective Treatment Depth (in/imp. ac)]]-0.0091,IF(ExistingBMPs[[#This Row],[BMP Type]]="ST",0.0239*ExistingBMPs[[#This Row],[Effective Treatment Depth (in/imp. ac)]]^5-0.2058*ExistingBMPs[[#This Row],[Effective Treatment Depth (in/imp. ac)]]^4+0.7198*ExistingBMPs[[#This Row],[Effective Treatment Depth (in/imp. ac)]]^3-1.3229*ExistingBMPs[[#This Row],[Effective Treatment Depth (in/imp. ac)]]^2+1.3414*ExistingBMPs[[#This Row],[Effective Treatment Depth (in/imp. ac)]]-0.0072,IF(ExistingBMPs[[#This Row],[BMP Type]]="Street Sweeping",Street_Sweeping[TP Reduction (%)],IF(OR(ExistingBMPs[[#This Row],[BMP Type]]="Other",ExistingBMPs[[#This Row],[BMP Type]]="Stream Restoration"),0,1))))</f>
        <v>0.1</v>
      </c>
      <c r="S19" s="36">
        <f>IF(ExistingBMPs[[#This Row],[BMP Type]]="RR",0.0308*ExistingBMPs[[#This Row],[Effective Treatment Depth (in/imp. ac)]]^5-0.2562*ExistingBMPs[[#This Row],[Effective Treatment Depth (in/imp. ac)]]^4+0.8634*ExistingBMPs[[#This Row],[Effective Treatment Depth (in/imp. ac)]]^3-1.5285*ExistingBMPs[[#This Row],[Effective Treatment Depth (in/imp. ac)]]^2+1.501*ExistingBMPs[[#This Row],[Effective Treatment Depth (in/imp. ac)]]-0.013,IF(ExistingBMPs[[#This Row],[BMP Type]]="ST",0.0152*ExistingBMPs[[#This Row],[Effective Treatment Depth (in/imp. ac)]]^5-0.131*ExistingBMPs[[#This Row],[Effective Treatment Depth (in/imp. ac)]]^4+0.4581*ExistingBMPs[[#This Row],[Effective Treatment Depth (in/imp. ac)]]^3-0.8418*ExistingBMPs[[#This Row],[Effective Treatment Depth (in/imp. ac)]]^2+0.8536*ExistingBMPs[[#This Row],[Effective Treatment Depth (in/imp. ac)]]-0.0046,IF(ExistingBMPs[[#This Row],[BMP Type]]="Street Sweeping",Street_Sweeping[TN Reduction (%)],IF(OR(ExistingBMPs[[#This Row],[BMP Type]]="Other",ExistingBMPs[[#This Row],[BMP Type]]="Stream Restoration"),0,1))))</f>
        <v>0.1</v>
      </c>
      <c r="T19" s="37">
        <f>IF(ExistingBMPs[[#This Row],[TSS Reduction (%)]]&gt;0,IF(ExistingBMPs[[#This Row],[BMP Type]]="Street Sweeping",ExistingBMPs[[#This Row],[TSS Load (lbs/yr)]]*ExistingBMPs[[#This Row],[TSS Reduction (%)]],INDEX(Loading_Rates[#All],MATCH(ExistingBMPs[[#This Row],[MapShed Land Cover of Drainage Area]],Loading_Rates[[#All],[Source]],0),2)*ExistingBMPs[[#This Row],[Drainage Area (ac)]]*ExistingBMPs[[#This Row],[TSS Reduction (%)]]),IF(ExistingBMPs[[#This Row],[BMP Type]]="Stream Restoration",Stream_Nutrients[TSS (lbs/ft/yr)]*ExistingBMPs[[#This Row],[Stream Restoration* Length (ft) - Qualified projects only]],0))</f>
        <v>33.09035812672176</v>
      </c>
      <c r="U19" s="37">
        <f>ExistingBMPs[[#This Row],[TSS Reduction (lbs/yr)]]/2000</f>
        <v>1.6545179063360879E-2</v>
      </c>
      <c r="V19" s="37">
        <f>IF(ExistingBMPs[[#This Row],[TP Reduction (%)]]&gt;0,IF(ExistingBMPs[[#This Row],[BMP Type]]="Street Sweeping",ExistingBMPs[[#This Row],[TP Load (lbs/yr)]]*ExistingBMPs[[#This Row],[TP Reduction (%)]],INDEX(Loading_Rates[#All],MATCH(ExistingBMPs[[#This Row],[MapShed Land Cover of Drainage Area]],Loading_Rates[[#All],[Source]],0),3)*ExistingBMPs[[#This Row],[Drainage Area (ac)]]*ExistingBMPs[[#This Row],[TP Reduction (%)]]),IF(ExistingBMPs[[#This Row],[BMP Type]]="Stream Restoration",Stream_Nutrients[TP (lbs/ft/yr)]*ExistingBMPs[[#This Row],[Stream Restoration* Length (ft) - Qualified projects only]],0))</f>
        <v>3.9944903581267219E-2</v>
      </c>
      <c r="W19" s="37">
        <f>IF(ExistingBMPs[[#This Row],[TN Reduction (%)]]&gt;0,IF(ExistingBMPs[[#This Row],[BMP Type]]="Street Sweeping",ExistingBMPs[[#This Row],[TN Load (lbs/yr)]]*ExistingBMPs[[#This Row],[TN Reduction (%)]],INDEX(Loading_Rates[#All],MATCH(ExistingBMPs[[#This Row],[MapShed Land Cover of Drainage Area]],Loading_Rates[[#All],[Source]],0),4)*ExistingBMPs[[#This Row],[Drainage Area (ac)]]*ExistingBMPs[[#This Row],[TN Reduction (%)]]),IF(ExistingBMPs[[#This Row],[BMP Type]]="Stream Restoration",Stream_Nutrients[TN (lbs/ft/yr)]*ExistingBMPs[[#This Row],[Stream Restoration* Length (ft) - Qualified projects only]],0))</f>
        <v>0.39944903581267216</v>
      </c>
    </row>
    <row r="20" spans="1:23" ht="21" x14ac:dyDescent="0.35">
      <c r="A20" s="28" t="s">
        <v>17</v>
      </c>
      <c r="B20" s="28"/>
      <c r="C20" s="28"/>
      <c r="D20" s="28"/>
      <c r="E20" s="28"/>
      <c r="F20" s="28"/>
      <c r="G20" s="28"/>
      <c r="H20" s="28"/>
      <c r="I20" s="28"/>
      <c r="J20" s="28"/>
      <c r="K20" s="28"/>
      <c r="L20" s="28"/>
      <c r="M20" s="28"/>
      <c r="N20" s="28"/>
      <c r="O20" s="28"/>
      <c r="P20" s="28"/>
      <c r="Q20" s="28"/>
      <c r="R20" s="28"/>
      <c r="S20" s="28"/>
      <c r="T20" s="38">
        <f>_xlfn.AGGREGATE(9,7,ExistingBMPs[TSS Reduction (lbs/yr)])</f>
        <v>113268.0163670918</v>
      </c>
      <c r="U20" s="37">
        <f>_xlfn.AGGREGATE(9,7,ExistingBMPs[TSS Reduction (tons/yr)])</f>
        <v>56.634008183545902</v>
      </c>
      <c r="V20" s="38">
        <f>_xlfn.AGGREGATE(9,7,ExistingBMPs[TP Reduction (lbs/yr)])</f>
        <v>100.29273830779849</v>
      </c>
      <c r="W20" s="38">
        <f>_xlfn.AGGREGATE(9,7,ExistingBMPs[TN Reduction (lbs/yr)])</f>
        <v>183.33706686119262</v>
      </c>
    </row>
    <row r="21" spans="1:23" x14ac:dyDescent="0.25">
      <c r="A21" s="11"/>
      <c r="B21" s="11"/>
      <c r="C21" s="11"/>
      <c r="D21" s="11"/>
      <c r="E21" s="11"/>
      <c r="F21" s="11"/>
    </row>
    <row r="23" spans="1:23" x14ac:dyDescent="0.25">
      <c r="A23" t="s">
        <v>155</v>
      </c>
    </row>
    <row r="24" spans="1:23" ht="60" x14ac:dyDescent="0.25">
      <c r="A24" s="28" t="s">
        <v>20</v>
      </c>
      <c r="B24" s="29" t="s">
        <v>24</v>
      </c>
      <c r="C24" s="28" t="s">
        <v>45</v>
      </c>
      <c r="D24" s="29" t="s">
        <v>36</v>
      </c>
      <c r="E24" s="29" t="s">
        <v>21</v>
      </c>
      <c r="F24" s="29" t="s">
        <v>23</v>
      </c>
      <c r="G24" s="29" t="s">
        <v>79</v>
      </c>
      <c r="H24" s="29" t="s">
        <v>80</v>
      </c>
      <c r="I24" s="29" t="s">
        <v>22</v>
      </c>
      <c r="J24" s="29" t="s">
        <v>44</v>
      </c>
      <c r="K24" s="29" t="s">
        <v>56</v>
      </c>
      <c r="L24" s="29" t="s">
        <v>57</v>
      </c>
      <c r="M24" s="29" t="s">
        <v>68</v>
      </c>
      <c r="N24" s="29" t="s">
        <v>76</v>
      </c>
      <c r="O24" s="29" t="s">
        <v>77</v>
      </c>
      <c r="P24" s="29" t="s">
        <v>78</v>
      </c>
      <c r="Q24" s="29" t="s">
        <v>65</v>
      </c>
      <c r="R24" s="29" t="s">
        <v>66</v>
      </c>
      <c r="S24" s="29" t="s">
        <v>67</v>
      </c>
      <c r="T24" s="29" t="s">
        <v>39</v>
      </c>
      <c r="U24" s="29" t="s">
        <v>40</v>
      </c>
      <c r="V24" s="29" t="s">
        <v>38</v>
      </c>
      <c r="W24" s="29" t="s">
        <v>37</v>
      </c>
    </row>
    <row r="25" spans="1:23" x14ac:dyDescent="0.25">
      <c r="A25" s="30" t="s">
        <v>46</v>
      </c>
      <c r="B25" s="30" t="s">
        <v>18</v>
      </c>
      <c r="C25" s="31">
        <v>2009</v>
      </c>
      <c r="D25" s="30" t="s">
        <v>11</v>
      </c>
      <c r="E25" s="32">
        <v>1</v>
      </c>
      <c r="F25" s="33">
        <v>1</v>
      </c>
      <c r="G25" s="34"/>
      <c r="H25" s="34"/>
      <c r="I25" s="35">
        <f>ExistingBMPs6[[#This Row],[Drainage Area (ac)]]*ExistingBMPs6[[#This Row],[Impervious (%)]]</f>
        <v>0.15</v>
      </c>
      <c r="J25" s="35">
        <f>IFERROR(MIN(ExistingBMPs6[[#This Row],[Treatment Depth (in)]]*ExistingBMPs6[[#This Row],[Drainage Area (ac)]]/ExistingBMPs6[[#This Row],[Impervious Area (ac)]],2.5),NA())</f>
        <v>2.5</v>
      </c>
      <c r="K25" s="33"/>
      <c r="L25" s="35">
        <f>IF(ExistingBMPs6[[#This Row],[Treatment Depth (in/imp. ac) Manual Override - use if no impervious area]]&gt;0,ExistingBMPs6[[#This Row],[Treatment Depth (in/imp. ac) Manual Override - use if no impervious area]],ExistingBMPs6[[#This Row],[Treatment Depth (in/imp. ac)]])</f>
        <v>2.5</v>
      </c>
      <c r="M25" s="36">
        <f>IF(ExistingBMPs6[[#This Row],[BMP Type]]="Stream Restoration",NA(),IFERROR(INDEX(Impervious[#All],MATCH(ExistingBMPs6[[#This Row],[MapShed Land Cover of Drainage Area]],Impervious[[#All],[Source]],0),4),0))</f>
        <v>0.15</v>
      </c>
      <c r="N25" s="37">
        <f>IF(ExistingBMPs6[[#This Row],[BMP Type]]="Street Sweeping",ExistingBMPs6[[#This Row],[Street Sweeping* Road Length Swept (ft) - Qualified projects only]]*Street_Sweeping[Road Width (ft)]/43560*INDEX(Loading_Rates[#All],MATCH(ExistingBMPs6[[#This Row],[MapShed Land Cover of Drainage Area]],Loading_Rates[[#All],[Source]],0),2)*ExistingBMPs6[[#This Row],[Impervious (%)]],IF(ExistingBMPs6[[#This Row],[BMP Type]]="Stream Restoration",NA(),INDEX(Loading_Rates[#All],MATCH(ExistingBMPs6[[#This Row],[MapShed Land Cover of Drainage Area]],Loading_Rates[[#All],[Source]],0),2)*ExistingBMPs6[[#This Row],[Drainage Area (ac)]]))</f>
        <v>923.9</v>
      </c>
      <c r="O25" s="37">
        <f>IF(ExistingBMPs6[[#This Row],[BMP Type]]="Street Sweeping",ExistingBMPs6[[#This Row],[Street Sweeping* Road Length Swept (ft) - Qualified projects only]]*Street_Sweeping[Road Width (ft)]/43560*INDEX(Loading_Rates[#All],MATCH(ExistingBMPs6[[#This Row],[MapShed Land Cover of Drainage Area]],Loading_Rates[[#All],[Source]],0),3)*ExistingBMPs6[[#This Row],[Impervious (%)]],IF(ExistingBMPs6[[#This Row],[BMP Type]]="Stream Restoration",NA(),INDEX(Loading_Rates[#All],MATCH(ExistingBMPs6[[#This Row],[MapShed Land Cover of Drainage Area]],Loading_Rates[[#All],[Source]],0),3)*ExistingBMPs6[[#This Row],[Drainage Area (ac)]]))</f>
        <v>0.5</v>
      </c>
      <c r="P25" s="37">
        <f>IF(ExistingBMPs6[[#This Row],[BMP Type]]="Street Sweeping",ExistingBMPs6[[#This Row],[Street Sweeping* Road Length Swept (ft) - Qualified projects only]]*Street_Sweeping[Road Width (ft)]/43560*INDEX(Loading_Rates[#All],MATCH(ExistingBMPs6[[#This Row],[MapShed Land Cover of Drainage Area]],Loading_Rates[[#All],[Source]],0),4)*ExistingBMPs6[[#This Row],[Impervious (%)]],IF(ExistingBMPs6[[#This Row],[BMP Type]]="Stream Restoration",NA(),INDEX(Loading_Rates[#All],MATCH(ExistingBMPs6[[#This Row],[MapShed Land Cover of Drainage Area]],Loading_Rates[[#All],[Source]],0),4)*ExistingBMPs6[[#This Row],[Drainage Area (ac)]]))</f>
        <v>5</v>
      </c>
      <c r="Q25" s="36">
        <f>IF(ExistingBMPs6[[#This Row],[BMP Type]]="RR",0.0326*ExistingBMPs6[[#This Row],[Effective Treatment Depth (in/imp. ac)]]^5-0.2806*ExistingBMPs6[[#This Row],[Effective Treatment Depth (in/imp. ac)]]^4+0.9816*ExistingBMPs6[[#This Row],[Effective Treatment Depth (in/imp. ac)]]^3-1.8039*ExistingBMPs6[[#This Row],[Effective Treatment Depth (in/imp. ac)]]^2+1.8292*ExistingBMPs6[[#This Row],[Effective Treatment Depth (in/imp. ac)]]-0.0098,IF(ExistingBMPs6[[#This Row],[BMP Type]]="ST",0.0304*ExistingBMPs6[[#This Row],[Effective Treatment Depth (in/imp. ac)]]^5-0.2619*ExistingBMPs6[[#This Row],[Effective Treatment Depth (in/imp. ac)]]^4+0.9161*ExistingBMPs6[[#This Row],[Effective Treatment Depth (in/imp. ac)]]^3-1.6837*ExistingBMPs6[[#This Row],[Effective Treatment Depth (in/imp. ac)]]^2+1.7072*ExistingBMPs6[[#This Row],[Effective Treatment Depth (in/imp. ac)]]-0.0091,IF(ExistingBMPs6[[#This Row],[BMP Type]]="Street Sweeping",Street_Sweeping[TSS Reduction (%)],IF(OR(ExistingBMPs6[[#This Row],[BMP Type]]="Other",ExistingBMPs6[[#This Row],[BMP Type]]="Stream Restoration"),0,1))))</f>
        <v>0.84898124999999891</v>
      </c>
      <c r="R25" s="36">
        <f>IF(ExistingBMPs6[[#This Row],[BMP Type]]="RR",0.0304*ExistingBMPs6[[#This Row],[Effective Treatment Depth (in/imp. ac)]]^5-0.2619*ExistingBMPs6[[#This Row],[Effective Treatment Depth (in/imp. ac)]]^4+0.9161*ExistingBMPs6[[#This Row],[Effective Treatment Depth (in/imp. ac)]]^3-1.6837*ExistingBMPs6[[#This Row],[Effective Treatment Depth (in/imp. ac)]]^2+1.7072*ExistingBMPs6[[#This Row],[Effective Treatment Depth (in/imp. ac)]]-0.0091,IF(ExistingBMPs6[[#This Row],[BMP Type]]="ST",0.0239*ExistingBMPs6[[#This Row],[Effective Treatment Depth (in/imp. ac)]]^5-0.2058*ExistingBMPs6[[#This Row],[Effective Treatment Depth (in/imp. ac)]]^4+0.7198*ExistingBMPs6[[#This Row],[Effective Treatment Depth (in/imp. ac)]]^3-1.3229*ExistingBMPs6[[#This Row],[Effective Treatment Depth (in/imp. ac)]]^2+1.3414*ExistingBMPs6[[#This Row],[Effective Treatment Depth (in/imp. ac)]]-0.0072,IF(ExistingBMPs6[[#This Row],[BMP Type]]="Street Sweeping",Street_Sweeping[TP Reduction (%)],IF(OR(ExistingBMPs6[[#This Row],[BMP Type]]="Other",ExistingBMPs6[[#This Row],[BMP Type]]="Stream Restoration"),0,1))))</f>
        <v>0.78811874999999987</v>
      </c>
      <c r="S25" s="36">
        <f>IF(ExistingBMPs6[[#This Row],[BMP Type]]="RR",0.0308*ExistingBMPs6[[#This Row],[Effective Treatment Depth (in/imp. ac)]]^5-0.2562*ExistingBMPs6[[#This Row],[Effective Treatment Depth (in/imp. ac)]]^4+0.8634*ExistingBMPs6[[#This Row],[Effective Treatment Depth (in/imp. ac)]]^3-1.5285*ExistingBMPs6[[#This Row],[Effective Treatment Depth (in/imp. ac)]]^2+1.501*ExistingBMPs6[[#This Row],[Effective Treatment Depth (in/imp. ac)]]-0.013,IF(ExistingBMPs6[[#This Row],[BMP Type]]="ST",0.0152*ExistingBMPs6[[#This Row],[Effective Treatment Depth (in/imp. ac)]]^5-0.131*ExistingBMPs6[[#This Row],[Effective Treatment Depth (in/imp. ac)]]^4+0.4581*ExistingBMPs6[[#This Row],[Effective Treatment Depth (in/imp. ac)]]^3-0.8418*ExistingBMPs6[[#This Row],[Effective Treatment Depth (in/imp. ac)]]^2+0.8536*ExistingBMPs6[[#This Row],[Effective Treatment Depth (in/imp. ac)]]-0.0046,IF(ExistingBMPs6[[#This Row],[BMP Type]]="Street Sweeping",Street_Sweeping[TN Reduction (%)],IF(OR(ExistingBMPs6[[#This Row],[BMP Type]]="Other",ExistingBMPs6[[#This Row],[BMP Type]]="Stream Restoration"),0,1))))</f>
        <v>0.67699999999999949</v>
      </c>
      <c r="T25" s="37">
        <f>IF(ExistingBMPs6[[#This Row],[TSS Reduction (%)]]&gt;0,IF(ExistingBMPs6[[#This Row],[BMP Type]]="Street Sweeping",ExistingBMPs6[[#This Row],[TSS Load (lbs/yr)]]*ExistingBMPs6[[#This Row],[TSS Reduction (%)]],INDEX(Loading_Rates[#All],MATCH(ExistingBMPs6[[#This Row],[MapShed Land Cover of Drainage Area]],Loading_Rates[[#All],[Source]],0),2)*ExistingBMPs6[[#This Row],[Drainage Area (ac)]]*ExistingBMPs6[[#This Row],[TSS Reduction (%)]]),IF(ExistingBMPs6[[#This Row],[BMP Type]]="Stream Restoration",Stream_Nutrients[TSS (lbs/ft/yr)]*ExistingBMPs6[[#This Row],[Stream Restoration* Length (ft) - Qualified projects only]],0))</f>
        <v>784.37377687499895</v>
      </c>
      <c r="U25" s="37">
        <f>ExistingBMPs6[[#This Row],[TSS Reduction (lbs/yr)]]/2000</f>
        <v>0.39218688843749949</v>
      </c>
      <c r="V25" s="37">
        <f>IF(ExistingBMPs6[[#This Row],[TP Reduction (%)]]&gt;0,IF(ExistingBMPs6[[#This Row],[BMP Type]]="Street Sweeping",ExistingBMPs6[[#This Row],[TP Load (lbs/yr)]]*ExistingBMPs6[[#This Row],[TP Reduction (%)]],INDEX(Loading_Rates[#All],MATCH(ExistingBMPs6[[#This Row],[MapShed Land Cover of Drainage Area]],Loading_Rates[[#All],[Source]],0),3)*ExistingBMPs6[[#This Row],[Drainage Area (ac)]]*ExistingBMPs6[[#This Row],[TP Reduction (%)]]),IF(ExistingBMPs6[[#This Row],[BMP Type]]="Stream Restoration",Stream_Nutrients[TP (lbs/ft/yr)]*ExistingBMPs6[[#This Row],[Stream Restoration* Length (ft) - Qualified projects only]],0))</f>
        <v>0.39405937499999993</v>
      </c>
      <c r="W25" s="37">
        <f>IF(ExistingBMPs6[[#This Row],[TN Reduction (%)]]&gt;0,IF(ExistingBMPs6[[#This Row],[BMP Type]]="Street Sweeping",ExistingBMPs6[[#This Row],[TN Load (lbs/yr)]]*ExistingBMPs6[[#This Row],[TN Reduction (%)]],INDEX(Loading_Rates[#All],MATCH(ExistingBMPs6[[#This Row],[MapShed Land Cover of Drainage Area]],Loading_Rates[[#All],[Source]],0),4)*ExistingBMPs6[[#This Row],[Drainage Area (ac)]]*ExistingBMPs6[[#This Row],[TN Reduction (%)]]),IF(ExistingBMPs6[[#This Row],[BMP Type]]="Stream Restoration",Stream_Nutrients[TN (lbs/ft/yr)]*ExistingBMPs6[[#This Row],[Stream Restoration* Length (ft) - Qualified projects only]],0))</f>
        <v>3.3849999999999976</v>
      </c>
    </row>
    <row r="26" spans="1:23" x14ac:dyDescent="0.25">
      <c r="A26" s="30" t="s">
        <v>48</v>
      </c>
      <c r="B26" s="30" t="s">
        <v>19</v>
      </c>
      <c r="C26" s="31">
        <v>2015</v>
      </c>
      <c r="D26" s="30" t="s">
        <v>16</v>
      </c>
      <c r="E26" s="32">
        <v>32</v>
      </c>
      <c r="F26" s="33">
        <v>1.5</v>
      </c>
      <c r="G26" s="34"/>
      <c r="H26" s="34"/>
      <c r="I26" s="35">
        <f>ExistingBMPs6[[#This Row],[Drainage Area (ac)]]*ExistingBMPs6[[#This Row],[Impervious (%)]]</f>
        <v>27.84</v>
      </c>
      <c r="J26" s="35">
        <f>IFERROR(MIN(ExistingBMPs6[[#This Row],[Treatment Depth (in)]]*ExistingBMPs6[[#This Row],[Drainage Area (ac)]]/ExistingBMPs6[[#This Row],[Impervious Area (ac)]],2.5),NA())</f>
        <v>1.7241379310344829</v>
      </c>
      <c r="K26" s="33"/>
      <c r="L26" s="35">
        <f>IF(ExistingBMPs6[[#This Row],[Treatment Depth (in/imp. ac) Manual Override - use if no impervious area]]&gt;0,ExistingBMPs6[[#This Row],[Treatment Depth (in/imp. ac) Manual Override - use if no impervious area]],ExistingBMPs6[[#This Row],[Treatment Depth (in/imp. ac)]])</f>
        <v>1.7241379310344829</v>
      </c>
      <c r="M26" s="36">
        <f>IF(ExistingBMPs6[[#This Row],[BMP Type]]="Stream Restoration",NA(),IFERROR(INDEX(Impervious[#All],MATCH(ExistingBMPs6[[#This Row],[MapShed Land Cover of Drainage Area]],Impervious[[#All],[Source]],0),4),0))</f>
        <v>0.87</v>
      </c>
      <c r="N26" s="37">
        <f>IF(ExistingBMPs6[[#This Row],[BMP Type]]="Street Sweeping",ExistingBMPs6[[#This Row],[Street Sweeping* Road Length Swept (ft) - Qualified projects only]]*Street_Sweeping[Road Width (ft)]/43560*INDEX(Loading_Rates[#All],MATCH(ExistingBMPs6[[#This Row],[MapShed Land Cover of Drainage Area]],Loading_Rates[[#All],[Source]],0),2)*ExistingBMPs6[[#This Row],[Impervious (%)]],IF(ExistingBMPs6[[#This Row],[BMP Type]]="Stream Restoration",NA(),INDEX(Loading_Rates[#All],MATCH(ExistingBMPs6[[#This Row],[MapShed Land Cover of Drainage Area]],Loading_Rates[[#All],[Source]],0),2)*ExistingBMPs6[[#This Row],[Drainage Area (ac)]]))</f>
        <v>75824</v>
      </c>
      <c r="O26" s="37">
        <f>IF(ExistingBMPs6[[#This Row],[BMP Type]]="Street Sweeping",ExistingBMPs6[[#This Row],[Street Sweeping* Road Length Swept (ft) - Qualified projects only]]*Street_Sweeping[Road Width (ft)]/43560*INDEX(Loading_Rates[#All],MATCH(ExistingBMPs6[[#This Row],[MapShed Land Cover of Drainage Area]],Loading_Rates[[#All],[Source]],0),3)*ExistingBMPs6[[#This Row],[Impervious (%)]],IF(ExistingBMPs6[[#This Row],[BMP Type]]="Stream Restoration",NA(),INDEX(Loading_Rates[#All],MATCH(ExistingBMPs6[[#This Row],[MapShed Land Cover of Drainage Area]],Loading_Rates[[#All],[Source]],0),3)*ExistingBMPs6[[#This Row],[Drainage Area (ac)]]))</f>
        <v>16</v>
      </c>
      <c r="P26" s="37">
        <f>IF(ExistingBMPs6[[#This Row],[BMP Type]]="Street Sweeping",ExistingBMPs6[[#This Row],[Street Sweeping* Road Length Swept (ft) - Qualified projects only]]*Street_Sweeping[Road Width (ft)]/43560*INDEX(Loading_Rates[#All],MATCH(ExistingBMPs6[[#This Row],[MapShed Land Cover of Drainage Area]],Loading_Rates[[#All],[Source]],0),4)*ExistingBMPs6[[#This Row],[Impervious (%)]],IF(ExistingBMPs6[[#This Row],[BMP Type]]="Stream Restoration",NA(),INDEX(Loading_Rates[#All],MATCH(ExistingBMPs6[[#This Row],[MapShed Land Cover of Drainage Area]],Loading_Rates[[#All],[Source]],0),4)*ExistingBMPs6[[#This Row],[Drainage Area (ac)]]))</f>
        <v>160</v>
      </c>
      <c r="Q26" s="36">
        <f>IF(ExistingBMPs6[[#This Row],[BMP Type]]="RR",0.0326*ExistingBMPs6[[#This Row],[Effective Treatment Depth (in/imp. ac)]]^5-0.2806*ExistingBMPs6[[#This Row],[Effective Treatment Depth (in/imp. ac)]]^4+0.9816*ExistingBMPs6[[#This Row],[Effective Treatment Depth (in/imp. ac)]]^3-1.8039*ExistingBMPs6[[#This Row],[Effective Treatment Depth (in/imp. ac)]]^2+1.8292*ExistingBMPs6[[#This Row],[Effective Treatment Depth (in/imp. ac)]]-0.0098,IF(ExistingBMPs6[[#This Row],[BMP Type]]="ST",0.0304*ExistingBMPs6[[#This Row],[Effective Treatment Depth (in/imp. ac)]]^5-0.2619*ExistingBMPs6[[#This Row],[Effective Treatment Depth (in/imp. ac)]]^4+0.9161*ExistingBMPs6[[#This Row],[Effective Treatment Depth (in/imp. ac)]]^3-1.6837*ExistingBMPs6[[#This Row],[Effective Treatment Depth (in/imp. ac)]]^2+1.7072*ExistingBMPs6[[#This Row],[Effective Treatment Depth (in/imp. ac)]]-0.0091,IF(ExistingBMPs6[[#This Row],[BMP Type]]="Street Sweeping",Street_Sweeping[TSS Reduction (%)],IF(OR(ExistingBMPs6[[#This Row],[BMP Type]]="Other",ExistingBMPs6[[#This Row],[BMP Type]]="Stream Restoration"),0,1))))</f>
        <v>0.77338885081962083</v>
      </c>
      <c r="R26" s="36">
        <f>IF(ExistingBMPs6[[#This Row],[BMP Type]]="RR",0.0304*ExistingBMPs6[[#This Row],[Effective Treatment Depth (in/imp. ac)]]^5-0.2619*ExistingBMPs6[[#This Row],[Effective Treatment Depth (in/imp. ac)]]^4+0.9161*ExistingBMPs6[[#This Row],[Effective Treatment Depth (in/imp. ac)]]^3-1.6837*ExistingBMPs6[[#This Row],[Effective Treatment Depth (in/imp. ac)]]^2+1.7072*ExistingBMPs6[[#This Row],[Effective Treatment Depth (in/imp. ac)]]-0.0091,IF(ExistingBMPs6[[#This Row],[BMP Type]]="ST",0.0239*ExistingBMPs6[[#This Row],[Effective Treatment Depth (in/imp. ac)]]^5-0.2058*ExistingBMPs6[[#This Row],[Effective Treatment Depth (in/imp. ac)]]^4+0.7198*ExistingBMPs6[[#This Row],[Effective Treatment Depth (in/imp. ac)]]^3-1.3229*ExistingBMPs6[[#This Row],[Effective Treatment Depth (in/imp. ac)]]^2+1.3414*ExistingBMPs6[[#This Row],[Effective Treatment Depth (in/imp. ac)]]-0.0072,IF(ExistingBMPs6[[#This Row],[BMP Type]]="Street Sweeping",Street_Sweeping[TP Reduction (%)],IF(OR(ExistingBMPs6[[#This Row],[BMP Type]]="Other",ExistingBMPs6[[#This Row],[BMP Type]]="Stream Restoration"),0,1))))</f>
        <v>0.60774806653688718</v>
      </c>
      <c r="S26" s="36">
        <f>IF(ExistingBMPs6[[#This Row],[BMP Type]]="RR",0.0308*ExistingBMPs6[[#This Row],[Effective Treatment Depth (in/imp. ac)]]^5-0.2562*ExistingBMPs6[[#This Row],[Effective Treatment Depth (in/imp. ac)]]^4+0.8634*ExistingBMPs6[[#This Row],[Effective Treatment Depth (in/imp. ac)]]^3-1.5285*ExistingBMPs6[[#This Row],[Effective Treatment Depth (in/imp. ac)]]^2+1.501*ExistingBMPs6[[#This Row],[Effective Treatment Depth (in/imp. ac)]]-0.013,IF(ExistingBMPs6[[#This Row],[BMP Type]]="ST",0.0152*ExistingBMPs6[[#This Row],[Effective Treatment Depth (in/imp. ac)]]^5-0.131*ExistingBMPs6[[#This Row],[Effective Treatment Depth (in/imp. ac)]]^4+0.4581*ExistingBMPs6[[#This Row],[Effective Treatment Depth (in/imp. ac)]]^3-0.8418*ExistingBMPs6[[#This Row],[Effective Treatment Depth (in/imp. ac)]]^2+0.8536*ExistingBMPs6[[#This Row],[Effective Treatment Depth (in/imp. ac)]]-0.0046,IF(ExistingBMPs6[[#This Row],[BMP Type]]="Street Sweeping",Street_Sweeping[TN Reduction (%)],IF(OR(ExistingBMPs6[[#This Row],[BMP Type]]="Other",ExistingBMPs6[[#This Row],[BMP Type]]="Stream Restoration"),0,1))))</f>
        <v>0.38660748818118357</v>
      </c>
      <c r="T26" s="37">
        <f>IF(ExistingBMPs6[[#This Row],[TSS Reduction (%)]]&gt;0,IF(ExistingBMPs6[[#This Row],[BMP Type]]="Street Sweeping",ExistingBMPs6[[#This Row],[TSS Load (lbs/yr)]]*ExistingBMPs6[[#This Row],[TSS Reduction (%)]],INDEX(Loading_Rates[#All],MATCH(ExistingBMPs6[[#This Row],[MapShed Land Cover of Drainage Area]],Loading_Rates[[#All],[Source]],0),2)*ExistingBMPs6[[#This Row],[Drainage Area (ac)]]*ExistingBMPs6[[#This Row],[TSS Reduction (%)]]),IF(ExistingBMPs6[[#This Row],[BMP Type]]="Stream Restoration",Stream_Nutrients[TSS (lbs/ft/yr)]*ExistingBMPs6[[#This Row],[Stream Restoration* Length (ft) - Qualified projects only]],0))</f>
        <v>58641.436224546931</v>
      </c>
      <c r="U26" s="37">
        <f>ExistingBMPs6[[#This Row],[TSS Reduction (lbs/yr)]]/2000</f>
        <v>29.320718112273465</v>
      </c>
      <c r="V26" s="37">
        <f>IF(ExistingBMPs6[[#This Row],[TP Reduction (%)]]&gt;0,IF(ExistingBMPs6[[#This Row],[BMP Type]]="Street Sweeping",ExistingBMPs6[[#This Row],[TP Load (lbs/yr)]]*ExistingBMPs6[[#This Row],[TP Reduction (%)]],INDEX(Loading_Rates[#All],MATCH(ExistingBMPs6[[#This Row],[MapShed Land Cover of Drainage Area]],Loading_Rates[[#All],[Source]],0),3)*ExistingBMPs6[[#This Row],[Drainage Area (ac)]]*ExistingBMPs6[[#This Row],[TP Reduction (%)]]),IF(ExistingBMPs6[[#This Row],[BMP Type]]="Stream Restoration",Stream_Nutrients[TP (lbs/ft/yr)]*ExistingBMPs6[[#This Row],[Stream Restoration* Length (ft) - Qualified projects only]],0))</f>
        <v>9.7239690645901948</v>
      </c>
      <c r="W26" s="37">
        <f>IF(ExistingBMPs6[[#This Row],[TN Reduction (%)]]&gt;0,IF(ExistingBMPs6[[#This Row],[BMP Type]]="Street Sweeping",ExistingBMPs6[[#This Row],[TN Load (lbs/yr)]]*ExistingBMPs6[[#This Row],[TN Reduction (%)]],INDEX(Loading_Rates[#All],MATCH(ExistingBMPs6[[#This Row],[MapShed Land Cover of Drainage Area]],Loading_Rates[[#All],[Source]],0),4)*ExistingBMPs6[[#This Row],[Drainage Area (ac)]]*ExistingBMPs6[[#This Row],[TN Reduction (%)]]),IF(ExistingBMPs6[[#This Row],[BMP Type]]="Stream Restoration",Stream_Nutrients[TN (lbs/ft/yr)]*ExistingBMPs6[[#This Row],[Stream Restoration* Length (ft) - Qualified projects only]],0))</f>
        <v>61.857198108989373</v>
      </c>
    </row>
    <row r="27" spans="1:23" x14ac:dyDescent="0.25">
      <c r="A27" s="30" t="s">
        <v>64</v>
      </c>
      <c r="B27" s="30" t="s">
        <v>63</v>
      </c>
      <c r="C27" s="31">
        <v>2015</v>
      </c>
      <c r="D27" s="31" t="s">
        <v>83</v>
      </c>
      <c r="E27" s="32"/>
      <c r="F27" s="33"/>
      <c r="G27" s="34"/>
      <c r="H27" s="34">
        <v>20000</v>
      </c>
      <c r="I27" s="35">
        <f>ExistingBMPs6[[#This Row],[Drainage Area (ac)]]*ExistingBMPs6[[#This Row],[Impervious (%)]]</f>
        <v>0</v>
      </c>
      <c r="J27" s="35" t="e">
        <f>IFERROR(MIN(ExistingBMPs6[[#This Row],[Treatment Depth (in)]]*ExistingBMPs6[[#This Row],[Drainage Area (ac)]]/ExistingBMPs6[[#This Row],[Impervious Area (ac)]],2.5),NA())</f>
        <v>#N/A</v>
      </c>
      <c r="K27" s="33"/>
      <c r="L27" s="35" t="e">
        <f>IF(ExistingBMPs6[[#This Row],[Treatment Depth (in/imp. ac) Manual Override - use if no impervious area]]&gt;0,ExistingBMPs6[[#This Row],[Treatment Depth (in/imp. ac) Manual Override - use if no impervious area]],ExistingBMPs6[[#This Row],[Treatment Depth (in/imp. ac)]])</f>
        <v>#N/A</v>
      </c>
      <c r="M27" s="36">
        <f>IF(ExistingBMPs6[[#This Row],[BMP Type]]="Stream Restoration",NA(),IFERROR(INDEX(Impervious[#All],MATCH(ExistingBMPs6[[#This Row],[MapShed Land Cover of Drainage Area]],Impervious[[#All],[Source]],0),4),0))</f>
        <v>0.87</v>
      </c>
      <c r="N27" s="37">
        <f>IF(ExistingBMPs6[[#This Row],[BMP Type]]="Street Sweeping",ExistingBMPs6[[#This Row],[Street Sweeping* Road Length Swept (ft) - Qualified projects only]]*Street_Sweeping[Road Width (ft)]/43560*INDEX(Loading_Rates[#All],MATCH(ExistingBMPs6[[#This Row],[MapShed Land Cover of Drainage Area]],Loading_Rates[[#All],[Source]],0),2)*ExistingBMPs6[[#This Row],[Impervious (%)]],IF(ExistingBMPs6[[#This Row],[BMP Type]]="Stream Restoration",NA(),INDEX(Loading_Rates[#All],MATCH(ExistingBMPs6[[#This Row],[MapShed Land Cover of Drainage Area]],Loading_Rates[[#All],[Source]],0),2)*ExistingBMPs6[[#This Row],[Drainage Area (ac)]]))</f>
        <v>330.90358126721759</v>
      </c>
      <c r="O27" s="37">
        <f>IF(ExistingBMPs6[[#This Row],[BMP Type]]="Street Sweeping",ExistingBMPs6[[#This Row],[Street Sweeping* Road Length Swept (ft) - Qualified projects only]]*Street_Sweeping[Road Width (ft)]/43560*INDEX(Loading_Rates[#All],MATCH(ExistingBMPs6[[#This Row],[MapShed Land Cover of Drainage Area]],Loading_Rates[[#All],[Source]],0),3)*ExistingBMPs6[[#This Row],[Impervious (%)]],IF(ExistingBMPs6[[#This Row],[BMP Type]]="Stream Restoration",NA(),INDEX(Loading_Rates[#All],MATCH(ExistingBMPs6[[#This Row],[MapShed Land Cover of Drainage Area]],Loading_Rates[[#All],[Source]],0),3)*ExistingBMPs6[[#This Row],[Drainage Area (ac)]]))</f>
        <v>0.39944903581267216</v>
      </c>
      <c r="P27" s="37">
        <f>IF(ExistingBMPs6[[#This Row],[BMP Type]]="Street Sweeping",ExistingBMPs6[[#This Row],[Street Sweeping* Road Length Swept (ft) - Qualified projects only]]*Street_Sweeping[Road Width (ft)]/43560*INDEX(Loading_Rates[#All],MATCH(ExistingBMPs6[[#This Row],[MapShed Land Cover of Drainage Area]],Loading_Rates[[#All],[Source]],0),4)*ExistingBMPs6[[#This Row],[Impervious (%)]],IF(ExistingBMPs6[[#This Row],[BMP Type]]="Stream Restoration",NA(),INDEX(Loading_Rates[#All],MATCH(ExistingBMPs6[[#This Row],[MapShed Land Cover of Drainage Area]],Loading_Rates[[#All],[Source]],0),4)*ExistingBMPs6[[#This Row],[Drainage Area (ac)]]))</f>
        <v>3.9944903581267215</v>
      </c>
      <c r="Q27" s="36">
        <f>IF(ExistingBMPs6[[#This Row],[BMP Type]]="RR",0.0326*ExistingBMPs6[[#This Row],[Effective Treatment Depth (in/imp. ac)]]^5-0.2806*ExistingBMPs6[[#This Row],[Effective Treatment Depth (in/imp. ac)]]^4+0.9816*ExistingBMPs6[[#This Row],[Effective Treatment Depth (in/imp. ac)]]^3-1.8039*ExistingBMPs6[[#This Row],[Effective Treatment Depth (in/imp. ac)]]^2+1.8292*ExistingBMPs6[[#This Row],[Effective Treatment Depth (in/imp. ac)]]-0.0098,IF(ExistingBMPs6[[#This Row],[BMP Type]]="ST",0.0304*ExistingBMPs6[[#This Row],[Effective Treatment Depth (in/imp. ac)]]^5-0.2619*ExistingBMPs6[[#This Row],[Effective Treatment Depth (in/imp. ac)]]^4+0.9161*ExistingBMPs6[[#This Row],[Effective Treatment Depth (in/imp. ac)]]^3-1.6837*ExistingBMPs6[[#This Row],[Effective Treatment Depth (in/imp. ac)]]^2+1.7072*ExistingBMPs6[[#This Row],[Effective Treatment Depth (in/imp. ac)]]-0.0091,IF(ExistingBMPs6[[#This Row],[BMP Type]]="Street Sweeping",Street_Sweeping[TSS Reduction (%)],IF(OR(ExistingBMPs6[[#This Row],[BMP Type]]="Other",ExistingBMPs6[[#This Row],[BMP Type]]="Stream Restoration"),0,1))))</f>
        <v>0.1</v>
      </c>
      <c r="R27" s="36">
        <f>IF(ExistingBMPs6[[#This Row],[BMP Type]]="RR",0.0304*ExistingBMPs6[[#This Row],[Effective Treatment Depth (in/imp. ac)]]^5-0.2619*ExistingBMPs6[[#This Row],[Effective Treatment Depth (in/imp. ac)]]^4+0.9161*ExistingBMPs6[[#This Row],[Effective Treatment Depth (in/imp. ac)]]^3-1.6837*ExistingBMPs6[[#This Row],[Effective Treatment Depth (in/imp. ac)]]^2+1.7072*ExistingBMPs6[[#This Row],[Effective Treatment Depth (in/imp. ac)]]-0.0091,IF(ExistingBMPs6[[#This Row],[BMP Type]]="ST",0.0239*ExistingBMPs6[[#This Row],[Effective Treatment Depth (in/imp. ac)]]^5-0.2058*ExistingBMPs6[[#This Row],[Effective Treatment Depth (in/imp. ac)]]^4+0.7198*ExistingBMPs6[[#This Row],[Effective Treatment Depth (in/imp. ac)]]^3-1.3229*ExistingBMPs6[[#This Row],[Effective Treatment Depth (in/imp. ac)]]^2+1.3414*ExistingBMPs6[[#This Row],[Effective Treatment Depth (in/imp. ac)]]-0.0072,IF(ExistingBMPs6[[#This Row],[BMP Type]]="Street Sweeping",Street_Sweeping[TP Reduction (%)],IF(OR(ExistingBMPs6[[#This Row],[BMP Type]]="Other",ExistingBMPs6[[#This Row],[BMP Type]]="Stream Restoration"),0,1))))</f>
        <v>0.1</v>
      </c>
      <c r="S27" s="36">
        <f>IF(ExistingBMPs6[[#This Row],[BMP Type]]="RR",0.0308*ExistingBMPs6[[#This Row],[Effective Treatment Depth (in/imp. ac)]]^5-0.2562*ExistingBMPs6[[#This Row],[Effective Treatment Depth (in/imp. ac)]]^4+0.8634*ExistingBMPs6[[#This Row],[Effective Treatment Depth (in/imp. ac)]]^3-1.5285*ExistingBMPs6[[#This Row],[Effective Treatment Depth (in/imp. ac)]]^2+1.501*ExistingBMPs6[[#This Row],[Effective Treatment Depth (in/imp. ac)]]-0.013,IF(ExistingBMPs6[[#This Row],[BMP Type]]="ST",0.0152*ExistingBMPs6[[#This Row],[Effective Treatment Depth (in/imp. ac)]]^5-0.131*ExistingBMPs6[[#This Row],[Effective Treatment Depth (in/imp. ac)]]^4+0.4581*ExistingBMPs6[[#This Row],[Effective Treatment Depth (in/imp. ac)]]^3-0.8418*ExistingBMPs6[[#This Row],[Effective Treatment Depth (in/imp. ac)]]^2+0.8536*ExistingBMPs6[[#This Row],[Effective Treatment Depth (in/imp. ac)]]-0.0046,IF(ExistingBMPs6[[#This Row],[BMP Type]]="Street Sweeping",Street_Sweeping[TN Reduction (%)],IF(OR(ExistingBMPs6[[#This Row],[BMP Type]]="Other",ExistingBMPs6[[#This Row],[BMP Type]]="Stream Restoration"),0,1))))</f>
        <v>0.1</v>
      </c>
      <c r="T27" s="37">
        <f>IF(ExistingBMPs6[[#This Row],[TSS Reduction (%)]]&gt;0,IF(ExistingBMPs6[[#This Row],[BMP Type]]="Street Sweeping",ExistingBMPs6[[#This Row],[TSS Load (lbs/yr)]]*ExistingBMPs6[[#This Row],[TSS Reduction (%)]],INDEX(Loading_Rates[#All],MATCH(ExistingBMPs6[[#This Row],[MapShed Land Cover of Drainage Area]],Loading_Rates[[#All],[Source]],0),2)*ExistingBMPs6[[#This Row],[Drainage Area (ac)]]*ExistingBMPs6[[#This Row],[TSS Reduction (%)]]),IF(ExistingBMPs6[[#This Row],[BMP Type]]="Stream Restoration",Stream_Nutrients[TSS (lbs/ft/yr)]*ExistingBMPs6[[#This Row],[Stream Restoration* Length (ft) - Qualified projects only]],0))</f>
        <v>33.09035812672176</v>
      </c>
      <c r="U27" s="37">
        <f>ExistingBMPs6[[#This Row],[TSS Reduction (lbs/yr)]]/2000</f>
        <v>1.6545179063360879E-2</v>
      </c>
      <c r="V27" s="37">
        <f>IF(ExistingBMPs6[[#This Row],[TP Reduction (%)]]&gt;0,IF(ExistingBMPs6[[#This Row],[BMP Type]]="Street Sweeping",ExistingBMPs6[[#This Row],[TP Load (lbs/yr)]]*ExistingBMPs6[[#This Row],[TP Reduction (%)]],INDEX(Loading_Rates[#All],MATCH(ExistingBMPs6[[#This Row],[MapShed Land Cover of Drainage Area]],Loading_Rates[[#All],[Source]],0),3)*ExistingBMPs6[[#This Row],[Drainage Area (ac)]]*ExistingBMPs6[[#This Row],[TP Reduction (%)]]),IF(ExistingBMPs6[[#This Row],[BMP Type]]="Stream Restoration",Stream_Nutrients[TP (lbs/ft/yr)]*ExistingBMPs6[[#This Row],[Stream Restoration* Length (ft) - Qualified projects only]],0))</f>
        <v>3.9944903581267219E-2</v>
      </c>
      <c r="W27" s="37">
        <f>IF(ExistingBMPs6[[#This Row],[TN Reduction (%)]]&gt;0,IF(ExistingBMPs6[[#This Row],[BMP Type]]="Street Sweeping",ExistingBMPs6[[#This Row],[TN Load (lbs/yr)]]*ExistingBMPs6[[#This Row],[TN Reduction (%)]],INDEX(Loading_Rates[#All],MATCH(ExistingBMPs6[[#This Row],[MapShed Land Cover of Drainage Area]],Loading_Rates[[#All],[Source]],0),4)*ExistingBMPs6[[#This Row],[Drainage Area (ac)]]*ExistingBMPs6[[#This Row],[TN Reduction (%)]]),IF(ExistingBMPs6[[#This Row],[BMP Type]]="Stream Restoration",Stream_Nutrients[TN (lbs/ft/yr)]*ExistingBMPs6[[#This Row],[Stream Restoration* Length (ft) - Qualified projects only]],0))</f>
        <v>0.39944903581267216</v>
      </c>
    </row>
    <row r="28" spans="1:23" ht="21" x14ac:dyDescent="0.35">
      <c r="A28" s="28" t="s">
        <v>17</v>
      </c>
      <c r="B28" s="28"/>
      <c r="C28" s="28"/>
      <c r="D28" s="28"/>
      <c r="E28" s="28"/>
      <c r="F28" s="28"/>
      <c r="G28" s="28"/>
      <c r="H28" s="28"/>
      <c r="I28" s="28"/>
      <c r="J28" s="28"/>
      <c r="K28" s="28"/>
      <c r="L28" s="28"/>
      <c r="M28" s="28"/>
      <c r="N28" s="28"/>
      <c r="O28" s="28"/>
      <c r="P28" s="28"/>
      <c r="Q28" s="28"/>
      <c r="R28" s="28"/>
      <c r="S28" s="28"/>
      <c r="T28" s="38">
        <f>_xlfn.AGGREGATE(9,7,ExistingBMPs6[TSS Reduction (lbs/yr)])</f>
        <v>59458.90035954865</v>
      </c>
      <c r="U28" s="37">
        <f>_xlfn.AGGREGATE(9,7,ExistingBMPs6[TSS Reduction (tons/yr)])</f>
        <v>29.729450179774325</v>
      </c>
      <c r="V28" s="38">
        <f>_xlfn.AGGREGATE(9,7,ExistingBMPs6[TP Reduction (lbs/yr)])</f>
        <v>10.157973343171461</v>
      </c>
      <c r="W28" s="38">
        <f>_xlfn.AGGREGATE(9,7,ExistingBMPs6[TN Reduction (lbs/yr)])</f>
        <v>65.641647144802036</v>
      </c>
    </row>
    <row r="31" spans="1:23" x14ac:dyDescent="0.25">
      <c r="A31" t="s">
        <v>139</v>
      </c>
    </row>
    <row r="32" spans="1:23" ht="60" x14ac:dyDescent="0.25">
      <c r="A32" s="28" t="s">
        <v>20</v>
      </c>
      <c r="B32" s="29" t="s">
        <v>24</v>
      </c>
      <c r="C32" s="28" t="s">
        <v>45</v>
      </c>
      <c r="D32" s="29" t="s">
        <v>36</v>
      </c>
      <c r="E32" s="29" t="s">
        <v>21</v>
      </c>
      <c r="F32" s="29" t="s">
        <v>23</v>
      </c>
      <c r="G32" s="29" t="s">
        <v>79</v>
      </c>
      <c r="H32" s="29" t="s">
        <v>80</v>
      </c>
      <c r="I32" s="29" t="s">
        <v>22</v>
      </c>
      <c r="J32" s="29" t="s">
        <v>44</v>
      </c>
      <c r="K32" s="29" t="s">
        <v>56</v>
      </c>
      <c r="L32" s="29" t="s">
        <v>57</v>
      </c>
      <c r="M32" s="29" t="s">
        <v>68</v>
      </c>
      <c r="N32" s="29" t="s">
        <v>76</v>
      </c>
      <c r="O32" s="29" t="s">
        <v>77</v>
      </c>
      <c r="P32" s="29" t="s">
        <v>78</v>
      </c>
      <c r="Q32" s="29" t="s">
        <v>65</v>
      </c>
      <c r="R32" s="29" t="s">
        <v>66</v>
      </c>
      <c r="S32" s="29" t="s">
        <v>67</v>
      </c>
      <c r="T32" s="29" t="s">
        <v>39</v>
      </c>
      <c r="U32" s="29" t="s">
        <v>40</v>
      </c>
      <c r="V32" s="29" t="s">
        <v>38</v>
      </c>
      <c r="W32" s="29" t="s">
        <v>37</v>
      </c>
    </row>
    <row r="33" spans="1:23" x14ac:dyDescent="0.25">
      <c r="A33" s="30" t="s">
        <v>46</v>
      </c>
      <c r="B33" s="30" t="s">
        <v>18</v>
      </c>
      <c r="C33" s="31">
        <v>2009</v>
      </c>
      <c r="D33" s="30" t="s">
        <v>11</v>
      </c>
      <c r="E33" s="32">
        <v>1</v>
      </c>
      <c r="F33" s="33">
        <v>1</v>
      </c>
      <c r="G33" s="34"/>
      <c r="H33" s="34"/>
      <c r="I33" s="35">
        <f>ExistingBMPs67[[#This Row],[Drainage Area (ac)]]*ExistingBMPs67[[#This Row],[Impervious (%)]]</f>
        <v>0.15</v>
      </c>
      <c r="J33" s="35">
        <f>IFERROR(MIN(ExistingBMPs67[[#This Row],[Treatment Depth (in)]]*ExistingBMPs67[[#This Row],[Drainage Area (ac)]]/ExistingBMPs67[[#This Row],[Impervious Area (ac)]],2.5),NA())</f>
        <v>2.5</v>
      </c>
      <c r="K33" s="33"/>
      <c r="L33" s="35">
        <f>IF(ExistingBMPs67[[#This Row],[Treatment Depth (in/imp. ac) Manual Override - use if no impervious area]]&gt;0,ExistingBMPs67[[#This Row],[Treatment Depth (in/imp. ac) Manual Override - use if no impervious area]],ExistingBMPs67[[#This Row],[Treatment Depth (in/imp. ac)]])</f>
        <v>2.5</v>
      </c>
      <c r="M33" s="36">
        <f>IF(ExistingBMPs67[[#This Row],[BMP Type]]="Stream Restoration",NA(),IFERROR(INDEX(Impervious[#All],MATCH(ExistingBMPs67[[#This Row],[MapShed Land Cover of Drainage Area]],Impervious[[#All],[Source]],0),4),0))</f>
        <v>0.15</v>
      </c>
      <c r="N33" s="37">
        <f>IF(ExistingBMPs67[[#This Row],[BMP Type]]="Street Sweeping",ExistingBMPs67[[#This Row],[Street Sweeping* Road Length Swept (ft) - Qualified projects only]]*Street_Sweeping[Road Width (ft)]/43560*INDEX(Loading_Rates[#All],MATCH(ExistingBMPs67[[#This Row],[MapShed Land Cover of Drainage Area]],Loading_Rates[[#All],[Source]],0),2)*ExistingBMPs67[[#This Row],[Impervious (%)]],IF(ExistingBMPs67[[#This Row],[BMP Type]]="Stream Restoration",NA(),INDEX(Loading_Rates[#All],MATCH(ExistingBMPs67[[#This Row],[MapShed Land Cover of Drainage Area]],Loading_Rates[[#All],[Source]],0),2)*ExistingBMPs67[[#This Row],[Drainage Area (ac)]]))</f>
        <v>923.9</v>
      </c>
      <c r="O33" s="37">
        <f>IF(ExistingBMPs67[[#This Row],[BMP Type]]="Street Sweeping",ExistingBMPs67[[#This Row],[Street Sweeping* Road Length Swept (ft) - Qualified projects only]]*Street_Sweeping[Road Width (ft)]/43560*INDEX(Loading_Rates[#All],MATCH(ExistingBMPs67[[#This Row],[MapShed Land Cover of Drainage Area]],Loading_Rates[[#All],[Source]],0),3)*ExistingBMPs67[[#This Row],[Impervious (%)]],IF(ExistingBMPs67[[#This Row],[BMP Type]]="Stream Restoration",NA(),INDEX(Loading_Rates[#All],MATCH(ExistingBMPs67[[#This Row],[MapShed Land Cover of Drainage Area]],Loading_Rates[[#All],[Source]],0),3)*ExistingBMPs67[[#This Row],[Drainage Area (ac)]]))</f>
        <v>0.5</v>
      </c>
      <c r="P33" s="37">
        <f>IF(ExistingBMPs67[[#This Row],[BMP Type]]="Street Sweeping",ExistingBMPs67[[#This Row],[Street Sweeping* Road Length Swept (ft) - Qualified projects only]]*Street_Sweeping[Road Width (ft)]/43560*INDEX(Loading_Rates[#All],MATCH(ExistingBMPs67[[#This Row],[MapShed Land Cover of Drainage Area]],Loading_Rates[[#All],[Source]],0),4)*ExistingBMPs67[[#This Row],[Impervious (%)]],IF(ExistingBMPs67[[#This Row],[BMP Type]]="Stream Restoration",NA(),INDEX(Loading_Rates[#All],MATCH(ExistingBMPs67[[#This Row],[MapShed Land Cover of Drainage Area]],Loading_Rates[[#All],[Source]],0),4)*ExistingBMPs67[[#This Row],[Drainage Area (ac)]]))</f>
        <v>5</v>
      </c>
      <c r="Q33" s="36">
        <f>IF(ExistingBMPs67[[#This Row],[BMP Type]]="RR",0.0326*ExistingBMPs67[[#This Row],[Effective Treatment Depth (in/imp. ac)]]^5-0.2806*ExistingBMPs67[[#This Row],[Effective Treatment Depth (in/imp. ac)]]^4+0.9816*ExistingBMPs67[[#This Row],[Effective Treatment Depth (in/imp. ac)]]^3-1.8039*ExistingBMPs67[[#This Row],[Effective Treatment Depth (in/imp. ac)]]^2+1.8292*ExistingBMPs67[[#This Row],[Effective Treatment Depth (in/imp. ac)]]-0.0098,IF(ExistingBMPs67[[#This Row],[BMP Type]]="ST",0.0304*ExistingBMPs67[[#This Row],[Effective Treatment Depth (in/imp. ac)]]^5-0.2619*ExistingBMPs67[[#This Row],[Effective Treatment Depth (in/imp. ac)]]^4+0.9161*ExistingBMPs67[[#This Row],[Effective Treatment Depth (in/imp. ac)]]^3-1.6837*ExistingBMPs67[[#This Row],[Effective Treatment Depth (in/imp. ac)]]^2+1.7072*ExistingBMPs67[[#This Row],[Effective Treatment Depth (in/imp. ac)]]-0.0091,IF(ExistingBMPs67[[#This Row],[BMP Type]]="Street Sweeping",Street_Sweeping[TSS Reduction (%)],IF(OR(ExistingBMPs67[[#This Row],[BMP Type]]="Other",ExistingBMPs67[[#This Row],[BMP Type]]="Stream Restoration"),0,1))))</f>
        <v>0.84898124999999891</v>
      </c>
      <c r="R33" s="36">
        <f>IF(ExistingBMPs67[[#This Row],[BMP Type]]="RR",0.0304*ExistingBMPs67[[#This Row],[Effective Treatment Depth (in/imp. ac)]]^5-0.2619*ExistingBMPs67[[#This Row],[Effective Treatment Depth (in/imp. ac)]]^4+0.9161*ExistingBMPs67[[#This Row],[Effective Treatment Depth (in/imp. ac)]]^3-1.6837*ExistingBMPs67[[#This Row],[Effective Treatment Depth (in/imp. ac)]]^2+1.7072*ExistingBMPs67[[#This Row],[Effective Treatment Depth (in/imp. ac)]]-0.0091,IF(ExistingBMPs67[[#This Row],[BMP Type]]="ST",0.0239*ExistingBMPs67[[#This Row],[Effective Treatment Depth (in/imp. ac)]]^5-0.2058*ExistingBMPs67[[#This Row],[Effective Treatment Depth (in/imp. ac)]]^4+0.7198*ExistingBMPs67[[#This Row],[Effective Treatment Depth (in/imp. ac)]]^3-1.3229*ExistingBMPs67[[#This Row],[Effective Treatment Depth (in/imp. ac)]]^2+1.3414*ExistingBMPs67[[#This Row],[Effective Treatment Depth (in/imp. ac)]]-0.0072,IF(ExistingBMPs67[[#This Row],[BMP Type]]="Street Sweeping",Street_Sweeping[TP Reduction (%)],IF(OR(ExistingBMPs67[[#This Row],[BMP Type]]="Other",ExistingBMPs67[[#This Row],[BMP Type]]="Stream Restoration"),0,1))))</f>
        <v>0.78811874999999987</v>
      </c>
      <c r="S33" s="36">
        <f>IF(ExistingBMPs67[[#This Row],[BMP Type]]="RR",0.0308*ExistingBMPs67[[#This Row],[Effective Treatment Depth (in/imp. ac)]]^5-0.2562*ExistingBMPs67[[#This Row],[Effective Treatment Depth (in/imp. ac)]]^4+0.8634*ExistingBMPs67[[#This Row],[Effective Treatment Depth (in/imp. ac)]]^3-1.5285*ExistingBMPs67[[#This Row],[Effective Treatment Depth (in/imp. ac)]]^2+1.501*ExistingBMPs67[[#This Row],[Effective Treatment Depth (in/imp. ac)]]-0.013,IF(ExistingBMPs67[[#This Row],[BMP Type]]="ST",0.0152*ExistingBMPs67[[#This Row],[Effective Treatment Depth (in/imp. ac)]]^5-0.131*ExistingBMPs67[[#This Row],[Effective Treatment Depth (in/imp. ac)]]^4+0.4581*ExistingBMPs67[[#This Row],[Effective Treatment Depth (in/imp. ac)]]^3-0.8418*ExistingBMPs67[[#This Row],[Effective Treatment Depth (in/imp. ac)]]^2+0.8536*ExistingBMPs67[[#This Row],[Effective Treatment Depth (in/imp. ac)]]-0.0046,IF(ExistingBMPs67[[#This Row],[BMP Type]]="Street Sweeping",Street_Sweeping[TN Reduction (%)],IF(OR(ExistingBMPs67[[#This Row],[BMP Type]]="Other",ExistingBMPs67[[#This Row],[BMP Type]]="Stream Restoration"),0,1))))</f>
        <v>0.67699999999999949</v>
      </c>
      <c r="T33" s="37">
        <f>IF(ExistingBMPs67[[#This Row],[TSS Reduction (%)]]&gt;0,IF(ExistingBMPs67[[#This Row],[BMP Type]]="Street Sweeping",ExistingBMPs67[[#This Row],[TSS Load (lbs/yr)]]*ExistingBMPs67[[#This Row],[TSS Reduction (%)]],INDEX(Loading_Rates[#All],MATCH(ExistingBMPs67[[#This Row],[MapShed Land Cover of Drainage Area]],Loading_Rates[[#All],[Source]],0),2)*ExistingBMPs67[[#This Row],[Drainage Area (ac)]]*ExistingBMPs67[[#This Row],[TSS Reduction (%)]]),IF(ExistingBMPs67[[#This Row],[BMP Type]]="Stream Restoration",Stream_Nutrients[TSS (lbs/ft/yr)]*ExistingBMPs67[[#This Row],[Stream Restoration* Length (ft) - Qualified projects only]],0))</f>
        <v>784.37377687499895</v>
      </c>
      <c r="U33" s="37">
        <f>ExistingBMPs67[[#This Row],[TSS Reduction (lbs/yr)]]/2000</f>
        <v>0.39218688843749949</v>
      </c>
      <c r="V33" s="37">
        <f>IF(ExistingBMPs67[[#This Row],[TP Reduction (%)]]&gt;0,IF(ExistingBMPs67[[#This Row],[BMP Type]]="Street Sweeping",ExistingBMPs67[[#This Row],[TP Load (lbs/yr)]]*ExistingBMPs67[[#This Row],[TP Reduction (%)]],INDEX(Loading_Rates[#All],MATCH(ExistingBMPs67[[#This Row],[MapShed Land Cover of Drainage Area]],Loading_Rates[[#All],[Source]],0),3)*ExistingBMPs67[[#This Row],[Drainage Area (ac)]]*ExistingBMPs67[[#This Row],[TP Reduction (%)]]),IF(ExistingBMPs67[[#This Row],[BMP Type]]="Stream Restoration",Stream_Nutrients[TP (lbs/ft/yr)]*ExistingBMPs67[[#This Row],[Stream Restoration* Length (ft) - Qualified projects only]],0))</f>
        <v>0.39405937499999993</v>
      </c>
      <c r="W33" s="37">
        <f>IF(ExistingBMPs67[[#This Row],[TN Reduction (%)]]&gt;0,IF(ExistingBMPs67[[#This Row],[BMP Type]]="Street Sweeping",ExistingBMPs67[[#This Row],[TN Load (lbs/yr)]]*ExistingBMPs67[[#This Row],[TN Reduction (%)]],INDEX(Loading_Rates[#All],MATCH(ExistingBMPs67[[#This Row],[MapShed Land Cover of Drainage Area]],Loading_Rates[[#All],[Source]],0),4)*ExistingBMPs67[[#This Row],[Drainage Area (ac)]]*ExistingBMPs67[[#This Row],[TN Reduction (%)]]),IF(ExistingBMPs67[[#This Row],[BMP Type]]="Stream Restoration",Stream_Nutrients[TN (lbs/ft/yr)]*ExistingBMPs67[[#This Row],[Stream Restoration* Length (ft) - Qualified projects only]],0))</f>
        <v>3.3849999999999976</v>
      </c>
    </row>
    <row r="34" spans="1:23" x14ac:dyDescent="0.25">
      <c r="A34" s="30" t="s">
        <v>48</v>
      </c>
      <c r="B34" s="30" t="s">
        <v>19</v>
      </c>
      <c r="C34" s="31">
        <v>2015</v>
      </c>
      <c r="D34" s="30" t="s">
        <v>16</v>
      </c>
      <c r="E34" s="32">
        <v>32</v>
      </c>
      <c r="F34" s="33">
        <v>1.5</v>
      </c>
      <c r="G34" s="34"/>
      <c r="H34" s="34"/>
      <c r="I34" s="35">
        <f>ExistingBMPs67[[#This Row],[Drainage Area (ac)]]*ExistingBMPs67[[#This Row],[Impervious (%)]]</f>
        <v>27.84</v>
      </c>
      <c r="J34" s="35">
        <f>IFERROR(MIN(ExistingBMPs67[[#This Row],[Treatment Depth (in)]]*ExistingBMPs67[[#This Row],[Drainage Area (ac)]]/ExistingBMPs67[[#This Row],[Impervious Area (ac)]],2.5),NA())</f>
        <v>1.7241379310344829</v>
      </c>
      <c r="K34" s="33"/>
      <c r="L34" s="35">
        <f>IF(ExistingBMPs67[[#This Row],[Treatment Depth (in/imp. ac) Manual Override - use if no impervious area]]&gt;0,ExistingBMPs67[[#This Row],[Treatment Depth (in/imp. ac) Manual Override - use if no impervious area]],ExistingBMPs67[[#This Row],[Treatment Depth (in/imp. ac)]])</f>
        <v>1.7241379310344829</v>
      </c>
      <c r="M34" s="36">
        <f>IF(ExistingBMPs67[[#This Row],[BMP Type]]="Stream Restoration",NA(),IFERROR(INDEX(Impervious[#All],MATCH(ExistingBMPs67[[#This Row],[MapShed Land Cover of Drainage Area]],Impervious[[#All],[Source]],0),4),0))</f>
        <v>0.87</v>
      </c>
      <c r="N34" s="37">
        <f>IF(ExistingBMPs67[[#This Row],[BMP Type]]="Street Sweeping",ExistingBMPs67[[#This Row],[Street Sweeping* Road Length Swept (ft) - Qualified projects only]]*Street_Sweeping[Road Width (ft)]/43560*INDEX(Loading_Rates[#All],MATCH(ExistingBMPs67[[#This Row],[MapShed Land Cover of Drainage Area]],Loading_Rates[[#All],[Source]],0),2)*ExistingBMPs67[[#This Row],[Impervious (%)]],IF(ExistingBMPs67[[#This Row],[BMP Type]]="Stream Restoration",NA(),INDEX(Loading_Rates[#All],MATCH(ExistingBMPs67[[#This Row],[MapShed Land Cover of Drainage Area]],Loading_Rates[[#All],[Source]],0),2)*ExistingBMPs67[[#This Row],[Drainage Area (ac)]]))</f>
        <v>75824</v>
      </c>
      <c r="O34" s="37">
        <f>IF(ExistingBMPs67[[#This Row],[BMP Type]]="Street Sweeping",ExistingBMPs67[[#This Row],[Street Sweeping* Road Length Swept (ft) - Qualified projects only]]*Street_Sweeping[Road Width (ft)]/43560*INDEX(Loading_Rates[#All],MATCH(ExistingBMPs67[[#This Row],[MapShed Land Cover of Drainage Area]],Loading_Rates[[#All],[Source]],0),3)*ExistingBMPs67[[#This Row],[Impervious (%)]],IF(ExistingBMPs67[[#This Row],[BMP Type]]="Stream Restoration",NA(),INDEX(Loading_Rates[#All],MATCH(ExistingBMPs67[[#This Row],[MapShed Land Cover of Drainage Area]],Loading_Rates[[#All],[Source]],0),3)*ExistingBMPs67[[#This Row],[Drainage Area (ac)]]))</f>
        <v>16</v>
      </c>
      <c r="P34" s="37">
        <f>IF(ExistingBMPs67[[#This Row],[BMP Type]]="Street Sweeping",ExistingBMPs67[[#This Row],[Street Sweeping* Road Length Swept (ft) - Qualified projects only]]*Street_Sweeping[Road Width (ft)]/43560*INDEX(Loading_Rates[#All],MATCH(ExistingBMPs67[[#This Row],[MapShed Land Cover of Drainage Area]],Loading_Rates[[#All],[Source]],0),4)*ExistingBMPs67[[#This Row],[Impervious (%)]],IF(ExistingBMPs67[[#This Row],[BMP Type]]="Stream Restoration",NA(),INDEX(Loading_Rates[#All],MATCH(ExistingBMPs67[[#This Row],[MapShed Land Cover of Drainage Area]],Loading_Rates[[#All],[Source]],0),4)*ExistingBMPs67[[#This Row],[Drainage Area (ac)]]))</f>
        <v>160</v>
      </c>
      <c r="Q34" s="36">
        <f>IF(ExistingBMPs67[[#This Row],[BMP Type]]="RR",0.0326*ExistingBMPs67[[#This Row],[Effective Treatment Depth (in/imp. ac)]]^5-0.2806*ExistingBMPs67[[#This Row],[Effective Treatment Depth (in/imp. ac)]]^4+0.9816*ExistingBMPs67[[#This Row],[Effective Treatment Depth (in/imp. ac)]]^3-1.8039*ExistingBMPs67[[#This Row],[Effective Treatment Depth (in/imp. ac)]]^2+1.8292*ExistingBMPs67[[#This Row],[Effective Treatment Depth (in/imp. ac)]]-0.0098,IF(ExistingBMPs67[[#This Row],[BMP Type]]="ST",0.0304*ExistingBMPs67[[#This Row],[Effective Treatment Depth (in/imp. ac)]]^5-0.2619*ExistingBMPs67[[#This Row],[Effective Treatment Depth (in/imp. ac)]]^4+0.9161*ExistingBMPs67[[#This Row],[Effective Treatment Depth (in/imp. ac)]]^3-1.6837*ExistingBMPs67[[#This Row],[Effective Treatment Depth (in/imp. ac)]]^2+1.7072*ExistingBMPs67[[#This Row],[Effective Treatment Depth (in/imp. ac)]]-0.0091,IF(ExistingBMPs67[[#This Row],[BMP Type]]="Street Sweeping",Street_Sweeping[TSS Reduction (%)],IF(OR(ExistingBMPs67[[#This Row],[BMP Type]]="Other",ExistingBMPs67[[#This Row],[BMP Type]]="Stream Restoration"),0,1))))</f>
        <v>0.77338885081962083</v>
      </c>
      <c r="R34" s="36">
        <f>IF(ExistingBMPs67[[#This Row],[BMP Type]]="RR",0.0304*ExistingBMPs67[[#This Row],[Effective Treatment Depth (in/imp. ac)]]^5-0.2619*ExistingBMPs67[[#This Row],[Effective Treatment Depth (in/imp. ac)]]^4+0.9161*ExistingBMPs67[[#This Row],[Effective Treatment Depth (in/imp. ac)]]^3-1.6837*ExistingBMPs67[[#This Row],[Effective Treatment Depth (in/imp. ac)]]^2+1.7072*ExistingBMPs67[[#This Row],[Effective Treatment Depth (in/imp. ac)]]-0.0091,IF(ExistingBMPs67[[#This Row],[BMP Type]]="ST",0.0239*ExistingBMPs67[[#This Row],[Effective Treatment Depth (in/imp. ac)]]^5-0.2058*ExistingBMPs67[[#This Row],[Effective Treatment Depth (in/imp. ac)]]^4+0.7198*ExistingBMPs67[[#This Row],[Effective Treatment Depth (in/imp. ac)]]^3-1.3229*ExistingBMPs67[[#This Row],[Effective Treatment Depth (in/imp. ac)]]^2+1.3414*ExistingBMPs67[[#This Row],[Effective Treatment Depth (in/imp. ac)]]-0.0072,IF(ExistingBMPs67[[#This Row],[BMP Type]]="Street Sweeping",Street_Sweeping[TP Reduction (%)],IF(OR(ExistingBMPs67[[#This Row],[BMP Type]]="Other",ExistingBMPs67[[#This Row],[BMP Type]]="Stream Restoration"),0,1))))</f>
        <v>0.60774806653688718</v>
      </c>
      <c r="S34" s="36">
        <f>IF(ExistingBMPs67[[#This Row],[BMP Type]]="RR",0.0308*ExistingBMPs67[[#This Row],[Effective Treatment Depth (in/imp. ac)]]^5-0.2562*ExistingBMPs67[[#This Row],[Effective Treatment Depth (in/imp. ac)]]^4+0.8634*ExistingBMPs67[[#This Row],[Effective Treatment Depth (in/imp. ac)]]^3-1.5285*ExistingBMPs67[[#This Row],[Effective Treatment Depth (in/imp. ac)]]^2+1.501*ExistingBMPs67[[#This Row],[Effective Treatment Depth (in/imp. ac)]]-0.013,IF(ExistingBMPs67[[#This Row],[BMP Type]]="ST",0.0152*ExistingBMPs67[[#This Row],[Effective Treatment Depth (in/imp. ac)]]^5-0.131*ExistingBMPs67[[#This Row],[Effective Treatment Depth (in/imp. ac)]]^4+0.4581*ExistingBMPs67[[#This Row],[Effective Treatment Depth (in/imp. ac)]]^3-0.8418*ExistingBMPs67[[#This Row],[Effective Treatment Depth (in/imp. ac)]]^2+0.8536*ExistingBMPs67[[#This Row],[Effective Treatment Depth (in/imp. ac)]]-0.0046,IF(ExistingBMPs67[[#This Row],[BMP Type]]="Street Sweeping",Street_Sweeping[TN Reduction (%)],IF(OR(ExistingBMPs67[[#This Row],[BMP Type]]="Other",ExistingBMPs67[[#This Row],[BMP Type]]="Stream Restoration"),0,1))))</f>
        <v>0.38660748818118357</v>
      </c>
      <c r="T34" s="37">
        <f>IF(ExistingBMPs67[[#This Row],[TSS Reduction (%)]]&gt;0,IF(ExistingBMPs67[[#This Row],[BMP Type]]="Street Sweeping",ExistingBMPs67[[#This Row],[TSS Load (lbs/yr)]]*ExistingBMPs67[[#This Row],[TSS Reduction (%)]],INDEX(Loading_Rates[#All],MATCH(ExistingBMPs67[[#This Row],[MapShed Land Cover of Drainage Area]],Loading_Rates[[#All],[Source]],0),2)*ExistingBMPs67[[#This Row],[Drainage Area (ac)]]*ExistingBMPs67[[#This Row],[TSS Reduction (%)]]),IF(ExistingBMPs67[[#This Row],[BMP Type]]="Stream Restoration",Stream_Nutrients[TSS (lbs/ft/yr)]*ExistingBMPs67[[#This Row],[Stream Restoration* Length (ft) - Qualified projects only]],0))</f>
        <v>58641.436224546931</v>
      </c>
      <c r="U34" s="37">
        <f>ExistingBMPs67[[#This Row],[TSS Reduction (lbs/yr)]]/2000</f>
        <v>29.320718112273465</v>
      </c>
      <c r="V34" s="37">
        <f>IF(ExistingBMPs67[[#This Row],[TP Reduction (%)]]&gt;0,IF(ExistingBMPs67[[#This Row],[BMP Type]]="Street Sweeping",ExistingBMPs67[[#This Row],[TP Load (lbs/yr)]]*ExistingBMPs67[[#This Row],[TP Reduction (%)]],INDEX(Loading_Rates[#All],MATCH(ExistingBMPs67[[#This Row],[MapShed Land Cover of Drainage Area]],Loading_Rates[[#All],[Source]],0),3)*ExistingBMPs67[[#This Row],[Drainage Area (ac)]]*ExistingBMPs67[[#This Row],[TP Reduction (%)]]),IF(ExistingBMPs67[[#This Row],[BMP Type]]="Stream Restoration",Stream_Nutrients[TP (lbs/ft/yr)]*ExistingBMPs67[[#This Row],[Stream Restoration* Length (ft) - Qualified projects only]],0))</f>
        <v>9.7239690645901948</v>
      </c>
      <c r="W34" s="37">
        <f>IF(ExistingBMPs67[[#This Row],[TN Reduction (%)]]&gt;0,IF(ExistingBMPs67[[#This Row],[BMP Type]]="Street Sweeping",ExistingBMPs67[[#This Row],[TN Load (lbs/yr)]]*ExistingBMPs67[[#This Row],[TN Reduction (%)]],INDEX(Loading_Rates[#All],MATCH(ExistingBMPs67[[#This Row],[MapShed Land Cover of Drainage Area]],Loading_Rates[[#All],[Source]],0),4)*ExistingBMPs67[[#This Row],[Drainage Area (ac)]]*ExistingBMPs67[[#This Row],[TN Reduction (%)]]),IF(ExistingBMPs67[[#This Row],[BMP Type]]="Stream Restoration",Stream_Nutrients[TN (lbs/ft/yr)]*ExistingBMPs67[[#This Row],[Stream Restoration* Length (ft) - Qualified projects only]],0))</f>
        <v>61.857198108989373</v>
      </c>
    </row>
    <row r="35" spans="1:23" x14ac:dyDescent="0.25">
      <c r="A35" s="30" t="s">
        <v>64</v>
      </c>
      <c r="B35" s="30" t="s">
        <v>63</v>
      </c>
      <c r="C35" s="31">
        <v>2015</v>
      </c>
      <c r="D35" s="31" t="s">
        <v>83</v>
      </c>
      <c r="E35" s="32"/>
      <c r="F35" s="33"/>
      <c r="G35" s="34"/>
      <c r="H35" s="34">
        <v>20000</v>
      </c>
      <c r="I35" s="35">
        <f>ExistingBMPs67[[#This Row],[Drainage Area (ac)]]*ExistingBMPs67[[#This Row],[Impervious (%)]]</f>
        <v>0</v>
      </c>
      <c r="J35" s="35" t="e">
        <f>IFERROR(MIN(ExistingBMPs67[[#This Row],[Treatment Depth (in)]]*ExistingBMPs67[[#This Row],[Drainage Area (ac)]]/ExistingBMPs67[[#This Row],[Impervious Area (ac)]],2.5),NA())</f>
        <v>#N/A</v>
      </c>
      <c r="K35" s="33"/>
      <c r="L35" s="35" t="e">
        <f>IF(ExistingBMPs67[[#This Row],[Treatment Depth (in/imp. ac) Manual Override - use if no impervious area]]&gt;0,ExistingBMPs67[[#This Row],[Treatment Depth (in/imp. ac) Manual Override - use if no impervious area]],ExistingBMPs67[[#This Row],[Treatment Depth (in/imp. ac)]])</f>
        <v>#N/A</v>
      </c>
      <c r="M35" s="36">
        <f>IF(ExistingBMPs67[[#This Row],[BMP Type]]="Stream Restoration",NA(),IFERROR(INDEX(Impervious[#All],MATCH(ExistingBMPs67[[#This Row],[MapShed Land Cover of Drainage Area]],Impervious[[#All],[Source]],0),4),0))</f>
        <v>0.87</v>
      </c>
      <c r="N35" s="37">
        <f>IF(ExistingBMPs67[[#This Row],[BMP Type]]="Street Sweeping",ExistingBMPs67[[#This Row],[Street Sweeping* Road Length Swept (ft) - Qualified projects only]]*Street_Sweeping[Road Width (ft)]/43560*INDEX(Loading_Rates[#All],MATCH(ExistingBMPs67[[#This Row],[MapShed Land Cover of Drainage Area]],Loading_Rates[[#All],[Source]],0),2)*ExistingBMPs67[[#This Row],[Impervious (%)]],IF(ExistingBMPs67[[#This Row],[BMP Type]]="Stream Restoration",NA(),INDEX(Loading_Rates[#All],MATCH(ExistingBMPs67[[#This Row],[MapShed Land Cover of Drainage Area]],Loading_Rates[[#All],[Source]],0),2)*ExistingBMPs67[[#This Row],[Drainage Area (ac)]]))</f>
        <v>330.90358126721759</v>
      </c>
      <c r="O35" s="37">
        <f>IF(ExistingBMPs67[[#This Row],[BMP Type]]="Street Sweeping",ExistingBMPs67[[#This Row],[Street Sweeping* Road Length Swept (ft) - Qualified projects only]]*Street_Sweeping[Road Width (ft)]/43560*INDEX(Loading_Rates[#All],MATCH(ExistingBMPs67[[#This Row],[MapShed Land Cover of Drainage Area]],Loading_Rates[[#All],[Source]],0),3)*ExistingBMPs67[[#This Row],[Impervious (%)]],IF(ExistingBMPs67[[#This Row],[BMP Type]]="Stream Restoration",NA(),INDEX(Loading_Rates[#All],MATCH(ExistingBMPs67[[#This Row],[MapShed Land Cover of Drainage Area]],Loading_Rates[[#All],[Source]],0),3)*ExistingBMPs67[[#This Row],[Drainage Area (ac)]]))</f>
        <v>0.39944903581267216</v>
      </c>
      <c r="P35" s="37">
        <f>IF(ExistingBMPs67[[#This Row],[BMP Type]]="Street Sweeping",ExistingBMPs67[[#This Row],[Street Sweeping* Road Length Swept (ft) - Qualified projects only]]*Street_Sweeping[Road Width (ft)]/43560*INDEX(Loading_Rates[#All],MATCH(ExistingBMPs67[[#This Row],[MapShed Land Cover of Drainage Area]],Loading_Rates[[#All],[Source]],0),4)*ExistingBMPs67[[#This Row],[Impervious (%)]],IF(ExistingBMPs67[[#This Row],[BMP Type]]="Stream Restoration",NA(),INDEX(Loading_Rates[#All],MATCH(ExistingBMPs67[[#This Row],[MapShed Land Cover of Drainage Area]],Loading_Rates[[#All],[Source]],0),4)*ExistingBMPs67[[#This Row],[Drainage Area (ac)]]))</f>
        <v>3.9944903581267215</v>
      </c>
      <c r="Q35" s="36">
        <f>IF(ExistingBMPs67[[#This Row],[BMP Type]]="RR",0.0326*ExistingBMPs67[[#This Row],[Effective Treatment Depth (in/imp. ac)]]^5-0.2806*ExistingBMPs67[[#This Row],[Effective Treatment Depth (in/imp. ac)]]^4+0.9816*ExistingBMPs67[[#This Row],[Effective Treatment Depth (in/imp. ac)]]^3-1.8039*ExistingBMPs67[[#This Row],[Effective Treatment Depth (in/imp. ac)]]^2+1.8292*ExistingBMPs67[[#This Row],[Effective Treatment Depth (in/imp. ac)]]-0.0098,IF(ExistingBMPs67[[#This Row],[BMP Type]]="ST",0.0304*ExistingBMPs67[[#This Row],[Effective Treatment Depth (in/imp. ac)]]^5-0.2619*ExistingBMPs67[[#This Row],[Effective Treatment Depth (in/imp. ac)]]^4+0.9161*ExistingBMPs67[[#This Row],[Effective Treatment Depth (in/imp. ac)]]^3-1.6837*ExistingBMPs67[[#This Row],[Effective Treatment Depth (in/imp. ac)]]^2+1.7072*ExistingBMPs67[[#This Row],[Effective Treatment Depth (in/imp. ac)]]-0.0091,IF(ExistingBMPs67[[#This Row],[BMP Type]]="Street Sweeping",Street_Sweeping[TSS Reduction (%)],IF(OR(ExistingBMPs67[[#This Row],[BMP Type]]="Other",ExistingBMPs67[[#This Row],[BMP Type]]="Stream Restoration"),0,1))))</f>
        <v>0.1</v>
      </c>
      <c r="R35" s="36">
        <f>IF(ExistingBMPs67[[#This Row],[BMP Type]]="RR",0.0304*ExistingBMPs67[[#This Row],[Effective Treatment Depth (in/imp. ac)]]^5-0.2619*ExistingBMPs67[[#This Row],[Effective Treatment Depth (in/imp. ac)]]^4+0.9161*ExistingBMPs67[[#This Row],[Effective Treatment Depth (in/imp. ac)]]^3-1.6837*ExistingBMPs67[[#This Row],[Effective Treatment Depth (in/imp. ac)]]^2+1.7072*ExistingBMPs67[[#This Row],[Effective Treatment Depth (in/imp. ac)]]-0.0091,IF(ExistingBMPs67[[#This Row],[BMP Type]]="ST",0.0239*ExistingBMPs67[[#This Row],[Effective Treatment Depth (in/imp. ac)]]^5-0.2058*ExistingBMPs67[[#This Row],[Effective Treatment Depth (in/imp. ac)]]^4+0.7198*ExistingBMPs67[[#This Row],[Effective Treatment Depth (in/imp. ac)]]^3-1.3229*ExistingBMPs67[[#This Row],[Effective Treatment Depth (in/imp. ac)]]^2+1.3414*ExistingBMPs67[[#This Row],[Effective Treatment Depth (in/imp. ac)]]-0.0072,IF(ExistingBMPs67[[#This Row],[BMP Type]]="Street Sweeping",Street_Sweeping[TP Reduction (%)],IF(OR(ExistingBMPs67[[#This Row],[BMP Type]]="Other",ExistingBMPs67[[#This Row],[BMP Type]]="Stream Restoration"),0,1))))</f>
        <v>0.1</v>
      </c>
      <c r="S35" s="36">
        <f>IF(ExistingBMPs67[[#This Row],[BMP Type]]="RR",0.0308*ExistingBMPs67[[#This Row],[Effective Treatment Depth (in/imp. ac)]]^5-0.2562*ExistingBMPs67[[#This Row],[Effective Treatment Depth (in/imp. ac)]]^4+0.8634*ExistingBMPs67[[#This Row],[Effective Treatment Depth (in/imp. ac)]]^3-1.5285*ExistingBMPs67[[#This Row],[Effective Treatment Depth (in/imp. ac)]]^2+1.501*ExistingBMPs67[[#This Row],[Effective Treatment Depth (in/imp. ac)]]-0.013,IF(ExistingBMPs67[[#This Row],[BMP Type]]="ST",0.0152*ExistingBMPs67[[#This Row],[Effective Treatment Depth (in/imp. ac)]]^5-0.131*ExistingBMPs67[[#This Row],[Effective Treatment Depth (in/imp. ac)]]^4+0.4581*ExistingBMPs67[[#This Row],[Effective Treatment Depth (in/imp. ac)]]^3-0.8418*ExistingBMPs67[[#This Row],[Effective Treatment Depth (in/imp. ac)]]^2+0.8536*ExistingBMPs67[[#This Row],[Effective Treatment Depth (in/imp. ac)]]-0.0046,IF(ExistingBMPs67[[#This Row],[BMP Type]]="Street Sweeping",Street_Sweeping[TN Reduction (%)],IF(OR(ExistingBMPs67[[#This Row],[BMP Type]]="Other",ExistingBMPs67[[#This Row],[BMP Type]]="Stream Restoration"),0,1))))</f>
        <v>0.1</v>
      </c>
      <c r="T35" s="37">
        <f>IF(ExistingBMPs67[[#This Row],[TSS Reduction (%)]]&gt;0,IF(ExistingBMPs67[[#This Row],[BMP Type]]="Street Sweeping",ExistingBMPs67[[#This Row],[TSS Load (lbs/yr)]]*ExistingBMPs67[[#This Row],[TSS Reduction (%)]],INDEX(Loading_Rates[#All],MATCH(ExistingBMPs67[[#This Row],[MapShed Land Cover of Drainage Area]],Loading_Rates[[#All],[Source]],0),2)*ExistingBMPs67[[#This Row],[Drainage Area (ac)]]*ExistingBMPs67[[#This Row],[TSS Reduction (%)]]),IF(ExistingBMPs67[[#This Row],[BMP Type]]="Stream Restoration",Stream_Nutrients[TSS (lbs/ft/yr)]*ExistingBMPs67[[#This Row],[Stream Restoration* Length (ft) - Qualified projects only]],0))</f>
        <v>33.09035812672176</v>
      </c>
      <c r="U35" s="37">
        <f>ExistingBMPs67[[#This Row],[TSS Reduction (lbs/yr)]]/2000</f>
        <v>1.6545179063360879E-2</v>
      </c>
      <c r="V35" s="37">
        <f>IF(ExistingBMPs67[[#This Row],[TP Reduction (%)]]&gt;0,IF(ExistingBMPs67[[#This Row],[BMP Type]]="Street Sweeping",ExistingBMPs67[[#This Row],[TP Load (lbs/yr)]]*ExistingBMPs67[[#This Row],[TP Reduction (%)]],INDEX(Loading_Rates[#All],MATCH(ExistingBMPs67[[#This Row],[MapShed Land Cover of Drainage Area]],Loading_Rates[[#All],[Source]],0),3)*ExistingBMPs67[[#This Row],[Drainage Area (ac)]]*ExistingBMPs67[[#This Row],[TP Reduction (%)]]),IF(ExistingBMPs67[[#This Row],[BMP Type]]="Stream Restoration",Stream_Nutrients[TP (lbs/ft/yr)]*ExistingBMPs67[[#This Row],[Stream Restoration* Length (ft) - Qualified projects only]],0))</f>
        <v>3.9944903581267219E-2</v>
      </c>
      <c r="W35" s="37">
        <f>IF(ExistingBMPs67[[#This Row],[TN Reduction (%)]]&gt;0,IF(ExistingBMPs67[[#This Row],[BMP Type]]="Street Sweeping",ExistingBMPs67[[#This Row],[TN Load (lbs/yr)]]*ExistingBMPs67[[#This Row],[TN Reduction (%)]],INDEX(Loading_Rates[#All],MATCH(ExistingBMPs67[[#This Row],[MapShed Land Cover of Drainage Area]],Loading_Rates[[#All],[Source]],0),4)*ExistingBMPs67[[#This Row],[Drainage Area (ac)]]*ExistingBMPs67[[#This Row],[TN Reduction (%)]]),IF(ExistingBMPs67[[#This Row],[BMP Type]]="Stream Restoration",Stream_Nutrients[TN (lbs/ft/yr)]*ExistingBMPs67[[#This Row],[Stream Restoration* Length (ft) - Qualified projects only]],0))</f>
        <v>0.39944903581267216</v>
      </c>
    </row>
    <row r="36" spans="1:23" ht="21" x14ac:dyDescent="0.35">
      <c r="A36" s="28" t="s">
        <v>17</v>
      </c>
      <c r="B36" s="28"/>
      <c r="C36" s="28"/>
      <c r="D36" s="28"/>
      <c r="E36" s="28"/>
      <c r="F36" s="28"/>
      <c r="G36" s="28"/>
      <c r="H36" s="28"/>
      <c r="I36" s="28"/>
      <c r="J36" s="28"/>
      <c r="K36" s="28"/>
      <c r="L36" s="28"/>
      <c r="M36" s="28"/>
      <c r="N36" s="28"/>
      <c r="O36" s="28"/>
      <c r="P36" s="28"/>
      <c r="Q36" s="28"/>
      <c r="R36" s="28"/>
      <c r="S36" s="28"/>
      <c r="T36" s="38">
        <f>_xlfn.AGGREGATE(9,7,ExistingBMPs67[TSS Reduction (lbs/yr)])</f>
        <v>59458.90035954865</v>
      </c>
      <c r="U36" s="37">
        <f>_xlfn.AGGREGATE(9,7,ExistingBMPs67[TSS Reduction (tons/yr)])</f>
        <v>29.729450179774325</v>
      </c>
      <c r="V36" s="38">
        <f>_xlfn.AGGREGATE(9,7,ExistingBMPs67[TP Reduction (lbs/yr)])</f>
        <v>10.157973343171461</v>
      </c>
      <c r="W36" s="38">
        <f>_xlfn.AGGREGATE(9,7,ExistingBMPs67[TN Reduction (lbs/yr)])</f>
        <v>65.641647144802036</v>
      </c>
    </row>
    <row r="39" spans="1:23" x14ac:dyDescent="0.25">
      <c r="D39" s="84" t="s">
        <v>1</v>
      </c>
      <c r="E39">
        <v>21</v>
      </c>
    </row>
    <row r="40" spans="1:23" x14ac:dyDescent="0.25">
      <c r="D40" s="85" t="s">
        <v>2</v>
      </c>
      <c r="E40">
        <v>1</v>
      </c>
    </row>
    <row r="41" spans="1:23" x14ac:dyDescent="0.25">
      <c r="D41" s="84" t="s">
        <v>3</v>
      </c>
      <c r="E41">
        <v>23</v>
      </c>
    </row>
    <row r="42" spans="1:23" x14ac:dyDescent="0.25">
      <c r="D42" s="85" t="s">
        <v>4</v>
      </c>
      <c r="E42">
        <v>0</v>
      </c>
    </row>
    <row r="43" spans="1:23" x14ac:dyDescent="0.25">
      <c r="D43" s="84" t="s">
        <v>5</v>
      </c>
      <c r="E43">
        <v>0</v>
      </c>
    </row>
    <row r="44" spans="1:23" x14ac:dyDescent="0.25">
      <c r="D44" s="85" t="s">
        <v>6</v>
      </c>
    </row>
    <row r="45" spans="1:23" x14ac:dyDescent="0.25">
      <c r="D45" s="84" t="s">
        <v>7</v>
      </c>
      <c r="E45">
        <v>0</v>
      </c>
    </row>
    <row r="46" spans="1:23" x14ac:dyDescent="0.25">
      <c r="D46" s="85" t="s">
        <v>8</v>
      </c>
    </row>
    <row r="47" spans="1:23" x14ac:dyDescent="0.25">
      <c r="D47" s="84" t="s">
        <v>9</v>
      </c>
    </row>
    <row r="48" spans="1:23" x14ac:dyDescent="0.25">
      <c r="D48" s="85" t="s">
        <v>10</v>
      </c>
    </row>
    <row r="49" spans="4:4" x14ac:dyDescent="0.25">
      <c r="D49" s="84" t="s">
        <v>11</v>
      </c>
    </row>
    <row r="50" spans="4:4" x14ac:dyDescent="0.25">
      <c r="D50" s="85" t="s">
        <v>12</v>
      </c>
    </row>
    <row r="51" spans="4:4" x14ac:dyDescent="0.25">
      <c r="D51" s="84" t="s">
        <v>13</v>
      </c>
    </row>
    <row r="52" spans="4:4" x14ac:dyDescent="0.25">
      <c r="D52" s="85" t="s">
        <v>14</v>
      </c>
    </row>
    <row r="53" spans="4:4" x14ac:dyDescent="0.25">
      <c r="D53" s="84" t="s">
        <v>15</v>
      </c>
    </row>
    <row r="54" spans="4:4" ht="15.75" thickBot="1" x14ac:dyDescent="0.3">
      <c r="D54" s="85" t="s">
        <v>16</v>
      </c>
    </row>
    <row r="55" spans="4:4" ht="15.75" thickTop="1" x14ac:dyDescent="0.25">
      <c r="D55" s="86" t="s">
        <v>81</v>
      </c>
    </row>
    <row r="56" spans="4:4" x14ac:dyDescent="0.25">
      <c r="D56" s="87" t="s">
        <v>82</v>
      </c>
    </row>
    <row r="57" spans="4:4" x14ac:dyDescent="0.25">
      <c r="D57" s="88" t="s">
        <v>83</v>
      </c>
    </row>
    <row r="58" spans="4:4" x14ac:dyDescent="0.25">
      <c r="D58" s="87" t="s">
        <v>84</v>
      </c>
    </row>
    <row r="59" spans="4:4" x14ac:dyDescent="0.25">
      <c r="D59" s="88" t="s">
        <v>85</v>
      </c>
    </row>
    <row r="60" spans="4:4" ht="15.75" thickBot="1" x14ac:dyDescent="0.3">
      <c r="D60" s="89" t="s">
        <v>86</v>
      </c>
    </row>
    <row r="61" spans="4:4" ht="15.75" thickTop="1" x14ac:dyDescent="0.25"/>
  </sheetData>
  <mergeCells count="4">
    <mergeCell ref="A2:H2"/>
    <mergeCell ref="A3:H3"/>
    <mergeCell ref="A4:H4"/>
    <mergeCell ref="A5:H5"/>
  </mergeCells>
  <conditionalFormatting sqref="E12:F19 K12:K19 E25:F27 K25:K27">
    <cfRule type="expression" dxfId="309" priority="12">
      <formula>OR($B12="Stream Restoration",$B12="Street Sweeping")</formula>
    </cfRule>
  </conditionalFormatting>
  <conditionalFormatting sqref="G12:G19 G25:G27">
    <cfRule type="expression" dxfId="308" priority="11">
      <formula>OR($B12="RR",$B12="ST",$B12="Street Sweeping")</formula>
    </cfRule>
  </conditionalFormatting>
  <conditionalFormatting sqref="H12:H19 H25:H27">
    <cfRule type="expression" dxfId="307" priority="10">
      <formula>OR($B12="RR",$B12="ST",$B12="Stream Restoration")</formula>
    </cfRule>
  </conditionalFormatting>
  <conditionalFormatting sqref="D12:D19 D25:D27">
    <cfRule type="expression" dxfId="306" priority="9">
      <formula>OR($B12="Stream Restoration")</formula>
    </cfRule>
  </conditionalFormatting>
  <conditionalFormatting sqref="E33:F35 K33:K35">
    <cfRule type="expression" dxfId="305" priority="4">
      <formula>OR($B33="Stream Restoration",$B33="Street Sweeping")</formula>
    </cfRule>
  </conditionalFormatting>
  <conditionalFormatting sqref="G33:G35">
    <cfRule type="expression" dxfId="304" priority="3">
      <formula>OR($B33="RR",$B33="ST",$B33="Street Sweeping")</formula>
    </cfRule>
  </conditionalFormatting>
  <conditionalFormatting sqref="H33:H35">
    <cfRule type="expression" dxfId="303" priority="2">
      <formula>OR($B33="RR",$B33="ST",$B33="Stream Restoration")</formula>
    </cfRule>
  </conditionalFormatting>
  <conditionalFormatting sqref="D33:D35">
    <cfRule type="expression" dxfId="302" priority="1">
      <formula>OR($B33="Stream Restoration")</formula>
    </cfRule>
  </conditionalFormatting>
  <dataValidations count="1">
    <dataValidation type="list" allowBlank="1" showInputMessage="1" showErrorMessage="1" sqref="B12:B19 B25:B27 B33:B35">
      <formula1>"RR,ST,Street Sweeping,Stream Restoration"</formula1>
    </dataValidation>
  </dataValidations>
  <pageMargins left="0.25" right="0.25" top="0.75" bottom="0.75" header="0.3" footer="0.3"/>
  <pageSetup paperSize="17" scale="92" fitToWidth="0" orientation="landscape" r:id="rId1"/>
  <headerFooter>
    <oddHeader>&amp;CChristina Basin Urban BMP Load Reduction Calculation Tool</oddHeader>
    <oddFooter>&amp;RChristina Basin Urban BMP Tool (May 3, 2017)</oddFooter>
  </headerFooter>
  <tableParts count="3">
    <tablePart r:id="rId2"/>
    <tablePart r:id="rId3"/>
    <tablePart r:id="rId4"/>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Loading!$A$9:$A$30</xm:f>
          </x14:formula1>
          <xm:sqref>D12:D19 D25:D27 D33:D35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35"/>
  <sheetViews>
    <sheetView zoomScaleNormal="100" workbookViewId="0">
      <selection activeCell="D8" sqref="D8"/>
    </sheetView>
  </sheetViews>
  <sheetFormatPr defaultRowHeight="15" x14ac:dyDescent="0.25"/>
  <cols>
    <col min="1" max="1" width="33" customWidth="1"/>
    <col min="2" max="2" width="18.28515625" bestFit="1" customWidth="1"/>
    <col min="3" max="3" width="13.28515625" bestFit="1" customWidth="1"/>
    <col min="4" max="4" width="20.42578125" customWidth="1"/>
    <col min="5" max="5" width="13.7109375" customWidth="1"/>
    <col min="6" max="6" width="16.42578125" customWidth="1"/>
    <col min="7" max="8" width="21.7109375" customWidth="1"/>
    <col min="9" max="9" width="15.5703125" customWidth="1"/>
    <col min="10" max="10" width="16.28515625" customWidth="1"/>
    <col min="11" max="11" width="26.7109375" customWidth="1"/>
    <col min="12" max="12" width="19.7109375" customWidth="1"/>
    <col min="13" max="16" width="11.7109375" customWidth="1"/>
    <col min="17" max="18" width="12.42578125" bestFit="1" customWidth="1"/>
    <col min="19" max="19" width="11.28515625" customWidth="1"/>
    <col min="20" max="20" width="18.7109375" customWidth="1"/>
    <col min="21" max="21" width="12.42578125" customWidth="1"/>
    <col min="22" max="23" width="18.7109375" customWidth="1"/>
    <col min="24" max="24" width="23.5703125" customWidth="1"/>
    <col min="25" max="34" width="23.140625" customWidth="1"/>
  </cols>
  <sheetData>
    <row r="1" spans="1:23" ht="18.75" x14ac:dyDescent="0.3">
      <c r="A1" s="56" t="s">
        <v>134</v>
      </c>
      <c r="K1" s="56" t="s">
        <v>134</v>
      </c>
    </row>
    <row r="2" spans="1:23" ht="18.75" customHeight="1" x14ac:dyDescent="0.25">
      <c r="A2" s="81" t="s">
        <v>135</v>
      </c>
      <c r="B2" s="82"/>
      <c r="C2" s="82"/>
      <c r="D2" s="82"/>
      <c r="E2" s="82"/>
      <c r="F2" s="82"/>
      <c r="G2" s="82"/>
      <c r="H2" s="82"/>
      <c r="I2" s="11"/>
      <c r="J2" s="11"/>
      <c r="K2" s="11"/>
      <c r="L2" s="11"/>
      <c r="M2" s="11"/>
      <c r="N2" s="11"/>
      <c r="O2" s="11"/>
      <c r="P2" s="11"/>
    </row>
    <row r="3" spans="1:23" ht="32.25" customHeight="1" x14ac:dyDescent="0.25">
      <c r="A3" s="81" t="s">
        <v>136</v>
      </c>
      <c r="B3" s="82"/>
      <c r="C3" s="82"/>
      <c r="D3" s="82"/>
      <c r="E3" s="82"/>
      <c r="F3" s="82"/>
      <c r="G3" s="82"/>
      <c r="H3" s="82"/>
      <c r="I3" s="11"/>
      <c r="J3" s="11"/>
      <c r="K3" s="11"/>
      <c r="L3" s="11"/>
      <c r="M3" s="11"/>
      <c r="N3" s="11"/>
      <c r="O3" s="11"/>
      <c r="P3" s="11"/>
    </row>
    <row r="4" spans="1:23" ht="18.75" customHeight="1" x14ac:dyDescent="0.25">
      <c r="A4" s="83" t="s">
        <v>69</v>
      </c>
      <c r="B4" s="65"/>
      <c r="C4" s="65"/>
      <c r="D4" s="65"/>
      <c r="E4" s="65"/>
      <c r="F4" s="65"/>
      <c r="G4" s="65"/>
      <c r="H4" s="65"/>
      <c r="I4" s="11"/>
      <c r="J4" s="11"/>
      <c r="K4" s="11"/>
      <c r="L4" s="11"/>
      <c r="M4" s="11"/>
      <c r="N4" s="11"/>
      <c r="O4" s="11"/>
      <c r="P4" s="11"/>
    </row>
    <row r="5" spans="1:23" ht="32.25" customHeight="1" x14ac:dyDescent="0.25">
      <c r="A5" s="83" t="s">
        <v>131</v>
      </c>
      <c r="B5" s="65"/>
      <c r="C5" s="65"/>
      <c r="D5" s="65"/>
      <c r="E5" s="65"/>
      <c r="F5" s="65"/>
      <c r="G5" s="65"/>
      <c r="H5" s="65"/>
      <c r="I5" s="11"/>
      <c r="J5" s="11"/>
      <c r="K5" s="11"/>
      <c r="L5" s="11"/>
      <c r="M5" s="11"/>
      <c r="N5" s="11"/>
      <c r="O5" s="11"/>
      <c r="P5" s="11"/>
    </row>
    <row r="6" spans="1:23" x14ac:dyDescent="0.25">
      <c r="A6" s="13" t="s">
        <v>133</v>
      </c>
      <c r="B6" s="13"/>
      <c r="C6" s="13"/>
      <c r="E6" s="11"/>
      <c r="G6" s="11"/>
      <c r="H6" s="11"/>
      <c r="I6" s="11"/>
      <c r="J6" s="11"/>
      <c r="K6" s="11"/>
      <c r="L6" s="11"/>
      <c r="M6" s="11"/>
      <c r="N6" s="11"/>
      <c r="O6" s="11"/>
      <c r="P6" s="11"/>
    </row>
    <row r="7" spans="1:23" x14ac:dyDescent="0.25">
      <c r="A7" s="58" t="s">
        <v>125</v>
      </c>
      <c r="B7" s="11"/>
      <c r="C7" s="11"/>
      <c r="E7" s="11"/>
      <c r="F7" s="60"/>
      <c r="G7" s="11"/>
      <c r="H7" s="11"/>
    </row>
    <row r="8" spans="1:23" x14ac:dyDescent="0.25">
      <c r="A8" s="58" t="s">
        <v>126</v>
      </c>
      <c r="B8" s="11"/>
      <c r="C8" s="11"/>
      <c r="E8" s="11"/>
      <c r="F8" s="60"/>
      <c r="G8" s="11"/>
      <c r="H8" s="11"/>
    </row>
    <row r="9" spans="1:23" x14ac:dyDescent="0.25">
      <c r="A9" t="s">
        <v>138</v>
      </c>
      <c r="B9" s="11"/>
      <c r="C9" s="11"/>
      <c r="E9" s="11"/>
      <c r="F9" s="60"/>
      <c r="G9" s="11"/>
      <c r="H9" s="11"/>
      <c r="Q9" s="11"/>
      <c r="R9" s="11"/>
      <c r="S9" s="11"/>
      <c r="T9" s="11"/>
      <c r="U9" s="11"/>
    </row>
    <row r="10" spans="1:23" ht="60" x14ac:dyDescent="0.25">
      <c r="A10" s="29" t="s">
        <v>20</v>
      </c>
      <c r="B10" s="29" t="s">
        <v>24</v>
      </c>
      <c r="C10" s="29" t="s">
        <v>45</v>
      </c>
      <c r="D10" s="29" t="s">
        <v>36</v>
      </c>
      <c r="E10" s="29" t="s">
        <v>21</v>
      </c>
      <c r="F10" s="29" t="s">
        <v>23</v>
      </c>
      <c r="G10" s="29" t="s">
        <v>79</v>
      </c>
      <c r="H10" s="29" t="s">
        <v>80</v>
      </c>
      <c r="I10" s="29" t="s">
        <v>22</v>
      </c>
      <c r="J10" s="29" t="s">
        <v>44</v>
      </c>
      <c r="K10" s="29" t="s">
        <v>56</v>
      </c>
      <c r="L10" s="29" t="s">
        <v>57</v>
      </c>
      <c r="M10" s="29" t="s">
        <v>68</v>
      </c>
      <c r="N10" s="29" t="s">
        <v>76</v>
      </c>
      <c r="O10" s="29" t="s">
        <v>77</v>
      </c>
      <c r="P10" s="29" t="s">
        <v>78</v>
      </c>
      <c r="Q10" s="29" t="s">
        <v>65</v>
      </c>
      <c r="R10" s="29" t="s">
        <v>66</v>
      </c>
      <c r="S10" s="29" t="s">
        <v>67</v>
      </c>
      <c r="T10" s="29" t="s">
        <v>39</v>
      </c>
      <c r="U10" s="29" t="s">
        <v>40</v>
      </c>
      <c r="V10" s="29" t="s">
        <v>38</v>
      </c>
      <c r="W10" s="29" t="s">
        <v>37</v>
      </c>
    </row>
    <row r="11" spans="1:23" x14ac:dyDescent="0.25">
      <c r="A11" s="30" t="s">
        <v>46</v>
      </c>
      <c r="B11" s="30" t="s">
        <v>18</v>
      </c>
      <c r="C11" s="31">
        <v>2018</v>
      </c>
      <c r="D11" s="30" t="s">
        <v>11</v>
      </c>
      <c r="E11" s="32">
        <v>30</v>
      </c>
      <c r="F11" s="33">
        <v>2</v>
      </c>
      <c r="G11" s="34"/>
      <c r="H11" s="34"/>
      <c r="I11" s="35">
        <f>ProposedBMPs[[#This Row],[Drainage Area (ac)]]*ProposedBMPs[[#This Row],[Impervious (%)]]</f>
        <v>4.5</v>
      </c>
      <c r="J11" s="35">
        <f>IFERROR(MIN(ProposedBMPs[[#This Row],[Treatment Depth (in)]]*ProposedBMPs[[#This Row],[Drainage Area (ac)]]/ProposedBMPs[[#This Row],[Impervious Area (ac)]],2.5),NA())</f>
        <v>2.5</v>
      </c>
      <c r="K11" s="33"/>
      <c r="L11" s="35">
        <f>IF(ProposedBMPs[[#This Row],[Treatment Depth (in/imp. ac) Manual Override - use if no impervious area]]&gt;0,ProposedBMPs[[#This Row],[Treatment Depth (in/imp. ac) Manual Override - use if no impervious area]],ProposedBMPs[[#This Row],[Treatment Depth (in/imp. ac)]])</f>
        <v>2.5</v>
      </c>
      <c r="M11" s="36">
        <f>IF(ProposedBMPs[[#This Row],[BMP Type]]="Stream Restoration",NA(),IFERROR(INDEX(Impervious[#All],MATCH(ProposedBMPs[[#This Row],[MapShed Land Cover of Drainage Area]],Impervious[[#All],[Source]],0),4),0))</f>
        <v>0.15</v>
      </c>
      <c r="N11" s="37">
        <f>IF(ProposedBMPs[[#This Row],[BMP Type]]="Street Sweeping",ProposedBMPs[[#This Row],[Street Sweeping* Road Length Swept (ft) - Qualified projects only]]*Street_Sweeping[Road Width (ft)]/43560*INDEX(Loading_Rates[#All],MATCH(ProposedBMPs[[#This Row],[MapShed Land Cover of Drainage Area]],Loading_Rates[[#All],[Source]],0),2)*ProposedBMPs[[#This Row],[Impervious (%)]],IF(ProposedBMPs[[#This Row],[BMP Type]]="Stream Restoration",NA(),INDEX(Loading_Rates[#All],MATCH(ProposedBMPs[[#This Row],[MapShed Land Cover of Drainage Area]],Loading_Rates[[#All],[Source]],0),2)*ProposedBMPs[[#This Row],[Drainage Area (ac)]]))</f>
        <v>27717</v>
      </c>
      <c r="O11" s="37">
        <f>IF(ProposedBMPs[[#This Row],[BMP Type]]="Street Sweeping",ProposedBMPs[[#This Row],[Street Sweeping* Road Length Swept (ft) - Qualified projects only]]*Street_Sweeping[Road Width (ft)]/43560*INDEX(Loading_Rates[#All],MATCH(ProposedBMPs[[#This Row],[MapShed Land Cover of Drainage Area]],Loading_Rates[[#All],[Source]],0),3)*ProposedBMPs[[#This Row],[Impervious (%)]],IF(ProposedBMPs[[#This Row],[BMP Type]]="Stream Restoration",NA(),INDEX(Loading_Rates[#All],MATCH(ProposedBMPs[[#This Row],[MapShed Land Cover of Drainage Area]],Loading_Rates[[#All],[Source]],0),3)*ProposedBMPs[[#This Row],[Drainage Area (ac)]]))</f>
        <v>15</v>
      </c>
      <c r="P11" s="37">
        <f>IF(ProposedBMPs[[#This Row],[BMP Type]]="Street Sweeping",ProposedBMPs[[#This Row],[Street Sweeping* Road Length Swept (ft) - Qualified projects only]]*Street_Sweeping[Road Width (ft)]/43560*INDEX(Loading_Rates[#All],MATCH(ProposedBMPs[[#This Row],[MapShed Land Cover of Drainage Area]],Loading_Rates[[#All],[Source]],0),4)*ProposedBMPs[[#This Row],[Impervious (%)]],IF(ProposedBMPs[[#This Row],[BMP Type]]="Stream Restoration",NA(),INDEX(Loading_Rates[#All],MATCH(ProposedBMPs[[#This Row],[MapShed Land Cover of Drainage Area]],Loading_Rates[[#All],[Source]],0),4)*ProposedBMPs[[#This Row],[Drainage Area (ac)]]))</f>
        <v>150</v>
      </c>
      <c r="Q11" s="36">
        <f>IF(ProposedBMPs[[#This Row],[BMP Type]]="RR",0.0326*ProposedBMPs[[#This Row],[Effective Treatment Depth (in/imp. ac)]]^5-0.2806*ProposedBMPs[[#This Row],[Effective Treatment Depth (in/imp. ac)]]^4+0.9816*ProposedBMPs[[#This Row],[Effective Treatment Depth (in/imp. ac)]]^3-1.8039*ProposedBMPs[[#This Row],[Effective Treatment Depth (in/imp. ac)]]^2+1.8292*ProposedBMPs[[#This Row],[Effective Treatment Depth (in/imp. ac)]]-0.0098,IF(ProposedBMPs[[#This Row],[BMP Type]]="ST",0.0304*ProposedBMPs[[#This Row],[Effective Treatment Depth (in/imp. ac)]]^5-0.2619*ProposedBMPs[[#This Row],[Effective Treatment Depth (in/imp. ac)]]^4+0.9161*ProposedBMPs[[#This Row],[Effective Treatment Depth (in/imp. ac)]]^3-1.6837*ProposedBMPs[[#This Row],[Effective Treatment Depth (in/imp. ac)]]^2+1.7072*ProposedBMPs[[#This Row],[Effective Treatment Depth (in/imp. ac)]]-0.0091,IF(ProposedBMPs[[#This Row],[BMP Type]]="Street Sweeping",Street_Sweeping[TSS Reduction (%)],IF(OR(ProposedBMPs[[#This Row],[BMP Type]]="Other",ProposedBMPs[[#This Row],[BMP Type]]="Stream Restoration"),0,1))))</f>
        <v>0.84898124999999891</v>
      </c>
      <c r="R11" s="36">
        <f>IF(ProposedBMPs[[#This Row],[BMP Type]]="RR",0.0304*ProposedBMPs[[#This Row],[Effective Treatment Depth (in/imp. ac)]]^5-0.2619*ProposedBMPs[[#This Row],[Effective Treatment Depth (in/imp. ac)]]^4+0.9161*ProposedBMPs[[#This Row],[Effective Treatment Depth (in/imp. ac)]]^3-1.6837*ProposedBMPs[[#This Row],[Effective Treatment Depth (in/imp. ac)]]^2+1.7072*ProposedBMPs[[#This Row],[Effective Treatment Depth (in/imp. ac)]]-0.0091,IF(ProposedBMPs[[#This Row],[BMP Type]]="ST",0.0239*ProposedBMPs[[#This Row],[Effective Treatment Depth (in/imp. ac)]]^5-0.2058*ProposedBMPs[[#This Row],[Effective Treatment Depth (in/imp. ac)]]^4+0.7198*ProposedBMPs[[#This Row],[Effective Treatment Depth (in/imp. ac)]]^3-1.3229*ProposedBMPs[[#This Row],[Effective Treatment Depth (in/imp. ac)]]^2+1.3414*ProposedBMPs[[#This Row],[Effective Treatment Depth (in/imp. ac)]]-0.0072,IF(ProposedBMPs[[#This Row],[BMP Type]]="Street Sweeping",Street_Sweeping[TP Reduction (%)],IF(OR(ProposedBMPs[[#This Row],[BMP Type]]="Other",ProposedBMPs[[#This Row],[BMP Type]]="Stream Restoration"),0,1))))</f>
        <v>0.78811874999999987</v>
      </c>
      <c r="S11" s="36">
        <f>IF(ProposedBMPs[[#This Row],[BMP Type]]="RR",0.0308*ProposedBMPs[[#This Row],[Effective Treatment Depth (in/imp. ac)]]^5-0.2562*ProposedBMPs[[#This Row],[Effective Treatment Depth (in/imp. ac)]]^4+0.8634*ProposedBMPs[[#This Row],[Effective Treatment Depth (in/imp. ac)]]^3-1.5285*ProposedBMPs[[#This Row],[Effective Treatment Depth (in/imp. ac)]]^2+1.501*ProposedBMPs[[#This Row],[Effective Treatment Depth (in/imp. ac)]]-0.013,IF(ProposedBMPs[[#This Row],[BMP Type]]="ST",0.0152*ProposedBMPs[[#This Row],[Effective Treatment Depth (in/imp. ac)]]^5-0.131*ProposedBMPs[[#This Row],[Effective Treatment Depth (in/imp. ac)]]^4+0.4581*ProposedBMPs[[#This Row],[Effective Treatment Depth (in/imp. ac)]]^3-0.8418*ProposedBMPs[[#This Row],[Effective Treatment Depth (in/imp. ac)]]^2+0.8536*ProposedBMPs[[#This Row],[Effective Treatment Depth (in/imp. ac)]]-0.0046,IF(ProposedBMPs[[#This Row],[BMP Type]]="Street Sweeping",Street_Sweeping[TN Reduction (%)],IF(OR(ProposedBMPs[[#This Row],[BMP Type]]="Other",ProposedBMPs[[#This Row],[BMP Type]]="Stream Restoration"),0,1))))</f>
        <v>0.67699999999999949</v>
      </c>
      <c r="T11" s="37">
        <f>IF(ProposedBMPs[[#This Row],[TSS Reduction (%)]]&gt;0,IF(ProposedBMPs[[#This Row],[BMP Type]]="Street Sweeping",ProposedBMPs[[#This Row],[TSS Load (lbs/yr)]]*ProposedBMPs[[#This Row],[TSS Reduction (%)]],INDEX(Loading_Rates[#All],MATCH(ProposedBMPs[[#This Row],[MapShed Land Cover of Drainage Area]],Loading_Rates[[#All],[Source]],0),2)*ProposedBMPs[[#This Row],[Drainage Area (ac)]]*ProposedBMPs[[#This Row],[TSS Reduction (%)]]),IF(ProposedBMPs[[#This Row],[BMP Type]]="Stream Restoration",Stream_Nutrients[TSS (lbs/ft/yr)]*ProposedBMPs[[#This Row],[Stream Restoration* Length (ft) - Qualified projects only]],0))</f>
        <v>23531.213306249971</v>
      </c>
      <c r="U11" s="37">
        <f>ProposedBMPs[[#This Row],[TSS Reduction (lbs/yr)]]/2000</f>
        <v>11.765606653124985</v>
      </c>
      <c r="V11" s="37">
        <f>IF(ProposedBMPs[[#This Row],[TP Reduction (%)]]&gt;0,IF(ProposedBMPs[[#This Row],[BMP Type]]="Street Sweeping",ProposedBMPs[[#This Row],[TP Load (lbs/yr)]]*ProposedBMPs[[#This Row],[TP Reduction (%)]],INDEX(Loading_Rates[#All],MATCH(ProposedBMPs[[#This Row],[MapShed Land Cover of Drainage Area]],Loading_Rates[[#All],[Source]],0),3)*ProposedBMPs[[#This Row],[Drainage Area (ac)]]*ProposedBMPs[[#This Row],[TP Reduction (%)]]),IF(ProposedBMPs[[#This Row],[BMP Type]]="Stream Restoration",Stream_Nutrients[TP (lbs/ft/yr)]*ProposedBMPs[[#This Row],[Stream Restoration* Length (ft) - Qualified projects only]],0))</f>
        <v>11.821781249999997</v>
      </c>
      <c r="W11" s="37">
        <f>IF(ProposedBMPs[[#This Row],[TN Reduction (%)]]&gt;0,IF(ProposedBMPs[[#This Row],[BMP Type]]="Street Sweeping",ProposedBMPs[[#This Row],[TN Load (lbs/yr)]]*ProposedBMPs[[#This Row],[TN Reduction (%)]],INDEX(Loading_Rates[#All],MATCH(ProposedBMPs[[#This Row],[MapShed Land Cover of Drainage Area]],Loading_Rates[[#All],[Source]],0),4)*ProposedBMPs[[#This Row],[Drainage Area (ac)]]*ProposedBMPs[[#This Row],[TN Reduction (%)]]),IF(ProposedBMPs[[#This Row],[BMP Type]]="Stream Restoration",Stream_Nutrients[TN (lbs/ft/yr)]*ProposedBMPs[[#This Row],[Stream Restoration* Length (ft) - Qualified projects only]],0))</f>
        <v>101.54999999999993</v>
      </c>
    </row>
    <row r="12" spans="1:23" x14ac:dyDescent="0.25">
      <c r="A12" s="30" t="s">
        <v>46</v>
      </c>
      <c r="B12" s="30" t="s">
        <v>19</v>
      </c>
      <c r="C12" s="31">
        <v>2018</v>
      </c>
      <c r="D12" s="30" t="s">
        <v>12</v>
      </c>
      <c r="E12" s="32">
        <v>435</v>
      </c>
      <c r="F12" s="33">
        <v>2</v>
      </c>
      <c r="G12" s="34"/>
      <c r="H12" s="34"/>
      <c r="I12" s="35">
        <f>ProposedBMPs[[#This Row],[Drainage Area (ac)]]*ProposedBMPs[[#This Row],[Impervious (%)]]</f>
        <v>226.20000000000002</v>
      </c>
      <c r="J12" s="35">
        <f>IFERROR(MIN(ProposedBMPs[[#This Row],[Treatment Depth (in)]]*ProposedBMPs[[#This Row],[Drainage Area (ac)]]/ProposedBMPs[[#This Row],[Impervious Area (ac)]],2.5),NA())</f>
        <v>2.5</v>
      </c>
      <c r="K12" s="33"/>
      <c r="L12" s="35">
        <f>IF(ProposedBMPs[[#This Row],[Treatment Depth (in/imp. ac) Manual Override - use if no impervious area]]&gt;0,ProposedBMPs[[#This Row],[Treatment Depth (in/imp. ac) Manual Override - use if no impervious area]],ProposedBMPs[[#This Row],[Treatment Depth (in/imp. ac)]])</f>
        <v>2.5</v>
      </c>
      <c r="M12" s="36">
        <f>IF(ProposedBMPs[[#This Row],[BMP Type]]="Stream Restoration",NA(),IFERROR(INDEX(Impervious[#All],MATCH(ProposedBMPs[[#This Row],[MapShed Land Cover of Drainage Area]],Impervious[[#All],[Source]],0),4),0))</f>
        <v>0.52</v>
      </c>
      <c r="N12" s="37">
        <f>IF(ProposedBMPs[[#This Row],[BMP Type]]="Street Sweeping",ProposedBMPs[[#This Row],[Street Sweeping* Road Length Swept (ft) - Qualified projects only]]*Street_Sweeping[Road Width (ft)]/43560*INDEX(Loading_Rates[#All],MATCH(ProposedBMPs[[#This Row],[MapShed Land Cover of Drainage Area]],Loading_Rates[[#All],[Source]],0),2)*ProposedBMPs[[#This Row],[Impervious (%)]],IF(ProposedBMPs[[#This Row],[BMP Type]]="Stream Restoration",NA(),INDEX(Loading_Rates[#All],MATCH(ProposedBMPs[[#This Row],[MapShed Land Cover of Drainage Area]],Loading_Rates[[#All],[Source]],0),2)*ProposedBMPs[[#This Row],[Drainage Area (ac)]]))</f>
        <v>731887.5</v>
      </c>
      <c r="O12" s="37">
        <f>IF(ProposedBMPs[[#This Row],[BMP Type]]="Street Sweeping",ProposedBMPs[[#This Row],[Street Sweeping* Road Length Swept (ft) - Qualified projects only]]*Street_Sweeping[Road Width (ft)]/43560*INDEX(Loading_Rates[#All],MATCH(ProposedBMPs[[#This Row],[MapShed Land Cover of Drainage Area]],Loading_Rates[[#All],[Source]],0),3)*ProposedBMPs[[#This Row],[Impervious (%)]],IF(ProposedBMPs[[#This Row],[BMP Type]]="Stream Restoration",NA(),INDEX(Loading_Rates[#All],MATCH(ProposedBMPs[[#This Row],[MapShed Land Cover of Drainage Area]],Loading_Rates[[#All],[Source]],0),3)*ProposedBMPs[[#This Row],[Drainage Area (ac)]]))</f>
        <v>217.5</v>
      </c>
      <c r="P12" s="37">
        <f>IF(ProposedBMPs[[#This Row],[BMP Type]]="Street Sweeping",ProposedBMPs[[#This Row],[Street Sweeping* Road Length Swept (ft) - Qualified projects only]]*Street_Sweeping[Road Width (ft)]/43560*INDEX(Loading_Rates[#All],MATCH(ProposedBMPs[[#This Row],[MapShed Land Cover of Drainage Area]],Loading_Rates[[#All],[Source]],0),4)*ProposedBMPs[[#This Row],[Impervious (%)]],IF(ProposedBMPs[[#This Row],[BMP Type]]="Stream Restoration",NA(),INDEX(Loading_Rates[#All],MATCH(ProposedBMPs[[#This Row],[MapShed Land Cover of Drainage Area]],Loading_Rates[[#All],[Source]],0),4)*ProposedBMPs[[#This Row],[Drainage Area (ac)]]))</f>
        <v>2175</v>
      </c>
      <c r="Q12" s="36">
        <f>IF(ProposedBMPs[[#This Row],[BMP Type]]="RR",0.0326*ProposedBMPs[[#This Row],[Effective Treatment Depth (in/imp. ac)]]^5-0.2806*ProposedBMPs[[#This Row],[Effective Treatment Depth (in/imp. ac)]]^4+0.9816*ProposedBMPs[[#This Row],[Effective Treatment Depth (in/imp. ac)]]^3-1.8039*ProposedBMPs[[#This Row],[Effective Treatment Depth (in/imp. ac)]]^2+1.8292*ProposedBMPs[[#This Row],[Effective Treatment Depth (in/imp. ac)]]-0.0098,IF(ProposedBMPs[[#This Row],[BMP Type]]="ST",0.0304*ProposedBMPs[[#This Row],[Effective Treatment Depth (in/imp. ac)]]^5-0.2619*ProposedBMPs[[#This Row],[Effective Treatment Depth (in/imp. ac)]]^4+0.9161*ProposedBMPs[[#This Row],[Effective Treatment Depth (in/imp. ac)]]^3-1.6837*ProposedBMPs[[#This Row],[Effective Treatment Depth (in/imp. ac)]]^2+1.7072*ProposedBMPs[[#This Row],[Effective Treatment Depth (in/imp. ac)]]-0.0091,IF(ProposedBMPs[[#This Row],[BMP Type]]="Street Sweeping",Street_Sweeping[TSS Reduction (%)],IF(OR(ProposedBMPs[[#This Row],[BMP Type]]="Other",ProposedBMPs[[#This Row],[BMP Type]]="Stream Restoration"),0,1))))</f>
        <v>0.78811874999999987</v>
      </c>
      <c r="R12" s="36">
        <f>IF(ProposedBMPs[[#This Row],[BMP Type]]="RR",0.0304*ProposedBMPs[[#This Row],[Effective Treatment Depth (in/imp. ac)]]^5-0.2619*ProposedBMPs[[#This Row],[Effective Treatment Depth (in/imp. ac)]]^4+0.9161*ProposedBMPs[[#This Row],[Effective Treatment Depth (in/imp. ac)]]^3-1.6837*ProposedBMPs[[#This Row],[Effective Treatment Depth (in/imp. ac)]]^2+1.7072*ProposedBMPs[[#This Row],[Effective Treatment Depth (in/imp. ac)]]-0.0091,IF(ProposedBMPs[[#This Row],[BMP Type]]="ST",0.0239*ProposedBMPs[[#This Row],[Effective Treatment Depth (in/imp. ac)]]^5-0.2058*ProposedBMPs[[#This Row],[Effective Treatment Depth (in/imp. ac)]]^4+0.7198*ProposedBMPs[[#This Row],[Effective Treatment Depth (in/imp. ac)]]^3-1.3229*ProposedBMPs[[#This Row],[Effective Treatment Depth (in/imp. ac)]]^2+1.3414*ProposedBMPs[[#This Row],[Effective Treatment Depth (in/imp. ac)]]-0.0072,IF(ProposedBMPs[[#This Row],[BMP Type]]="Street Sweeping",Street_Sweeping[TP Reduction (%)],IF(OR(ProposedBMPs[[#This Row],[BMP Type]]="Other",ProposedBMPs[[#This Row],[BMP Type]]="Stream Restoration"),0,1))))</f>
        <v>0.61997187499999973</v>
      </c>
      <c r="S12" s="36">
        <f>IF(ProposedBMPs[[#This Row],[BMP Type]]="RR",0.0308*ProposedBMPs[[#This Row],[Effective Treatment Depth (in/imp. ac)]]^5-0.2562*ProposedBMPs[[#This Row],[Effective Treatment Depth (in/imp. ac)]]^4+0.8634*ProposedBMPs[[#This Row],[Effective Treatment Depth (in/imp. ac)]]^3-1.5285*ProposedBMPs[[#This Row],[Effective Treatment Depth (in/imp. ac)]]^2+1.501*ProposedBMPs[[#This Row],[Effective Treatment Depth (in/imp. ac)]]-0.013,IF(ProposedBMPs[[#This Row],[BMP Type]]="ST",0.0152*ProposedBMPs[[#This Row],[Effective Treatment Depth (in/imp. ac)]]^5-0.131*ProposedBMPs[[#This Row],[Effective Treatment Depth (in/imp. ac)]]^4+0.4581*ProposedBMPs[[#This Row],[Effective Treatment Depth (in/imp. ac)]]^3-0.8418*ProposedBMPs[[#This Row],[Effective Treatment Depth (in/imp. ac)]]^2+0.8536*ProposedBMPs[[#This Row],[Effective Treatment Depth (in/imp. ac)]]-0.0046,IF(ProposedBMPs[[#This Row],[BMP Type]]="Street Sweeping",Street_Sweeping[TN Reduction (%)],IF(OR(ProposedBMPs[[#This Row],[BMP Type]]="Other",ProposedBMPs[[#This Row],[BMP Type]]="Stream Restoration"),0,1))))</f>
        <v>0.39315000000000072</v>
      </c>
      <c r="T12" s="37">
        <f>IF(ProposedBMPs[[#This Row],[TSS Reduction (%)]]&gt;0,IF(ProposedBMPs[[#This Row],[BMP Type]]="Street Sweeping",ProposedBMPs[[#This Row],[TSS Load (lbs/yr)]]*ProposedBMPs[[#This Row],[TSS Reduction (%)]],INDEX(Loading_Rates[#All],MATCH(ProposedBMPs[[#This Row],[MapShed Land Cover of Drainage Area]],Loading_Rates[[#All],[Source]],0),2)*ProposedBMPs[[#This Row],[Drainage Area (ac)]]*ProposedBMPs[[#This Row],[TSS Reduction (%)]]),IF(ProposedBMPs[[#This Row],[BMP Type]]="Stream Restoration",Stream_Nutrients[TSS (lbs/ft/yr)]*ProposedBMPs[[#This Row],[Stream Restoration* Length (ft) - Qualified projects only]],0))</f>
        <v>576814.26164062496</v>
      </c>
      <c r="U12" s="37">
        <f>ProposedBMPs[[#This Row],[TSS Reduction (lbs/yr)]]/2000</f>
        <v>288.40713082031249</v>
      </c>
      <c r="V12" s="37">
        <f>IF(ProposedBMPs[[#This Row],[TP Reduction (%)]]&gt;0,IF(ProposedBMPs[[#This Row],[BMP Type]]="Street Sweeping",ProposedBMPs[[#This Row],[TP Load (lbs/yr)]]*ProposedBMPs[[#This Row],[TP Reduction (%)]],INDEX(Loading_Rates[#All],MATCH(ProposedBMPs[[#This Row],[MapShed Land Cover of Drainage Area]],Loading_Rates[[#All],[Source]],0),3)*ProposedBMPs[[#This Row],[Drainage Area (ac)]]*ProposedBMPs[[#This Row],[TP Reduction (%)]]),IF(ProposedBMPs[[#This Row],[BMP Type]]="Stream Restoration",Stream_Nutrients[TP (lbs/ft/yr)]*ProposedBMPs[[#This Row],[Stream Restoration* Length (ft) - Qualified projects only]],0))</f>
        <v>134.84388281249994</v>
      </c>
      <c r="W12" s="37">
        <f>IF(ProposedBMPs[[#This Row],[TN Reduction (%)]]&gt;0,IF(ProposedBMPs[[#This Row],[BMP Type]]="Street Sweeping",ProposedBMPs[[#This Row],[TN Load (lbs/yr)]]*ProposedBMPs[[#This Row],[TN Reduction (%)]],INDEX(Loading_Rates[#All],MATCH(ProposedBMPs[[#This Row],[MapShed Land Cover of Drainage Area]],Loading_Rates[[#All],[Source]],0),4)*ProposedBMPs[[#This Row],[Drainage Area (ac)]]*ProposedBMPs[[#This Row],[TN Reduction (%)]]),IF(ProposedBMPs[[#This Row],[BMP Type]]="Stream Restoration",Stream_Nutrients[TN (lbs/ft/yr)]*ProposedBMPs[[#This Row],[Stream Restoration* Length (ft) - Qualified projects only]],0))</f>
        <v>855.10125000000153</v>
      </c>
    </row>
    <row r="13" spans="1:23" x14ac:dyDescent="0.25">
      <c r="A13" s="30" t="s">
        <v>46</v>
      </c>
      <c r="B13" s="30" t="s">
        <v>18</v>
      </c>
      <c r="C13" s="31">
        <v>2018</v>
      </c>
      <c r="D13" s="30" t="s">
        <v>13</v>
      </c>
      <c r="E13" s="32">
        <v>109</v>
      </c>
      <c r="F13" s="33">
        <v>2</v>
      </c>
      <c r="G13" s="34"/>
      <c r="H13" s="34"/>
      <c r="I13" s="35">
        <f>ProposedBMPs[[#This Row],[Drainage Area (ac)]]*ProposedBMPs[[#This Row],[Impervious (%)]]</f>
        <v>94.83</v>
      </c>
      <c r="J13" s="35">
        <f>IFERROR(MIN(ProposedBMPs[[#This Row],[Treatment Depth (in)]]*ProposedBMPs[[#This Row],[Drainage Area (ac)]]/ProposedBMPs[[#This Row],[Impervious Area (ac)]],2.5),NA())</f>
        <v>2.2988505747126435</v>
      </c>
      <c r="K13" s="33"/>
      <c r="L13" s="35">
        <f>IF(ProposedBMPs[[#This Row],[Treatment Depth (in/imp. ac) Manual Override - use if no impervious area]]&gt;0,ProposedBMPs[[#This Row],[Treatment Depth (in/imp. ac) Manual Override - use if no impervious area]],ProposedBMPs[[#This Row],[Treatment Depth (in/imp. ac)]])</f>
        <v>2.2988505747126435</v>
      </c>
      <c r="M13" s="36">
        <f>IF(ProposedBMPs[[#This Row],[BMP Type]]="Stream Restoration",NA(),IFERROR(INDEX(Impervious[#All],MATCH(ProposedBMPs[[#This Row],[MapShed Land Cover of Drainage Area]],Impervious[[#All],[Source]],0),4),0))</f>
        <v>0.87</v>
      </c>
      <c r="N13" s="37">
        <f>IF(ProposedBMPs[[#This Row],[BMP Type]]="Street Sweeping",ProposedBMPs[[#This Row],[Street Sweeping* Road Length Swept (ft) - Qualified projects only]]*Street_Sweeping[Road Width (ft)]/43560*INDEX(Loading_Rates[#All],MATCH(ProposedBMPs[[#This Row],[MapShed Land Cover of Drainage Area]],Loading_Rates[[#All],[Source]],0),2)*ProposedBMPs[[#This Row],[Impervious (%)]],IF(ProposedBMPs[[#This Row],[BMP Type]]="Stream Restoration",NA(),INDEX(Loading_Rates[#All],MATCH(ProposedBMPs[[#This Row],[MapShed Land Cover of Drainage Area]],Loading_Rates[[#All],[Source]],0),2)*ProposedBMPs[[#This Row],[Drainage Area (ac)]]))</f>
        <v>258275.5</v>
      </c>
      <c r="O13" s="37">
        <f>IF(ProposedBMPs[[#This Row],[BMP Type]]="Street Sweeping",ProposedBMPs[[#This Row],[Street Sweeping* Road Length Swept (ft) - Qualified projects only]]*Street_Sweeping[Road Width (ft)]/43560*INDEX(Loading_Rates[#All],MATCH(ProposedBMPs[[#This Row],[MapShed Land Cover of Drainage Area]],Loading_Rates[[#All],[Source]],0),3)*ProposedBMPs[[#This Row],[Impervious (%)]],IF(ProposedBMPs[[#This Row],[BMP Type]]="Stream Restoration",NA(),INDEX(Loading_Rates[#All],MATCH(ProposedBMPs[[#This Row],[MapShed Land Cover of Drainage Area]],Loading_Rates[[#All],[Source]],0),3)*ProposedBMPs[[#This Row],[Drainage Area (ac)]]))</f>
        <v>54.5</v>
      </c>
      <c r="P13" s="37">
        <f>IF(ProposedBMPs[[#This Row],[BMP Type]]="Street Sweeping",ProposedBMPs[[#This Row],[Street Sweeping* Road Length Swept (ft) - Qualified projects only]]*Street_Sweeping[Road Width (ft)]/43560*INDEX(Loading_Rates[#All],MATCH(ProposedBMPs[[#This Row],[MapShed Land Cover of Drainage Area]],Loading_Rates[[#All],[Source]],0),4)*ProposedBMPs[[#This Row],[Impervious (%)]],IF(ProposedBMPs[[#This Row],[BMP Type]]="Stream Restoration",NA(),INDEX(Loading_Rates[#All],MATCH(ProposedBMPs[[#This Row],[MapShed Land Cover of Drainage Area]],Loading_Rates[[#All],[Source]],0),4)*ProposedBMPs[[#This Row],[Drainage Area (ac)]]))</f>
        <v>545</v>
      </c>
      <c r="Q13" s="36">
        <f>IF(ProposedBMPs[[#This Row],[BMP Type]]="RR",0.0326*ProposedBMPs[[#This Row],[Effective Treatment Depth (in/imp. ac)]]^5-0.2806*ProposedBMPs[[#This Row],[Effective Treatment Depth (in/imp. ac)]]^4+0.9816*ProposedBMPs[[#This Row],[Effective Treatment Depth (in/imp. ac)]]^3-1.8039*ProposedBMPs[[#This Row],[Effective Treatment Depth (in/imp. ac)]]^2+1.8292*ProposedBMPs[[#This Row],[Effective Treatment Depth (in/imp. ac)]]-0.0098,IF(ProposedBMPs[[#This Row],[BMP Type]]="ST",0.0304*ProposedBMPs[[#This Row],[Effective Treatment Depth (in/imp. ac)]]^5-0.2619*ProposedBMPs[[#This Row],[Effective Treatment Depth (in/imp. ac)]]^4+0.9161*ProposedBMPs[[#This Row],[Effective Treatment Depth (in/imp. ac)]]^3-1.6837*ProposedBMPs[[#This Row],[Effective Treatment Depth (in/imp. ac)]]^2+1.7072*ProposedBMPs[[#This Row],[Effective Treatment Depth (in/imp. ac)]]-0.0091,IF(ProposedBMPs[[#This Row],[BMP Type]]="Street Sweeping",Street_Sweeping[TSS Reduction (%)],IF(OR(ProposedBMPs[[#This Row],[BMP Type]]="Other",ProposedBMPs[[#This Row],[BMP Type]]="Stream Restoration"),0,1))))</f>
        <v>0.84374902243372074</v>
      </c>
      <c r="R13" s="36">
        <f>IF(ProposedBMPs[[#This Row],[BMP Type]]="RR",0.0304*ProposedBMPs[[#This Row],[Effective Treatment Depth (in/imp. ac)]]^5-0.2619*ProposedBMPs[[#This Row],[Effective Treatment Depth (in/imp. ac)]]^4+0.9161*ProposedBMPs[[#This Row],[Effective Treatment Depth (in/imp. ac)]]^3-1.6837*ProposedBMPs[[#This Row],[Effective Treatment Depth (in/imp. ac)]]^2+1.7072*ProposedBMPs[[#This Row],[Effective Treatment Depth (in/imp. ac)]]-0.0091,IF(ProposedBMPs[[#This Row],[BMP Type]]="ST",0.0239*ProposedBMPs[[#This Row],[Effective Treatment Depth (in/imp. ac)]]^5-0.2058*ProposedBMPs[[#This Row],[Effective Treatment Depth (in/imp. ac)]]^4+0.7198*ProposedBMPs[[#This Row],[Effective Treatment Depth (in/imp. ac)]]^3-1.3229*ProposedBMPs[[#This Row],[Effective Treatment Depth (in/imp. ac)]]^2+1.3414*ProposedBMPs[[#This Row],[Effective Treatment Depth (in/imp. ac)]]-0.0072,IF(ProposedBMPs[[#This Row],[BMP Type]]="Street Sweeping",Street_Sweeping[TP Reduction (%)],IF(OR(ProposedBMPs[[#This Row],[BMP Type]]="Other",ProposedBMPs[[#This Row],[BMP Type]]="Stream Restoration"),0,1))))</f>
        <v>0.78447887832736829</v>
      </c>
      <c r="S13" s="36">
        <f>IF(ProposedBMPs[[#This Row],[BMP Type]]="RR",0.0308*ProposedBMPs[[#This Row],[Effective Treatment Depth (in/imp. ac)]]^5-0.2562*ProposedBMPs[[#This Row],[Effective Treatment Depth (in/imp. ac)]]^4+0.8634*ProposedBMPs[[#This Row],[Effective Treatment Depth (in/imp. ac)]]^3-1.5285*ProposedBMPs[[#This Row],[Effective Treatment Depth (in/imp. ac)]]^2+1.501*ProposedBMPs[[#This Row],[Effective Treatment Depth (in/imp. ac)]]-0.013,IF(ProposedBMPs[[#This Row],[BMP Type]]="ST",0.0152*ProposedBMPs[[#This Row],[Effective Treatment Depth (in/imp. ac)]]^5-0.131*ProposedBMPs[[#This Row],[Effective Treatment Depth (in/imp. ac)]]^4+0.4581*ProposedBMPs[[#This Row],[Effective Treatment Depth (in/imp. ac)]]^3-0.8418*ProposedBMPs[[#This Row],[Effective Treatment Depth (in/imp. ac)]]^2+0.8536*ProposedBMPs[[#This Row],[Effective Treatment Depth (in/imp. ac)]]-0.0046,IF(ProposedBMPs[[#This Row],[BMP Type]]="Street Sweeping",Street_Sweeping[TN Reduction (%)],IF(OR(ProposedBMPs[[#This Row],[BMP Type]]="Other",ProposedBMPs[[#This Row],[BMP Type]]="Stream Restoration"),0,1))))</f>
        <v>0.67137529215454606</v>
      </c>
      <c r="T13" s="37">
        <f>IF(ProposedBMPs[[#This Row],[TSS Reduction (%)]]&gt;0,IF(ProposedBMPs[[#This Row],[BMP Type]]="Street Sweeping",ProposedBMPs[[#This Row],[TSS Load (lbs/yr)]]*ProposedBMPs[[#This Row],[TSS Reduction (%)]],INDEX(Loading_Rates[#All],MATCH(ProposedBMPs[[#This Row],[MapShed Land Cover of Drainage Area]],Loading_Rates[[#All],[Source]],0),2)*ProposedBMPs[[#This Row],[Drainage Area (ac)]]*ProposedBMPs[[#This Row],[TSS Reduction (%)]]),IF(ProposedBMPs[[#This Row],[BMP Type]]="Stream Restoration",Stream_Nutrients[TSS (lbs/ft/yr)]*ProposedBMPs[[#This Row],[Stream Restoration* Length (ft) - Qualified projects only]],0))</f>
        <v>217919.70064358044</v>
      </c>
      <c r="U13" s="37">
        <f>ProposedBMPs[[#This Row],[TSS Reduction (lbs/yr)]]/2000</f>
        <v>108.95985032179021</v>
      </c>
      <c r="V13" s="37">
        <f>IF(ProposedBMPs[[#This Row],[TP Reduction (%)]]&gt;0,IF(ProposedBMPs[[#This Row],[BMP Type]]="Street Sweeping",ProposedBMPs[[#This Row],[TP Load (lbs/yr)]]*ProposedBMPs[[#This Row],[TP Reduction (%)]],INDEX(Loading_Rates[#All],MATCH(ProposedBMPs[[#This Row],[MapShed Land Cover of Drainage Area]],Loading_Rates[[#All],[Source]],0),3)*ProposedBMPs[[#This Row],[Drainage Area (ac)]]*ProposedBMPs[[#This Row],[TP Reduction (%)]]),IF(ProposedBMPs[[#This Row],[BMP Type]]="Stream Restoration",Stream_Nutrients[TP (lbs/ft/yr)]*ProposedBMPs[[#This Row],[Stream Restoration* Length (ft) - Qualified projects only]],0))</f>
        <v>42.754098868841574</v>
      </c>
      <c r="W13" s="37">
        <f>IF(ProposedBMPs[[#This Row],[TN Reduction (%)]]&gt;0,IF(ProposedBMPs[[#This Row],[BMP Type]]="Street Sweeping",ProposedBMPs[[#This Row],[TN Load (lbs/yr)]]*ProposedBMPs[[#This Row],[TN Reduction (%)]],INDEX(Loading_Rates[#All],MATCH(ProposedBMPs[[#This Row],[MapShed Land Cover of Drainage Area]],Loading_Rates[[#All],[Source]],0),4)*ProposedBMPs[[#This Row],[Drainage Area (ac)]]*ProposedBMPs[[#This Row],[TN Reduction (%)]]),IF(ProposedBMPs[[#This Row],[BMP Type]]="Stream Restoration",Stream_Nutrients[TN (lbs/ft/yr)]*ProposedBMPs[[#This Row],[Stream Restoration* Length (ft) - Qualified projects only]],0))</f>
        <v>365.89953422422758</v>
      </c>
    </row>
    <row r="14" spans="1:23" x14ac:dyDescent="0.25">
      <c r="A14" s="30" t="s">
        <v>46</v>
      </c>
      <c r="B14" s="30" t="s">
        <v>18</v>
      </c>
      <c r="C14" s="31">
        <v>2018</v>
      </c>
      <c r="D14" s="30" t="s">
        <v>2</v>
      </c>
      <c r="E14" s="32">
        <v>0</v>
      </c>
      <c r="F14" s="33">
        <v>1</v>
      </c>
      <c r="G14" s="34"/>
      <c r="H14" s="34"/>
      <c r="I14" s="35">
        <f>ProposedBMPs[[#This Row],[Drainage Area (ac)]]*ProposedBMPs[[#This Row],[Impervious (%)]]</f>
        <v>0</v>
      </c>
      <c r="J14" s="35" t="e">
        <f>IFERROR(MIN(ProposedBMPs[[#This Row],[Treatment Depth (in)]]*ProposedBMPs[[#This Row],[Drainage Area (ac)]]/ProposedBMPs[[#This Row],[Impervious Area (ac)]],2.5),NA())</f>
        <v>#N/A</v>
      </c>
      <c r="K14" s="33"/>
      <c r="L14" s="35" t="e">
        <f>IF(ProposedBMPs[[#This Row],[Treatment Depth (in/imp. ac) Manual Override - use if no impervious area]]&gt;0,ProposedBMPs[[#This Row],[Treatment Depth (in/imp. ac) Manual Override - use if no impervious area]],ProposedBMPs[[#This Row],[Treatment Depth (in/imp. ac)]])</f>
        <v>#N/A</v>
      </c>
      <c r="M14" s="36">
        <f>IF(ProposedBMPs[[#This Row],[BMP Type]]="Stream Restoration",NA(),IFERROR(INDEX(Impervious[#All],MATCH(ProposedBMPs[[#This Row],[MapShed Land Cover of Drainage Area]],Impervious[[#All],[Source]],0),4),0))</f>
        <v>0</v>
      </c>
      <c r="N14" s="37">
        <f>IF(ProposedBMPs[[#This Row],[BMP Type]]="Street Sweeping",ProposedBMPs[[#This Row],[Street Sweeping* Road Length Swept (ft) - Qualified projects only]]*Street_Sweeping[Road Width (ft)]/43560*INDEX(Loading_Rates[#All],MATCH(ProposedBMPs[[#This Row],[MapShed Land Cover of Drainage Area]],Loading_Rates[[#All],[Source]],0),2)*ProposedBMPs[[#This Row],[Impervious (%)]],IF(ProposedBMPs[[#This Row],[BMP Type]]="Stream Restoration",NA(),INDEX(Loading_Rates[#All],MATCH(ProposedBMPs[[#This Row],[MapShed Land Cover of Drainage Area]],Loading_Rates[[#All],[Source]],0),2)*ProposedBMPs[[#This Row],[Drainage Area (ac)]]))</f>
        <v>0</v>
      </c>
      <c r="O14" s="37">
        <f>IF(ProposedBMPs[[#This Row],[BMP Type]]="Street Sweeping",ProposedBMPs[[#This Row],[Street Sweeping* Road Length Swept (ft) - Qualified projects only]]*Street_Sweeping[Road Width (ft)]/43560*INDEX(Loading_Rates[#All],MATCH(ProposedBMPs[[#This Row],[MapShed Land Cover of Drainage Area]],Loading_Rates[[#All],[Source]],0),3)*ProposedBMPs[[#This Row],[Impervious (%)]],IF(ProposedBMPs[[#This Row],[BMP Type]]="Stream Restoration",NA(),INDEX(Loading_Rates[#All],MATCH(ProposedBMPs[[#This Row],[MapShed Land Cover of Drainage Area]],Loading_Rates[[#All],[Source]],0),3)*ProposedBMPs[[#This Row],[Drainage Area (ac)]]))</f>
        <v>0</v>
      </c>
      <c r="P14" s="37">
        <f>IF(ProposedBMPs[[#This Row],[BMP Type]]="Street Sweeping",ProposedBMPs[[#This Row],[Street Sweeping* Road Length Swept (ft) - Qualified projects only]]*Street_Sweeping[Road Width (ft)]/43560*INDEX(Loading_Rates[#All],MATCH(ProposedBMPs[[#This Row],[MapShed Land Cover of Drainage Area]],Loading_Rates[[#All],[Source]],0),4)*ProposedBMPs[[#This Row],[Impervious (%)]],IF(ProposedBMPs[[#This Row],[BMP Type]]="Stream Restoration",NA(),INDEX(Loading_Rates[#All],MATCH(ProposedBMPs[[#This Row],[MapShed Land Cover of Drainage Area]],Loading_Rates[[#All],[Source]],0),4)*ProposedBMPs[[#This Row],[Drainage Area (ac)]]))</f>
        <v>0</v>
      </c>
      <c r="Q14" s="36" t="e">
        <f>IF(ProposedBMPs[[#This Row],[BMP Type]]="RR",0.0326*ProposedBMPs[[#This Row],[Effective Treatment Depth (in/imp. ac)]]^5-0.2806*ProposedBMPs[[#This Row],[Effective Treatment Depth (in/imp. ac)]]^4+0.9816*ProposedBMPs[[#This Row],[Effective Treatment Depth (in/imp. ac)]]^3-1.8039*ProposedBMPs[[#This Row],[Effective Treatment Depth (in/imp. ac)]]^2+1.8292*ProposedBMPs[[#This Row],[Effective Treatment Depth (in/imp. ac)]]-0.0098,IF(ProposedBMPs[[#This Row],[BMP Type]]="ST",0.0304*ProposedBMPs[[#This Row],[Effective Treatment Depth (in/imp. ac)]]^5-0.2619*ProposedBMPs[[#This Row],[Effective Treatment Depth (in/imp. ac)]]^4+0.9161*ProposedBMPs[[#This Row],[Effective Treatment Depth (in/imp. ac)]]^3-1.6837*ProposedBMPs[[#This Row],[Effective Treatment Depth (in/imp. ac)]]^2+1.7072*ProposedBMPs[[#This Row],[Effective Treatment Depth (in/imp. ac)]]-0.0091,IF(ProposedBMPs[[#This Row],[BMP Type]]="Street Sweeping",Street_Sweeping[TSS Reduction (%)],IF(OR(ProposedBMPs[[#This Row],[BMP Type]]="Other",ProposedBMPs[[#This Row],[BMP Type]]="Stream Restoration"),0,1))))</f>
        <v>#N/A</v>
      </c>
      <c r="R14" s="36" t="e">
        <f>IF(ProposedBMPs[[#This Row],[BMP Type]]="RR",0.0304*ProposedBMPs[[#This Row],[Effective Treatment Depth (in/imp. ac)]]^5-0.2619*ProposedBMPs[[#This Row],[Effective Treatment Depth (in/imp. ac)]]^4+0.9161*ProposedBMPs[[#This Row],[Effective Treatment Depth (in/imp. ac)]]^3-1.6837*ProposedBMPs[[#This Row],[Effective Treatment Depth (in/imp. ac)]]^2+1.7072*ProposedBMPs[[#This Row],[Effective Treatment Depth (in/imp. ac)]]-0.0091,IF(ProposedBMPs[[#This Row],[BMP Type]]="ST",0.0239*ProposedBMPs[[#This Row],[Effective Treatment Depth (in/imp. ac)]]^5-0.2058*ProposedBMPs[[#This Row],[Effective Treatment Depth (in/imp. ac)]]^4+0.7198*ProposedBMPs[[#This Row],[Effective Treatment Depth (in/imp. ac)]]^3-1.3229*ProposedBMPs[[#This Row],[Effective Treatment Depth (in/imp. ac)]]^2+1.3414*ProposedBMPs[[#This Row],[Effective Treatment Depth (in/imp. ac)]]-0.0072,IF(ProposedBMPs[[#This Row],[BMP Type]]="Street Sweeping",Street_Sweeping[TP Reduction (%)],IF(OR(ProposedBMPs[[#This Row],[BMP Type]]="Other",ProposedBMPs[[#This Row],[BMP Type]]="Stream Restoration"),0,1))))</f>
        <v>#N/A</v>
      </c>
      <c r="S14" s="36" t="e">
        <f>IF(ProposedBMPs[[#This Row],[BMP Type]]="RR",0.0308*ProposedBMPs[[#This Row],[Effective Treatment Depth (in/imp. ac)]]^5-0.2562*ProposedBMPs[[#This Row],[Effective Treatment Depth (in/imp. ac)]]^4+0.8634*ProposedBMPs[[#This Row],[Effective Treatment Depth (in/imp. ac)]]^3-1.5285*ProposedBMPs[[#This Row],[Effective Treatment Depth (in/imp. ac)]]^2+1.501*ProposedBMPs[[#This Row],[Effective Treatment Depth (in/imp. ac)]]-0.013,IF(ProposedBMPs[[#This Row],[BMP Type]]="ST",0.0152*ProposedBMPs[[#This Row],[Effective Treatment Depth (in/imp. ac)]]^5-0.131*ProposedBMPs[[#This Row],[Effective Treatment Depth (in/imp. ac)]]^4+0.4581*ProposedBMPs[[#This Row],[Effective Treatment Depth (in/imp. ac)]]^3-0.8418*ProposedBMPs[[#This Row],[Effective Treatment Depth (in/imp. ac)]]^2+0.8536*ProposedBMPs[[#This Row],[Effective Treatment Depth (in/imp. ac)]]-0.0046,IF(ProposedBMPs[[#This Row],[BMP Type]]="Street Sweeping",Street_Sweeping[TN Reduction (%)],IF(OR(ProposedBMPs[[#This Row],[BMP Type]]="Other",ProposedBMPs[[#This Row],[BMP Type]]="Stream Restoration"),0,1))))</f>
        <v>#N/A</v>
      </c>
      <c r="T14" s="37" t="e">
        <f>IF(ProposedBMPs[[#This Row],[TSS Reduction (%)]]&gt;0,IF(ProposedBMPs[[#This Row],[BMP Type]]="Street Sweeping",ProposedBMPs[[#This Row],[TSS Load (lbs/yr)]]*ProposedBMPs[[#This Row],[TSS Reduction (%)]],INDEX(Loading_Rates[#All],MATCH(ProposedBMPs[[#This Row],[MapShed Land Cover of Drainage Area]],Loading_Rates[[#All],[Source]],0),2)*ProposedBMPs[[#This Row],[Drainage Area (ac)]]*ProposedBMPs[[#This Row],[TSS Reduction (%)]]),IF(ProposedBMPs[[#This Row],[BMP Type]]="Stream Restoration",Stream_Nutrients[TSS (lbs/ft/yr)]*ProposedBMPs[[#This Row],[Stream Restoration* Length (ft) - Qualified projects only]],0))</f>
        <v>#N/A</v>
      </c>
      <c r="U14" s="37" t="e">
        <f>ProposedBMPs[[#This Row],[TSS Reduction (lbs/yr)]]/2000</f>
        <v>#N/A</v>
      </c>
      <c r="V14" s="37" t="e">
        <f>IF(ProposedBMPs[[#This Row],[TP Reduction (%)]]&gt;0,IF(ProposedBMPs[[#This Row],[BMP Type]]="Street Sweeping",ProposedBMPs[[#This Row],[TP Load (lbs/yr)]]*ProposedBMPs[[#This Row],[TP Reduction (%)]],INDEX(Loading_Rates[#All],MATCH(ProposedBMPs[[#This Row],[MapShed Land Cover of Drainage Area]],Loading_Rates[[#All],[Source]],0),3)*ProposedBMPs[[#This Row],[Drainage Area (ac)]]*ProposedBMPs[[#This Row],[TP Reduction (%)]]),IF(ProposedBMPs[[#This Row],[BMP Type]]="Stream Restoration",Stream_Nutrients[TP (lbs/ft/yr)]*ProposedBMPs[[#This Row],[Stream Restoration* Length (ft) - Qualified projects only]],0))</f>
        <v>#N/A</v>
      </c>
      <c r="W14" s="37" t="e">
        <f>IF(ProposedBMPs[[#This Row],[TN Reduction (%)]]&gt;0,IF(ProposedBMPs[[#This Row],[BMP Type]]="Street Sweeping",ProposedBMPs[[#This Row],[TN Load (lbs/yr)]]*ProposedBMPs[[#This Row],[TN Reduction (%)]],INDEX(Loading_Rates[#All],MATCH(ProposedBMPs[[#This Row],[MapShed Land Cover of Drainage Area]],Loading_Rates[[#All],[Source]],0),4)*ProposedBMPs[[#This Row],[Drainage Area (ac)]]*ProposedBMPs[[#This Row],[TN Reduction (%)]]),IF(ProposedBMPs[[#This Row],[BMP Type]]="Stream Restoration",Stream_Nutrients[TN (lbs/ft/yr)]*ProposedBMPs[[#This Row],[Stream Restoration* Length (ft) - Qualified projects only]],0))</f>
        <v>#N/A</v>
      </c>
    </row>
    <row r="15" spans="1:23" x14ac:dyDescent="0.25">
      <c r="A15" s="30" t="s">
        <v>46</v>
      </c>
      <c r="B15" s="30" t="s">
        <v>18</v>
      </c>
      <c r="C15" s="31">
        <v>2018</v>
      </c>
      <c r="D15" s="30" t="s">
        <v>1</v>
      </c>
      <c r="E15" s="32">
        <v>0</v>
      </c>
      <c r="F15" s="33">
        <v>1</v>
      </c>
      <c r="G15" s="34"/>
      <c r="H15" s="34"/>
      <c r="I15" s="35">
        <f>ProposedBMPs[[#This Row],[Drainage Area (ac)]]*ProposedBMPs[[#This Row],[Impervious (%)]]</f>
        <v>0</v>
      </c>
      <c r="J15" s="35" t="e">
        <f>IFERROR(MIN(ProposedBMPs[[#This Row],[Treatment Depth (in)]]*ProposedBMPs[[#This Row],[Drainage Area (ac)]]/ProposedBMPs[[#This Row],[Impervious Area (ac)]],2.5),NA())</f>
        <v>#N/A</v>
      </c>
      <c r="K15" s="33">
        <v>1.92</v>
      </c>
      <c r="L15" s="35">
        <f>IF(ProposedBMPs[[#This Row],[Treatment Depth (in/imp. ac) Manual Override - use if no impervious area]]&gt;0,ProposedBMPs[[#This Row],[Treatment Depth (in/imp. ac) Manual Override - use if no impervious area]],ProposedBMPs[[#This Row],[Treatment Depth (in/imp. ac)]])</f>
        <v>1.92</v>
      </c>
      <c r="M15" s="36">
        <f>IF(ProposedBMPs[[#This Row],[BMP Type]]="Stream Restoration",NA(),IFERROR(INDEX(Impervious[#All],MATCH(ProposedBMPs[[#This Row],[MapShed Land Cover of Drainage Area]],Impervious[[#All],[Source]],0),4),0))</f>
        <v>0</v>
      </c>
      <c r="N15" s="37">
        <f>IF(ProposedBMPs[[#This Row],[BMP Type]]="Street Sweeping",ProposedBMPs[[#This Row],[Street Sweeping* Road Length Swept (ft) - Qualified projects only]]*Street_Sweeping[Road Width (ft)]/43560*INDEX(Loading_Rates[#All],MATCH(ProposedBMPs[[#This Row],[MapShed Land Cover of Drainage Area]],Loading_Rates[[#All],[Source]],0),2)*ProposedBMPs[[#This Row],[Impervious (%)]],IF(ProposedBMPs[[#This Row],[BMP Type]]="Stream Restoration",NA(),INDEX(Loading_Rates[#All],MATCH(ProposedBMPs[[#This Row],[MapShed Land Cover of Drainage Area]],Loading_Rates[[#All],[Source]],0),2)*ProposedBMPs[[#This Row],[Drainage Area (ac)]]))</f>
        <v>0</v>
      </c>
      <c r="O15" s="37">
        <f>IF(ProposedBMPs[[#This Row],[BMP Type]]="Street Sweeping",ProposedBMPs[[#This Row],[Street Sweeping* Road Length Swept (ft) - Qualified projects only]]*Street_Sweeping[Road Width (ft)]/43560*INDEX(Loading_Rates[#All],MATCH(ProposedBMPs[[#This Row],[MapShed Land Cover of Drainage Area]],Loading_Rates[[#All],[Source]],0),3)*ProposedBMPs[[#This Row],[Impervious (%)]],IF(ProposedBMPs[[#This Row],[BMP Type]]="Stream Restoration",NA(),INDEX(Loading_Rates[#All],MATCH(ProposedBMPs[[#This Row],[MapShed Land Cover of Drainage Area]],Loading_Rates[[#All],[Source]],0),3)*ProposedBMPs[[#This Row],[Drainage Area (ac)]]))</f>
        <v>0</v>
      </c>
      <c r="P15" s="37">
        <f>IF(ProposedBMPs[[#This Row],[BMP Type]]="Street Sweeping",ProposedBMPs[[#This Row],[Street Sweeping* Road Length Swept (ft) - Qualified projects only]]*Street_Sweeping[Road Width (ft)]/43560*INDEX(Loading_Rates[#All],MATCH(ProposedBMPs[[#This Row],[MapShed Land Cover of Drainage Area]],Loading_Rates[[#All],[Source]],0),4)*ProposedBMPs[[#This Row],[Impervious (%)]],IF(ProposedBMPs[[#This Row],[BMP Type]]="Stream Restoration",NA(),INDEX(Loading_Rates[#All],MATCH(ProposedBMPs[[#This Row],[MapShed Land Cover of Drainage Area]],Loading_Rates[[#All],[Source]],0),4)*ProposedBMPs[[#This Row],[Drainage Area (ac)]]))</f>
        <v>0</v>
      </c>
      <c r="Q15" s="36">
        <f>IF(ProposedBMPs[[#This Row],[BMP Type]]="RR",0.0326*ProposedBMPs[[#This Row],[Effective Treatment Depth (in/imp. ac)]]^5-0.2806*ProposedBMPs[[#This Row],[Effective Treatment Depth (in/imp. ac)]]^4+0.9816*ProposedBMPs[[#This Row],[Effective Treatment Depth (in/imp. ac)]]^3-1.8039*ProposedBMPs[[#This Row],[Effective Treatment Depth (in/imp. ac)]]^2+1.8292*ProposedBMPs[[#This Row],[Effective Treatment Depth (in/imp. ac)]]-0.0098,IF(ProposedBMPs[[#This Row],[BMP Type]]="ST",0.0304*ProposedBMPs[[#This Row],[Effective Treatment Depth (in/imp. ac)]]^5-0.2619*ProposedBMPs[[#This Row],[Effective Treatment Depth (in/imp. ac)]]^4+0.9161*ProposedBMPs[[#This Row],[Effective Treatment Depth (in/imp. ac)]]^3-1.6837*ProposedBMPs[[#This Row],[Effective Treatment Depth (in/imp. ac)]]^2+1.7072*ProposedBMPs[[#This Row],[Effective Treatment Depth (in/imp. ac)]]-0.0091,IF(ProposedBMPs[[#This Row],[BMP Type]]="Street Sweeping",Street_Sweeping[TSS Reduction (%)],IF(OR(ProposedBMPs[[#This Row],[BMP Type]]="Other",ProposedBMPs[[#This Row],[BMP Type]]="Stream Restoration"),0,1))))</f>
        <v>0.83739238316031916</v>
      </c>
      <c r="R15" s="36">
        <f>IF(ProposedBMPs[[#This Row],[BMP Type]]="RR",0.0304*ProposedBMPs[[#This Row],[Effective Treatment Depth (in/imp. ac)]]^5-0.2619*ProposedBMPs[[#This Row],[Effective Treatment Depth (in/imp. ac)]]^4+0.9161*ProposedBMPs[[#This Row],[Effective Treatment Depth (in/imp. ac)]]^3-1.6837*ProposedBMPs[[#This Row],[Effective Treatment Depth (in/imp. ac)]]^2+1.7072*ProposedBMPs[[#This Row],[Effective Treatment Depth (in/imp. ac)]]-0.0091,IF(ProposedBMPs[[#This Row],[BMP Type]]="ST",0.0239*ProposedBMPs[[#This Row],[Effective Treatment Depth (in/imp. ac)]]^5-0.2058*ProposedBMPs[[#This Row],[Effective Treatment Depth (in/imp. ac)]]^4+0.7198*ProposedBMPs[[#This Row],[Effective Treatment Depth (in/imp. ac)]]^3-1.3229*ProposedBMPs[[#This Row],[Effective Treatment Depth (in/imp. ac)]]^2+1.3414*ProposedBMPs[[#This Row],[Effective Treatment Depth (in/imp. ac)]]-0.0072,IF(ProposedBMPs[[#This Row],[BMP Type]]="Street Sweeping",Street_Sweeping[TP Reduction (%)],IF(OR(ProposedBMPs[[#This Row],[BMP Type]]="Other",ProposedBMPs[[#This Row],[BMP Type]]="Stream Restoration"),0,1))))</f>
        <v>0.78007825200128</v>
      </c>
      <c r="S15" s="36">
        <f>IF(ProposedBMPs[[#This Row],[BMP Type]]="RR",0.0308*ProposedBMPs[[#This Row],[Effective Treatment Depth (in/imp. ac)]]^5-0.2562*ProposedBMPs[[#This Row],[Effective Treatment Depth (in/imp. ac)]]^4+0.8634*ProposedBMPs[[#This Row],[Effective Treatment Depth (in/imp. ac)]]^3-1.5285*ProposedBMPs[[#This Row],[Effective Treatment Depth (in/imp. ac)]]^2+1.501*ProposedBMPs[[#This Row],[Effective Treatment Depth (in/imp. ac)]]-0.013,IF(ProposedBMPs[[#This Row],[BMP Type]]="ST",0.0152*ProposedBMPs[[#This Row],[Effective Treatment Depth (in/imp. ac)]]^5-0.131*ProposedBMPs[[#This Row],[Effective Treatment Depth (in/imp. ac)]]^4+0.4581*ProposedBMPs[[#This Row],[Effective Treatment Depth (in/imp. ac)]]^3-0.8418*ProposedBMPs[[#This Row],[Effective Treatment Depth (in/imp. ac)]]^2+0.8536*ProposedBMPs[[#This Row],[Effective Treatment Depth (in/imp. ac)]]-0.0046,IF(ProposedBMPs[[#This Row],[BMP Type]]="Street Sweeping",Street_Sweeping[TN Reduction (%)],IF(OR(ProposedBMPs[[#This Row],[BMP Type]]="Other",ProposedBMPs[[#This Row],[BMP Type]]="Stream Restoration"),0,1))))</f>
        <v>0.66729601120255999</v>
      </c>
      <c r="T15" s="37">
        <f>IF(ProposedBMPs[[#This Row],[TSS Reduction (%)]]&gt;0,IF(ProposedBMPs[[#This Row],[BMP Type]]="Street Sweeping",ProposedBMPs[[#This Row],[TSS Load (lbs/yr)]]*ProposedBMPs[[#This Row],[TSS Reduction (%)]],INDEX(Loading_Rates[#All],MATCH(ProposedBMPs[[#This Row],[MapShed Land Cover of Drainage Area]],Loading_Rates[[#All],[Source]],0),2)*ProposedBMPs[[#This Row],[Drainage Area (ac)]]*ProposedBMPs[[#This Row],[TSS Reduction (%)]]),IF(ProposedBMPs[[#This Row],[BMP Type]]="Stream Restoration",Stream_Nutrients[TSS (lbs/ft/yr)]*ProposedBMPs[[#This Row],[Stream Restoration* Length (ft) - Qualified projects only]],0))</f>
        <v>0</v>
      </c>
      <c r="U15" s="37">
        <f>ProposedBMPs[[#This Row],[TSS Reduction (lbs/yr)]]/2000</f>
        <v>0</v>
      </c>
      <c r="V15" s="37">
        <f>IF(ProposedBMPs[[#This Row],[TP Reduction (%)]]&gt;0,IF(ProposedBMPs[[#This Row],[BMP Type]]="Street Sweeping",ProposedBMPs[[#This Row],[TP Load (lbs/yr)]]*ProposedBMPs[[#This Row],[TP Reduction (%)]],INDEX(Loading_Rates[#All],MATCH(ProposedBMPs[[#This Row],[MapShed Land Cover of Drainage Area]],Loading_Rates[[#All],[Source]],0),3)*ProposedBMPs[[#This Row],[Drainage Area (ac)]]*ProposedBMPs[[#This Row],[TP Reduction (%)]]),IF(ProposedBMPs[[#This Row],[BMP Type]]="Stream Restoration",Stream_Nutrients[TP (lbs/ft/yr)]*ProposedBMPs[[#This Row],[Stream Restoration* Length (ft) - Qualified projects only]],0))</f>
        <v>0</v>
      </c>
      <c r="W15" s="37">
        <f>IF(ProposedBMPs[[#This Row],[TN Reduction (%)]]&gt;0,IF(ProposedBMPs[[#This Row],[BMP Type]]="Street Sweeping",ProposedBMPs[[#This Row],[TN Load (lbs/yr)]]*ProposedBMPs[[#This Row],[TN Reduction (%)]],INDEX(Loading_Rates[#All],MATCH(ProposedBMPs[[#This Row],[MapShed Land Cover of Drainage Area]],Loading_Rates[[#All],[Source]],0),4)*ProposedBMPs[[#This Row],[Drainage Area (ac)]]*ProposedBMPs[[#This Row],[TN Reduction (%)]]),IF(ProposedBMPs[[#This Row],[BMP Type]]="Stream Restoration",Stream_Nutrients[TN (lbs/ft/yr)]*ProposedBMPs[[#This Row],[Stream Restoration* Length (ft) - Qualified projects only]],0))</f>
        <v>0</v>
      </c>
    </row>
    <row r="16" spans="1:23" x14ac:dyDescent="0.25">
      <c r="A16" s="30" t="s">
        <v>61</v>
      </c>
      <c r="B16" s="30" t="s">
        <v>60</v>
      </c>
      <c r="C16" s="31">
        <v>2018</v>
      </c>
      <c r="D16" s="30"/>
      <c r="E16" s="32"/>
      <c r="F16" s="33"/>
      <c r="G16" s="34">
        <v>0</v>
      </c>
      <c r="H16" s="34"/>
      <c r="I16" s="35" t="e">
        <f>ProposedBMPs[[#This Row],[Drainage Area (ac)]]*ProposedBMPs[[#This Row],[Impervious (%)]]</f>
        <v>#N/A</v>
      </c>
      <c r="J16" s="35" t="e">
        <f>IFERROR(MIN(ProposedBMPs[[#This Row],[Treatment Depth (in)]]*ProposedBMPs[[#This Row],[Drainage Area (ac)]]/ProposedBMPs[[#This Row],[Impervious Area (ac)]],2.5),NA())</f>
        <v>#N/A</v>
      </c>
      <c r="K16" s="33"/>
      <c r="L16" s="35" t="e">
        <f>IF(ProposedBMPs[[#This Row],[Treatment Depth (in/imp. ac) Manual Override - use if no impervious area]]&gt;0,ProposedBMPs[[#This Row],[Treatment Depth (in/imp. ac) Manual Override - use if no impervious area]],ProposedBMPs[[#This Row],[Treatment Depth (in/imp. ac)]])</f>
        <v>#N/A</v>
      </c>
      <c r="M16" s="36" t="e">
        <f>IF(ProposedBMPs[[#This Row],[BMP Type]]="Stream Restoration",NA(),IFERROR(INDEX(Impervious[#All],MATCH(ProposedBMPs[[#This Row],[MapShed Land Cover of Drainage Area]],Impervious[[#All],[Source]],0),4),0))</f>
        <v>#N/A</v>
      </c>
      <c r="N16" s="37" t="e">
        <f>IF(ProposedBMPs[[#This Row],[BMP Type]]="Street Sweeping",ProposedBMPs[[#This Row],[Street Sweeping* Road Length Swept (ft) - Qualified projects only]]*Street_Sweeping[Road Width (ft)]/43560*INDEX(Loading_Rates[#All],MATCH(ProposedBMPs[[#This Row],[MapShed Land Cover of Drainage Area]],Loading_Rates[[#All],[Source]],0),2)*ProposedBMPs[[#This Row],[Impervious (%)]],IF(ProposedBMPs[[#This Row],[BMP Type]]="Stream Restoration",NA(),INDEX(Loading_Rates[#All],MATCH(ProposedBMPs[[#This Row],[MapShed Land Cover of Drainage Area]],Loading_Rates[[#All],[Source]],0),2)*ProposedBMPs[[#This Row],[Drainage Area (ac)]]))</f>
        <v>#N/A</v>
      </c>
      <c r="O16" s="37" t="e">
        <f>IF(ProposedBMPs[[#This Row],[BMP Type]]="Street Sweeping",ProposedBMPs[[#This Row],[Street Sweeping* Road Length Swept (ft) - Qualified projects only]]*Street_Sweeping[Road Width (ft)]/43560*INDEX(Loading_Rates[#All],MATCH(ProposedBMPs[[#This Row],[MapShed Land Cover of Drainage Area]],Loading_Rates[[#All],[Source]],0),3)*ProposedBMPs[[#This Row],[Impervious (%)]],IF(ProposedBMPs[[#This Row],[BMP Type]]="Stream Restoration",NA(),INDEX(Loading_Rates[#All],MATCH(ProposedBMPs[[#This Row],[MapShed Land Cover of Drainage Area]],Loading_Rates[[#All],[Source]],0),3)*ProposedBMPs[[#This Row],[Drainage Area (ac)]]))</f>
        <v>#N/A</v>
      </c>
      <c r="P16" s="37" t="e">
        <f>IF(ProposedBMPs[[#This Row],[BMP Type]]="Street Sweeping",ProposedBMPs[[#This Row],[Street Sweeping* Road Length Swept (ft) - Qualified projects only]]*Street_Sweeping[Road Width (ft)]/43560*INDEX(Loading_Rates[#All],MATCH(ProposedBMPs[[#This Row],[MapShed Land Cover of Drainage Area]],Loading_Rates[[#All],[Source]],0),4)*ProposedBMPs[[#This Row],[Impervious (%)]],IF(ProposedBMPs[[#This Row],[BMP Type]]="Stream Restoration",NA(),INDEX(Loading_Rates[#All],MATCH(ProposedBMPs[[#This Row],[MapShed Land Cover of Drainage Area]],Loading_Rates[[#All],[Source]],0),4)*ProposedBMPs[[#This Row],[Drainage Area (ac)]]))</f>
        <v>#N/A</v>
      </c>
      <c r="Q16" s="36">
        <f>IF(ProposedBMPs[[#This Row],[BMP Type]]="RR",0.0326*ProposedBMPs[[#This Row],[Effective Treatment Depth (in/imp. ac)]]^5-0.2806*ProposedBMPs[[#This Row],[Effective Treatment Depth (in/imp. ac)]]^4+0.9816*ProposedBMPs[[#This Row],[Effective Treatment Depth (in/imp. ac)]]^3-1.8039*ProposedBMPs[[#This Row],[Effective Treatment Depth (in/imp. ac)]]^2+1.8292*ProposedBMPs[[#This Row],[Effective Treatment Depth (in/imp. ac)]]-0.0098,IF(ProposedBMPs[[#This Row],[BMP Type]]="ST",0.0304*ProposedBMPs[[#This Row],[Effective Treatment Depth (in/imp. ac)]]^5-0.2619*ProposedBMPs[[#This Row],[Effective Treatment Depth (in/imp. ac)]]^4+0.9161*ProposedBMPs[[#This Row],[Effective Treatment Depth (in/imp. ac)]]^3-1.6837*ProposedBMPs[[#This Row],[Effective Treatment Depth (in/imp. ac)]]^2+1.7072*ProposedBMPs[[#This Row],[Effective Treatment Depth (in/imp. ac)]]-0.0091,IF(ProposedBMPs[[#This Row],[BMP Type]]="Street Sweeping",Street_Sweeping[TSS Reduction (%)],IF(OR(ProposedBMPs[[#This Row],[BMP Type]]="Other",ProposedBMPs[[#This Row],[BMP Type]]="Stream Restoration"),0,1))))</f>
        <v>0</v>
      </c>
      <c r="R16" s="36">
        <f>IF(ProposedBMPs[[#This Row],[BMP Type]]="RR",0.0304*ProposedBMPs[[#This Row],[Effective Treatment Depth (in/imp. ac)]]^5-0.2619*ProposedBMPs[[#This Row],[Effective Treatment Depth (in/imp. ac)]]^4+0.9161*ProposedBMPs[[#This Row],[Effective Treatment Depth (in/imp. ac)]]^3-1.6837*ProposedBMPs[[#This Row],[Effective Treatment Depth (in/imp. ac)]]^2+1.7072*ProposedBMPs[[#This Row],[Effective Treatment Depth (in/imp. ac)]]-0.0091,IF(ProposedBMPs[[#This Row],[BMP Type]]="ST",0.0239*ProposedBMPs[[#This Row],[Effective Treatment Depth (in/imp. ac)]]^5-0.2058*ProposedBMPs[[#This Row],[Effective Treatment Depth (in/imp. ac)]]^4+0.7198*ProposedBMPs[[#This Row],[Effective Treatment Depth (in/imp. ac)]]^3-1.3229*ProposedBMPs[[#This Row],[Effective Treatment Depth (in/imp. ac)]]^2+1.3414*ProposedBMPs[[#This Row],[Effective Treatment Depth (in/imp. ac)]]-0.0072,IF(ProposedBMPs[[#This Row],[BMP Type]]="Street Sweeping",Street_Sweeping[TP Reduction (%)],IF(OR(ProposedBMPs[[#This Row],[BMP Type]]="Other",ProposedBMPs[[#This Row],[BMP Type]]="Stream Restoration"),0,1))))</f>
        <v>0</v>
      </c>
      <c r="S16" s="36">
        <f>IF(ProposedBMPs[[#This Row],[BMP Type]]="RR",0.0308*ProposedBMPs[[#This Row],[Effective Treatment Depth (in/imp. ac)]]^5-0.2562*ProposedBMPs[[#This Row],[Effective Treatment Depth (in/imp. ac)]]^4+0.8634*ProposedBMPs[[#This Row],[Effective Treatment Depth (in/imp. ac)]]^3-1.5285*ProposedBMPs[[#This Row],[Effective Treatment Depth (in/imp. ac)]]^2+1.501*ProposedBMPs[[#This Row],[Effective Treatment Depth (in/imp. ac)]]-0.013,IF(ProposedBMPs[[#This Row],[BMP Type]]="ST",0.0152*ProposedBMPs[[#This Row],[Effective Treatment Depth (in/imp. ac)]]^5-0.131*ProposedBMPs[[#This Row],[Effective Treatment Depth (in/imp. ac)]]^4+0.4581*ProposedBMPs[[#This Row],[Effective Treatment Depth (in/imp. ac)]]^3-0.8418*ProposedBMPs[[#This Row],[Effective Treatment Depth (in/imp. ac)]]^2+0.8536*ProposedBMPs[[#This Row],[Effective Treatment Depth (in/imp. ac)]]-0.0046,IF(ProposedBMPs[[#This Row],[BMP Type]]="Street Sweeping",Street_Sweeping[TN Reduction (%)],IF(OR(ProposedBMPs[[#This Row],[BMP Type]]="Other",ProposedBMPs[[#This Row],[BMP Type]]="Stream Restoration"),0,1))))</f>
        <v>0</v>
      </c>
      <c r="T16" s="37">
        <f>IF(ProposedBMPs[[#This Row],[TSS Reduction (%)]]&gt;0,IF(ProposedBMPs[[#This Row],[BMP Type]]="Street Sweeping",ProposedBMPs[[#This Row],[TSS Load (lbs/yr)]]*ProposedBMPs[[#This Row],[TSS Reduction (%)]],INDEX(Loading_Rates[#All],MATCH(ProposedBMPs[[#This Row],[MapShed Land Cover of Drainage Area]],Loading_Rates[[#All],[Source]],0),2)*ProposedBMPs[[#This Row],[Drainage Area (ac)]]*ProposedBMPs[[#This Row],[TSS Reduction (%)]]),IF(ProposedBMPs[[#This Row],[BMP Type]]="Stream Restoration",Stream_Nutrients[TSS (lbs/ft/yr)]*ProposedBMPs[[#This Row],[Stream Restoration* Length (ft) - Qualified projects only]],0))</f>
        <v>0</v>
      </c>
      <c r="U16" s="37">
        <f>ProposedBMPs[[#This Row],[TSS Reduction (lbs/yr)]]/2000</f>
        <v>0</v>
      </c>
      <c r="V16" s="37">
        <f>IF(ProposedBMPs[[#This Row],[TP Reduction (%)]]&gt;0,IF(ProposedBMPs[[#This Row],[BMP Type]]="Street Sweeping",ProposedBMPs[[#This Row],[TP Load (lbs/yr)]]*ProposedBMPs[[#This Row],[TP Reduction (%)]],INDEX(Loading_Rates[#All],MATCH(ProposedBMPs[[#This Row],[MapShed Land Cover of Drainage Area]],Loading_Rates[[#All],[Source]],0),3)*ProposedBMPs[[#This Row],[Drainage Area (ac)]]*ProposedBMPs[[#This Row],[TP Reduction (%)]]),IF(ProposedBMPs[[#This Row],[BMP Type]]="Stream Restoration",Stream_Nutrients[TP (lbs/ft/yr)]*ProposedBMPs[[#This Row],[Stream Restoration* Length (ft) - Qualified projects only]],0))</f>
        <v>0</v>
      </c>
      <c r="W16" s="37">
        <f>IF(ProposedBMPs[[#This Row],[TN Reduction (%)]]&gt;0,IF(ProposedBMPs[[#This Row],[BMP Type]]="Street Sweeping",ProposedBMPs[[#This Row],[TN Load (lbs/yr)]]*ProposedBMPs[[#This Row],[TN Reduction (%)]],INDEX(Loading_Rates[#All],MATCH(ProposedBMPs[[#This Row],[MapShed Land Cover of Drainage Area]],Loading_Rates[[#All],[Source]],0),4)*ProposedBMPs[[#This Row],[Drainage Area (ac)]]*ProposedBMPs[[#This Row],[TN Reduction (%)]]),IF(ProposedBMPs[[#This Row],[BMP Type]]="Stream Restoration",Stream_Nutrients[TN (lbs/ft/yr)]*ProposedBMPs[[#This Row],[Stream Restoration* Length (ft) - Qualified projects only]],0))</f>
        <v>0</v>
      </c>
    </row>
    <row r="17" spans="1:23" x14ac:dyDescent="0.25">
      <c r="A17" s="30" t="s">
        <v>62</v>
      </c>
      <c r="B17" s="30" t="s">
        <v>63</v>
      </c>
      <c r="C17" s="31">
        <v>2018</v>
      </c>
      <c r="D17" s="30" t="s">
        <v>81</v>
      </c>
      <c r="E17" s="32"/>
      <c r="F17" s="33"/>
      <c r="G17" s="34"/>
      <c r="H17" s="34">
        <v>0</v>
      </c>
      <c r="I17" s="35">
        <f>ProposedBMPs[[#This Row],[Drainage Area (ac)]]*ProposedBMPs[[#This Row],[Impervious (%)]]</f>
        <v>0</v>
      </c>
      <c r="J17" s="35" t="e">
        <f>IFERROR(MIN(ProposedBMPs[[#This Row],[Treatment Depth (in)]]*ProposedBMPs[[#This Row],[Drainage Area (ac)]]/ProposedBMPs[[#This Row],[Impervious Area (ac)]],2.5),NA())</f>
        <v>#N/A</v>
      </c>
      <c r="K17" s="33"/>
      <c r="L17" s="35" t="e">
        <f>IF(ProposedBMPs[[#This Row],[Treatment Depth (in/imp. ac) Manual Override - use if no impervious area]]&gt;0,ProposedBMPs[[#This Row],[Treatment Depth (in/imp. ac) Manual Override - use if no impervious area]],ProposedBMPs[[#This Row],[Treatment Depth (in/imp. ac)]])</f>
        <v>#N/A</v>
      </c>
      <c r="M17" s="36">
        <f>IF(ProposedBMPs[[#This Row],[BMP Type]]="Stream Restoration",NA(),IFERROR(INDEX(Impervious[#All],MATCH(ProposedBMPs[[#This Row],[MapShed Land Cover of Drainage Area]],Impervious[[#All],[Source]],0),4),0))</f>
        <v>0.15</v>
      </c>
      <c r="N17" s="37">
        <f>IF(ProposedBMPs[[#This Row],[BMP Type]]="Street Sweeping",ProposedBMPs[[#This Row],[Street Sweeping* Road Length Swept (ft) - Qualified projects only]]*Street_Sweeping[Road Width (ft)]/43560*INDEX(Loading_Rates[#All],MATCH(ProposedBMPs[[#This Row],[MapShed Land Cover of Drainage Area]],Loading_Rates[[#All],[Source]],0),2)*ProposedBMPs[[#This Row],[Impervious (%)]],IF(ProposedBMPs[[#This Row],[BMP Type]]="Stream Restoration",NA(),INDEX(Loading_Rates[#All],MATCH(ProposedBMPs[[#This Row],[MapShed Land Cover of Drainage Area]],Loading_Rates[[#All],[Source]],0),2)*ProposedBMPs[[#This Row],[Drainage Area (ac)]]))</f>
        <v>0</v>
      </c>
      <c r="O17" s="37">
        <f>IF(ProposedBMPs[[#This Row],[BMP Type]]="Street Sweeping",ProposedBMPs[[#This Row],[Street Sweeping* Road Length Swept (ft) - Qualified projects only]]*Street_Sweeping[Road Width (ft)]/43560*INDEX(Loading_Rates[#All],MATCH(ProposedBMPs[[#This Row],[MapShed Land Cover of Drainage Area]],Loading_Rates[[#All],[Source]],0),3)*ProposedBMPs[[#This Row],[Impervious (%)]],IF(ProposedBMPs[[#This Row],[BMP Type]]="Stream Restoration",NA(),INDEX(Loading_Rates[#All],MATCH(ProposedBMPs[[#This Row],[MapShed Land Cover of Drainage Area]],Loading_Rates[[#All],[Source]],0),3)*ProposedBMPs[[#This Row],[Drainage Area (ac)]]))</f>
        <v>0</v>
      </c>
      <c r="P17" s="37">
        <f>IF(ProposedBMPs[[#This Row],[BMP Type]]="Street Sweeping",ProposedBMPs[[#This Row],[Street Sweeping* Road Length Swept (ft) - Qualified projects only]]*Street_Sweeping[Road Width (ft)]/43560*INDEX(Loading_Rates[#All],MATCH(ProposedBMPs[[#This Row],[MapShed Land Cover of Drainage Area]],Loading_Rates[[#All],[Source]],0),4)*ProposedBMPs[[#This Row],[Impervious (%)]],IF(ProposedBMPs[[#This Row],[BMP Type]]="Stream Restoration",NA(),INDEX(Loading_Rates[#All],MATCH(ProposedBMPs[[#This Row],[MapShed Land Cover of Drainage Area]],Loading_Rates[[#All],[Source]],0),4)*ProposedBMPs[[#This Row],[Drainage Area (ac)]]))</f>
        <v>0</v>
      </c>
      <c r="Q17" s="36">
        <f>IF(ProposedBMPs[[#This Row],[BMP Type]]="RR",0.0326*ProposedBMPs[[#This Row],[Effective Treatment Depth (in/imp. ac)]]^5-0.2806*ProposedBMPs[[#This Row],[Effective Treatment Depth (in/imp. ac)]]^4+0.9816*ProposedBMPs[[#This Row],[Effective Treatment Depth (in/imp. ac)]]^3-1.8039*ProposedBMPs[[#This Row],[Effective Treatment Depth (in/imp. ac)]]^2+1.8292*ProposedBMPs[[#This Row],[Effective Treatment Depth (in/imp. ac)]]-0.0098,IF(ProposedBMPs[[#This Row],[BMP Type]]="ST",0.0304*ProposedBMPs[[#This Row],[Effective Treatment Depth (in/imp. ac)]]^5-0.2619*ProposedBMPs[[#This Row],[Effective Treatment Depth (in/imp. ac)]]^4+0.9161*ProposedBMPs[[#This Row],[Effective Treatment Depth (in/imp. ac)]]^3-1.6837*ProposedBMPs[[#This Row],[Effective Treatment Depth (in/imp. ac)]]^2+1.7072*ProposedBMPs[[#This Row],[Effective Treatment Depth (in/imp. ac)]]-0.0091,IF(ProposedBMPs[[#This Row],[BMP Type]]="Street Sweeping",Street_Sweeping[TSS Reduction (%)],IF(OR(ProposedBMPs[[#This Row],[BMP Type]]="Other",ProposedBMPs[[#This Row],[BMP Type]]="Stream Restoration"),0,1))))</f>
        <v>0.1</v>
      </c>
      <c r="R17" s="36">
        <f>IF(ProposedBMPs[[#This Row],[BMP Type]]="RR",0.0304*ProposedBMPs[[#This Row],[Effective Treatment Depth (in/imp. ac)]]^5-0.2619*ProposedBMPs[[#This Row],[Effective Treatment Depth (in/imp. ac)]]^4+0.9161*ProposedBMPs[[#This Row],[Effective Treatment Depth (in/imp. ac)]]^3-1.6837*ProposedBMPs[[#This Row],[Effective Treatment Depth (in/imp. ac)]]^2+1.7072*ProposedBMPs[[#This Row],[Effective Treatment Depth (in/imp. ac)]]-0.0091,IF(ProposedBMPs[[#This Row],[BMP Type]]="ST",0.0239*ProposedBMPs[[#This Row],[Effective Treatment Depth (in/imp. ac)]]^5-0.2058*ProposedBMPs[[#This Row],[Effective Treatment Depth (in/imp. ac)]]^4+0.7198*ProposedBMPs[[#This Row],[Effective Treatment Depth (in/imp. ac)]]^3-1.3229*ProposedBMPs[[#This Row],[Effective Treatment Depth (in/imp. ac)]]^2+1.3414*ProposedBMPs[[#This Row],[Effective Treatment Depth (in/imp. ac)]]-0.0072,IF(ProposedBMPs[[#This Row],[BMP Type]]="Street Sweeping",Street_Sweeping[TP Reduction (%)],IF(OR(ProposedBMPs[[#This Row],[BMP Type]]="Other",ProposedBMPs[[#This Row],[BMP Type]]="Stream Restoration"),0,1))))</f>
        <v>0.1</v>
      </c>
      <c r="S17" s="36">
        <f>IF(ProposedBMPs[[#This Row],[BMP Type]]="RR",0.0308*ProposedBMPs[[#This Row],[Effective Treatment Depth (in/imp. ac)]]^5-0.2562*ProposedBMPs[[#This Row],[Effective Treatment Depth (in/imp. ac)]]^4+0.8634*ProposedBMPs[[#This Row],[Effective Treatment Depth (in/imp. ac)]]^3-1.5285*ProposedBMPs[[#This Row],[Effective Treatment Depth (in/imp. ac)]]^2+1.501*ProposedBMPs[[#This Row],[Effective Treatment Depth (in/imp. ac)]]-0.013,IF(ProposedBMPs[[#This Row],[BMP Type]]="ST",0.0152*ProposedBMPs[[#This Row],[Effective Treatment Depth (in/imp. ac)]]^5-0.131*ProposedBMPs[[#This Row],[Effective Treatment Depth (in/imp. ac)]]^4+0.4581*ProposedBMPs[[#This Row],[Effective Treatment Depth (in/imp. ac)]]^3-0.8418*ProposedBMPs[[#This Row],[Effective Treatment Depth (in/imp. ac)]]^2+0.8536*ProposedBMPs[[#This Row],[Effective Treatment Depth (in/imp. ac)]]-0.0046,IF(ProposedBMPs[[#This Row],[BMP Type]]="Street Sweeping",Street_Sweeping[TN Reduction (%)],IF(OR(ProposedBMPs[[#This Row],[BMP Type]]="Other",ProposedBMPs[[#This Row],[BMP Type]]="Stream Restoration"),0,1))))</f>
        <v>0.1</v>
      </c>
      <c r="T17" s="37">
        <f>IF(ProposedBMPs[[#This Row],[TSS Reduction (%)]]&gt;0,IF(ProposedBMPs[[#This Row],[BMP Type]]="Street Sweeping",ProposedBMPs[[#This Row],[TSS Load (lbs/yr)]]*ProposedBMPs[[#This Row],[TSS Reduction (%)]],INDEX(Loading_Rates[#All],MATCH(ProposedBMPs[[#This Row],[MapShed Land Cover of Drainage Area]],Loading_Rates[[#All],[Source]],0),2)*ProposedBMPs[[#This Row],[Drainage Area (ac)]]*ProposedBMPs[[#This Row],[TSS Reduction (%)]]),IF(ProposedBMPs[[#This Row],[BMP Type]]="Stream Restoration",Stream_Nutrients[TSS (lbs/ft/yr)]*ProposedBMPs[[#This Row],[Stream Restoration* Length (ft) - Qualified projects only]],0))</f>
        <v>0</v>
      </c>
      <c r="U17" s="37">
        <f>ProposedBMPs[[#This Row],[TSS Reduction (lbs/yr)]]/2000</f>
        <v>0</v>
      </c>
      <c r="V17" s="37">
        <f>IF(ProposedBMPs[[#This Row],[TP Reduction (%)]]&gt;0,IF(ProposedBMPs[[#This Row],[BMP Type]]="Street Sweeping",ProposedBMPs[[#This Row],[TP Load (lbs/yr)]]*ProposedBMPs[[#This Row],[TP Reduction (%)]],INDEX(Loading_Rates[#All],MATCH(ProposedBMPs[[#This Row],[MapShed Land Cover of Drainage Area]],Loading_Rates[[#All],[Source]],0),3)*ProposedBMPs[[#This Row],[Drainage Area (ac)]]*ProposedBMPs[[#This Row],[TP Reduction (%)]]),IF(ProposedBMPs[[#This Row],[BMP Type]]="Stream Restoration",Stream_Nutrients[TP (lbs/ft/yr)]*ProposedBMPs[[#This Row],[Stream Restoration* Length (ft) - Qualified projects only]],0))</f>
        <v>0</v>
      </c>
      <c r="W17" s="37">
        <f>IF(ProposedBMPs[[#This Row],[TN Reduction (%)]]&gt;0,IF(ProposedBMPs[[#This Row],[BMP Type]]="Street Sweeping",ProposedBMPs[[#This Row],[TN Load (lbs/yr)]]*ProposedBMPs[[#This Row],[TN Reduction (%)]],INDEX(Loading_Rates[#All],MATCH(ProposedBMPs[[#This Row],[MapShed Land Cover of Drainage Area]],Loading_Rates[[#All],[Source]],0),4)*ProposedBMPs[[#This Row],[Drainage Area (ac)]]*ProposedBMPs[[#This Row],[TN Reduction (%)]]),IF(ProposedBMPs[[#This Row],[BMP Type]]="Stream Restoration",Stream_Nutrients[TN (lbs/ft/yr)]*ProposedBMPs[[#This Row],[Stream Restoration* Length (ft) - Qualified projects only]],0))</f>
        <v>0</v>
      </c>
    </row>
    <row r="18" spans="1:23" x14ac:dyDescent="0.25">
      <c r="A18" s="30" t="s">
        <v>64</v>
      </c>
      <c r="B18" s="30" t="s">
        <v>63</v>
      </c>
      <c r="C18" s="31">
        <v>2018</v>
      </c>
      <c r="D18" s="31" t="s">
        <v>83</v>
      </c>
      <c r="E18" s="32"/>
      <c r="F18" s="33"/>
      <c r="G18" s="34"/>
      <c r="H18" s="34">
        <v>0</v>
      </c>
      <c r="I18" s="35">
        <f>ProposedBMPs[[#This Row],[Drainage Area (ac)]]*ProposedBMPs[[#This Row],[Impervious (%)]]</f>
        <v>0</v>
      </c>
      <c r="J18" s="35" t="e">
        <f>IFERROR(MIN(ProposedBMPs[[#This Row],[Treatment Depth (in)]]*ProposedBMPs[[#This Row],[Drainage Area (ac)]]/ProposedBMPs[[#This Row],[Impervious Area (ac)]],2.5),NA())</f>
        <v>#N/A</v>
      </c>
      <c r="K18" s="33"/>
      <c r="L18" s="35" t="e">
        <f>IF(ProposedBMPs[[#This Row],[Treatment Depth (in/imp. ac) Manual Override - use if no impervious area]]&gt;0,ProposedBMPs[[#This Row],[Treatment Depth (in/imp. ac) Manual Override - use if no impervious area]],ProposedBMPs[[#This Row],[Treatment Depth (in/imp. ac)]])</f>
        <v>#N/A</v>
      </c>
      <c r="M18" s="36">
        <f>IF(ProposedBMPs[[#This Row],[BMP Type]]="Stream Restoration",NA(),IFERROR(INDEX(Impervious[#All],MATCH(ProposedBMPs[[#This Row],[MapShed Land Cover of Drainage Area]],Impervious[[#All],[Source]],0),4),0))</f>
        <v>0.87</v>
      </c>
      <c r="N18" s="37">
        <f>IF(ProposedBMPs[[#This Row],[BMP Type]]="Street Sweeping",ProposedBMPs[[#This Row],[Street Sweeping* Road Length Swept (ft) - Qualified projects only]]*Street_Sweeping[Road Width (ft)]/43560*INDEX(Loading_Rates[#All],MATCH(ProposedBMPs[[#This Row],[MapShed Land Cover of Drainage Area]],Loading_Rates[[#All],[Source]],0),2)*ProposedBMPs[[#This Row],[Impervious (%)]],IF(ProposedBMPs[[#This Row],[BMP Type]]="Stream Restoration",NA(),INDEX(Loading_Rates[#All],MATCH(ProposedBMPs[[#This Row],[MapShed Land Cover of Drainage Area]],Loading_Rates[[#All],[Source]],0),2)*ProposedBMPs[[#This Row],[Drainage Area (ac)]]))</f>
        <v>0</v>
      </c>
      <c r="O18" s="37">
        <f>IF(ProposedBMPs[[#This Row],[BMP Type]]="Street Sweeping",ProposedBMPs[[#This Row],[Street Sweeping* Road Length Swept (ft) - Qualified projects only]]*Street_Sweeping[Road Width (ft)]/43560*INDEX(Loading_Rates[#All],MATCH(ProposedBMPs[[#This Row],[MapShed Land Cover of Drainage Area]],Loading_Rates[[#All],[Source]],0),3)*ProposedBMPs[[#This Row],[Impervious (%)]],IF(ProposedBMPs[[#This Row],[BMP Type]]="Stream Restoration",NA(),INDEX(Loading_Rates[#All],MATCH(ProposedBMPs[[#This Row],[MapShed Land Cover of Drainage Area]],Loading_Rates[[#All],[Source]],0),3)*ProposedBMPs[[#This Row],[Drainage Area (ac)]]))</f>
        <v>0</v>
      </c>
      <c r="P18" s="37">
        <f>IF(ProposedBMPs[[#This Row],[BMP Type]]="Street Sweeping",ProposedBMPs[[#This Row],[Street Sweeping* Road Length Swept (ft) - Qualified projects only]]*Street_Sweeping[Road Width (ft)]/43560*INDEX(Loading_Rates[#All],MATCH(ProposedBMPs[[#This Row],[MapShed Land Cover of Drainage Area]],Loading_Rates[[#All],[Source]],0),4)*ProposedBMPs[[#This Row],[Impervious (%)]],IF(ProposedBMPs[[#This Row],[BMP Type]]="Stream Restoration",NA(),INDEX(Loading_Rates[#All],MATCH(ProposedBMPs[[#This Row],[MapShed Land Cover of Drainage Area]],Loading_Rates[[#All],[Source]],0),4)*ProposedBMPs[[#This Row],[Drainage Area (ac)]]))</f>
        <v>0</v>
      </c>
      <c r="Q18" s="36">
        <f>IF(ProposedBMPs[[#This Row],[BMP Type]]="RR",0.0326*ProposedBMPs[[#This Row],[Effective Treatment Depth (in/imp. ac)]]^5-0.2806*ProposedBMPs[[#This Row],[Effective Treatment Depth (in/imp. ac)]]^4+0.9816*ProposedBMPs[[#This Row],[Effective Treatment Depth (in/imp. ac)]]^3-1.8039*ProposedBMPs[[#This Row],[Effective Treatment Depth (in/imp. ac)]]^2+1.8292*ProposedBMPs[[#This Row],[Effective Treatment Depth (in/imp. ac)]]-0.0098,IF(ProposedBMPs[[#This Row],[BMP Type]]="ST",0.0304*ProposedBMPs[[#This Row],[Effective Treatment Depth (in/imp. ac)]]^5-0.2619*ProposedBMPs[[#This Row],[Effective Treatment Depth (in/imp. ac)]]^4+0.9161*ProposedBMPs[[#This Row],[Effective Treatment Depth (in/imp. ac)]]^3-1.6837*ProposedBMPs[[#This Row],[Effective Treatment Depth (in/imp. ac)]]^2+1.7072*ProposedBMPs[[#This Row],[Effective Treatment Depth (in/imp. ac)]]-0.0091,IF(ProposedBMPs[[#This Row],[BMP Type]]="Street Sweeping",Street_Sweeping[TSS Reduction (%)],IF(OR(ProposedBMPs[[#This Row],[BMP Type]]="Other",ProposedBMPs[[#This Row],[BMP Type]]="Stream Restoration"),0,1))))</f>
        <v>0.1</v>
      </c>
      <c r="R18" s="36">
        <f>IF(ProposedBMPs[[#This Row],[BMP Type]]="RR",0.0304*ProposedBMPs[[#This Row],[Effective Treatment Depth (in/imp. ac)]]^5-0.2619*ProposedBMPs[[#This Row],[Effective Treatment Depth (in/imp. ac)]]^4+0.9161*ProposedBMPs[[#This Row],[Effective Treatment Depth (in/imp. ac)]]^3-1.6837*ProposedBMPs[[#This Row],[Effective Treatment Depth (in/imp. ac)]]^2+1.7072*ProposedBMPs[[#This Row],[Effective Treatment Depth (in/imp. ac)]]-0.0091,IF(ProposedBMPs[[#This Row],[BMP Type]]="ST",0.0239*ProposedBMPs[[#This Row],[Effective Treatment Depth (in/imp. ac)]]^5-0.2058*ProposedBMPs[[#This Row],[Effective Treatment Depth (in/imp. ac)]]^4+0.7198*ProposedBMPs[[#This Row],[Effective Treatment Depth (in/imp. ac)]]^3-1.3229*ProposedBMPs[[#This Row],[Effective Treatment Depth (in/imp. ac)]]^2+1.3414*ProposedBMPs[[#This Row],[Effective Treatment Depth (in/imp. ac)]]-0.0072,IF(ProposedBMPs[[#This Row],[BMP Type]]="Street Sweeping",Street_Sweeping[TP Reduction (%)],IF(OR(ProposedBMPs[[#This Row],[BMP Type]]="Other",ProposedBMPs[[#This Row],[BMP Type]]="Stream Restoration"),0,1))))</f>
        <v>0.1</v>
      </c>
      <c r="S18" s="36">
        <f>IF(ProposedBMPs[[#This Row],[BMP Type]]="RR",0.0308*ProposedBMPs[[#This Row],[Effective Treatment Depth (in/imp. ac)]]^5-0.2562*ProposedBMPs[[#This Row],[Effective Treatment Depth (in/imp. ac)]]^4+0.8634*ProposedBMPs[[#This Row],[Effective Treatment Depth (in/imp. ac)]]^3-1.5285*ProposedBMPs[[#This Row],[Effective Treatment Depth (in/imp. ac)]]^2+1.501*ProposedBMPs[[#This Row],[Effective Treatment Depth (in/imp. ac)]]-0.013,IF(ProposedBMPs[[#This Row],[BMP Type]]="ST",0.0152*ProposedBMPs[[#This Row],[Effective Treatment Depth (in/imp. ac)]]^5-0.131*ProposedBMPs[[#This Row],[Effective Treatment Depth (in/imp. ac)]]^4+0.4581*ProposedBMPs[[#This Row],[Effective Treatment Depth (in/imp. ac)]]^3-0.8418*ProposedBMPs[[#This Row],[Effective Treatment Depth (in/imp. ac)]]^2+0.8536*ProposedBMPs[[#This Row],[Effective Treatment Depth (in/imp. ac)]]-0.0046,IF(ProposedBMPs[[#This Row],[BMP Type]]="Street Sweeping",Street_Sweeping[TN Reduction (%)],IF(OR(ProposedBMPs[[#This Row],[BMP Type]]="Other",ProposedBMPs[[#This Row],[BMP Type]]="Stream Restoration"),0,1))))</f>
        <v>0.1</v>
      </c>
      <c r="T18" s="37">
        <f>IF(ProposedBMPs[[#This Row],[TSS Reduction (%)]]&gt;0,IF(ProposedBMPs[[#This Row],[BMP Type]]="Street Sweeping",ProposedBMPs[[#This Row],[TSS Load (lbs/yr)]]*ProposedBMPs[[#This Row],[TSS Reduction (%)]],INDEX(Loading_Rates[#All],MATCH(ProposedBMPs[[#This Row],[MapShed Land Cover of Drainage Area]],Loading_Rates[[#All],[Source]],0),2)*ProposedBMPs[[#This Row],[Drainage Area (ac)]]*ProposedBMPs[[#This Row],[TSS Reduction (%)]]),IF(ProposedBMPs[[#This Row],[BMP Type]]="Stream Restoration",Stream_Nutrients[TSS (lbs/ft/yr)]*ProposedBMPs[[#This Row],[Stream Restoration* Length (ft) - Qualified projects only]],0))</f>
        <v>0</v>
      </c>
      <c r="U18" s="37">
        <f>ProposedBMPs[[#This Row],[TSS Reduction (lbs/yr)]]/2000</f>
        <v>0</v>
      </c>
      <c r="V18" s="37">
        <f>IF(ProposedBMPs[[#This Row],[TP Reduction (%)]]&gt;0,IF(ProposedBMPs[[#This Row],[BMP Type]]="Street Sweeping",ProposedBMPs[[#This Row],[TP Load (lbs/yr)]]*ProposedBMPs[[#This Row],[TP Reduction (%)]],INDEX(Loading_Rates[#All],MATCH(ProposedBMPs[[#This Row],[MapShed Land Cover of Drainage Area]],Loading_Rates[[#All],[Source]],0),3)*ProposedBMPs[[#This Row],[Drainage Area (ac)]]*ProposedBMPs[[#This Row],[TP Reduction (%)]]),IF(ProposedBMPs[[#This Row],[BMP Type]]="Stream Restoration",Stream_Nutrients[TP (lbs/ft/yr)]*ProposedBMPs[[#This Row],[Stream Restoration* Length (ft) - Qualified projects only]],0))</f>
        <v>0</v>
      </c>
      <c r="W18" s="37">
        <f>IF(ProposedBMPs[[#This Row],[TN Reduction (%)]]&gt;0,IF(ProposedBMPs[[#This Row],[BMP Type]]="Street Sweeping",ProposedBMPs[[#This Row],[TN Load (lbs/yr)]]*ProposedBMPs[[#This Row],[TN Reduction (%)]],INDEX(Loading_Rates[#All],MATCH(ProposedBMPs[[#This Row],[MapShed Land Cover of Drainage Area]],Loading_Rates[[#All],[Source]],0),4)*ProposedBMPs[[#This Row],[Drainage Area (ac)]]*ProposedBMPs[[#This Row],[TN Reduction (%)]]),IF(ProposedBMPs[[#This Row],[BMP Type]]="Stream Restoration",Stream_Nutrients[TN (lbs/ft/yr)]*ProposedBMPs[[#This Row],[Stream Restoration* Length (ft) - Qualified projects only]],0))</f>
        <v>0</v>
      </c>
    </row>
    <row r="19" spans="1:23" ht="21" x14ac:dyDescent="0.35">
      <c r="A19" s="28" t="s">
        <v>17</v>
      </c>
      <c r="B19" s="28"/>
      <c r="C19" s="28"/>
      <c r="D19" s="28"/>
      <c r="E19" s="28"/>
      <c r="F19" s="28"/>
      <c r="G19" s="28"/>
      <c r="H19" s="28"/>
      <c r="I19" s="28"/>
      <c r="J19" s="28"/>
      <c r="K19" s="28"/>
      <c r="L19" s="28"/>
      <c r="M19" s="28"/>
      <c r="N19" s="28"/>
      <c r="O19" s="28"/>
      <c r="P19" s="28"/>
      <c r="Q19" s="28"/>
      <c r="R19" s="28"/>
      <c r="S19" s="28"/>
      <c r="T19" s="64">
        <f>_xlfn.AGGREGATE(9,7,ProposedBMPs[TSS Reduction (lbs/yr)])</f>
        <v>818265.1755904553</v>
      </c>
      <c r="U19" s="37">
        <f>_xlfn.AGGREGATE(9,7,ProposedBMPs[TSS Reduction (tons/yr)])</f>
        <v>409.13258779522766</v>
      </c>
      <c r="V19" s="64">
        <f>_xlfn.AGGREGATE(9,7,ProposedBMPs[TP Reduction (lbs/yr)])</f>
        <v>189.4197629313415</v>
      </c>
      <c r="W19" s="64">
        <f>_xlfn.AGGREGATE(9,7,ProposedBMPs[TN Reduction (lbs/yr)])</f>
        <v>1322.5507842242291</v>
      </c>
    </row>
    <row r="20" spans="1:23" x14ac:dyDescent="0.25">
      <c r="A20" s="11"/>
      <c r="B20" s="11"/>
      <c r="C20" s="11"/>
      <c r="D20" s="11"/>
      <c r="E20" s="11"/>
      <c r="F20" s="11"/>
    </row>
    <row r="22" spans="1:23" x14ac:dyDescent="0.25">
      <c r="A22" t="s">
        <v>137</v>
      </c>
    </row>
    <row r="23" spans="1:23" ht="60" x14ac:dyDescent="0.25">
      <c r="A23" s="29" t="s">
        <v>20</v>
      </c>
      <c r="B23" s="29" t="s">
        <v>24</v>
      </c>
      <c r="C23" s="29" t="s">
        <v>45</v>
      </c>
      <c r="D23" s="29" t="s">
        <v>36</v>
      </c>
      <c r="E23" s="29" t="s">
        <v>21</v>
      </c>
      <c r="F23" s="29" t="s">
        <v>23</v>
      </c>
      <c r="G23" s="29" t="s">
        <v>79</v>
      </c>
      <c r="H23" s="29" t="s">
        <v>80</v>
      </c>
      <c r="I23" s="29" t="s">
        <v>22</v>
      </c>
      <c r="J23" s="29" t="s">
        <v>44</v>
      </c>
      <c r="K23" s="29" t="s">
        <v>56</v>
      </c>
      <c r="L23" s="29" t="s">
        <v>57</v>
      </c>
      <c r="M23" s="29" t="s">
        <v>68</v>
      </c>
      <c r="N23" s="29" t="s">
        <v>76</v>
      </c>
      <c r="O23" s="29" t="s">
        <v>77</v>
      </c>
      <c r="P23" s="29" t="s">
        <v>78</v>
      </c>
      <c r="Q23" s="29" t="s">
        <v>65</v>
      </c>
      <c r="R23" s="29" t="s">
        <v>66</v>
      </c>
      <c r="S23" s="29" t="s">
        <v>67</v>
      </c>
      <c r="T23" s="29" t="s">
        <v>39</v>
      </c>
      <c r="U23" s="29" t="s">
        <v>40</v>
      </c>
      <c r="V23" s="29" t="s">
        <v>38</v>
      </c>
      <c r="W23" s="29" t="s">
        <v>37</v>
      </c>
    </row>
    <row r="24" spans="1:23" x14ac:dyDescent="0.25">
      <c r="A24" s="30" t="s">
        <v>46</v>
      </c>
      <c r="B24" s="30" t="s">
        <v>18</v>
      </c>
      <c r="C24" s="31">
        <v>2018</v>
      </c>
      <c r="D24" s="30" t="s">
        <v>11</v>
      </c>
      <c r="E24" s="32">
        <v>1</v>
      </c>
      <c r="F24" s="33">
        <v>1</v>
      </c>
      <c r="G24" s="34"/>
      <c r="H24" s="34"/>
      <c r="I24" s="35">
        <f>ProposedBMPs8[[#This Row],[Drainage Area (ac)]]*ProposedBMPs8[[#This Row],[Impervious (%)]]</f>
        <v>0.15</v>
      </c>
      <c r="J24" s="35">
        <f>IFERROR(MIN(ProposedBMPs8[[#This Row],[Treatment Depth (in)]]*ProposedBMPs8[[#This Row],[Drainage Area (ac)]]/ProposedBMPs8[[#This Row],[Impervious Area (ac)]],2.5),NA())</f>
        <v>2.5</v>
      </c>
      <c r="K24" s="33"/>
      <c r="L24" s="35">
        <f>IF(ProposedBMPs8[[#This Row],[Treatment Depth (in/imp. ac) Manual Override - use if no impervious area]]&gt;0,ProposedBMPs8[[#This Row],[Treatment Depth (in/imp. ac) Manual Override - use if no impervious area]],ProposedBMPs8[[#This Row],[Treatment Depth (in/imp. ac)]])</f>
        <v>2.5</v>
      </c>
      <c r="M24" s="36">
        <f>IF(ProposedBMPs8[[#This Row],[BMP Type]]="Stream Restoration",NA(),IFERROR(INDEX(Impervious[#All],MATCH(ProposedBMPs8[[#This Row],[MapShed Land Cover of Drainage Area]],Impervious[[#All],[Source]],0),4),0))</f>
        <v>0.15</v>
      </c>
      <c r="N24" s="37">
        <f>IF(ProposedBMPs8[[#This Row],[BMP Type]]="Street Sweeping",ProposedBMPs8[[#This Row],[Street Sweeping* Road Length Swept (ft) - Qualified projects only]]*Street_Sweeping[Road Width (ft)]/43560*INDEX(Loading_Rates[#All],MATCH(ProposedBMPs8[[#This Row],[MapShed Land Cover of Drainage Area]],Loading_Rates[[#All],[Source]],0),2)*ProposedBMPs8[[#This Row],[Impervious (%)]],IF(ProposedBMPs8[[#This Row],[BMP Type]]="Stream Restoration",NA(),INDEX(Loading_Rates[#All],MATCH(ProposedBMPs8[[#This Row],[MapShed Land Cover of Drainage Area]],Loading_Rates[[#All],[Source]],0),2)*ProposedBMPs8[[#This Row],[Drainage Area (ac)]]))</f>
        <v>923.9</v>
      </c>
      <c r="O24" s="37">
        <f>IF(ProposedBMPs8[[#This Row],[BMP Type]]="Street Sweeping",ProposedBMPs8[[#This Row],[Street Sweeping* Road Length Swept (ft) - Qualified projects only]]*Street_Sweeping[Road Width (ft)]/43560*INDEX(Loading_Rates[#All],MATCH(ProposedBMPs8[[#This Row],[MapShed Land Cover of Drainage Area]],Loading_Rates[[#All],[Source]],0),3)*ProposedBMPs8[[#This Row],[Impervious (%)]],IF(ProposedBMPs8[[#This Row],[BMP Type]]="Stream Restoration",NA(),INDEX(Loading_Rates[#All],MATCH(ProposedBMPs8[[#This Row],[MapShed Land Cover of Drainage Area]],Loading_Rates[[#All],[Source]],0),3)*ProposedBMPs8[[#This Row],[Drainage Area (ac)]]))</f>
        <v>0.5</v>
      </c>
      <c r="P24" s="37">
        <f>IF(ProposedBMPs8[[#This Row],[BMP Type]]="Street Sweeping",ProposedBMPs8[[#This Row],[Street Sweeping* Road Length Swept (ft) - Qualified projects only]]*Street_Sweeping[Road Width (ft)]/43560*INDEX(Loading_Rates[#All],MATCH(ProposedBMPs8[[#This Row],[MapShed Land Cover of Drainage Area]],Loading_Rates[[#All],[Source]],0),4)*ProposedBMPs8[[#This Row],[Impervious (%)]],IF(ProposedBMPs8[[#This Row],[BMP Type]]="Stream Restoration",NA(),INDEX(Loading_Rates[#All],MATCH(ProposedBMPs8[[#This Row],[MapShed Land Cover of Drainage Area]],Loading_Rates[[#All],[Source]],0),4)*ProposedBMPs8[[#This Row],[Drainage Area (ac)]]))</f>
        <v>5</v>
      </c>
      <c r="Q24" s="36">
        <f>IF(ProposedBMPs8[[#This Row],[BMP Type]]="RR",0.0326*ProposedBMPs8[[#This Row],[Effective Treatment Depth (in/imp. ac)]]^5-0.2806*ProposedBMPs8[[#This Row],[Effective Treatment Depth (in/imp. ac)]]^4+0.9816*ProposedBMPs8[[#This Row],[Effective Treatment Depth (in/imp. ac)]]^3-1.8039*ProposedBMPs8[[#This Row],[Effective Treatment Depth (in/imp. ac)]]^2+1.8292*ProposedBMPs8[[#This Row],[Effective Treatment Depth (in/imp. ac)]]-0.0098,IF(ProposedBMPs8[[#This Row],[BMP Type]]="ST",0.0304*ProposedBMPs8[[#This Row],[Effective Treatment Depth (in/imp. ac)]]^5-0.2619*ProposedBMPs8[[#This Row],[Effective Treatment Depth (in/imp. ac)]]^4+0.9161*ProposedBMPs8[[#This Row],[Effective Treatment Depth (in/imp. ac)]]^3-1.6837*ProposedBMPs8[[#This Row],[Effective Treatment Depth (in/imp. ac)]]^2+1.7072*ProposedBMPs8[[#This Row],[Effective Treatment Depth (in/imp. ac)]]-0.0091,IF(ProposedBMPs8[[#This Row],[BMP Type]]="Street Sweeping",Street_Sweeping[TSS Reduction (%)],IF(OR(ProposedBMPs8[[#This Row],[BMP Type]]="Other",ProposedBMPs8[[#This Row],[BMP Type]]="Stream Restoration"),0,1))))</f>
        <v>0.84898124999999891</v>
      </c>
      <c r="R24" s="36">
        <f>IF(ProposedBMPs8[[#This Row],[BMP Type]]="RR",0.0304*ProposedBMPs8[[#This Row],[Effective Treatment Depth (in/imp. ac)]]^5-0.2619*ProposedBMPs8[[#This Row],[Effective Treatment Depth (in/imp. ac)]]^4+0.9161*ProposedBMPs8[[#This Row],[Effective Treatment Depth (in/imp. ac)]]^3-1.6837*ProposedBMPs8[[#This Row],[Effective Treatment Depth (in/imp. ac)]]^2+1.7072*ProposedBMPs8[[#This Row],[Effective Treatment Depth (in/imp. ac)]]-0.0091,IF(ProposedBMPs8[[#This Row],[BMP Type]]="ST",0.0239*ProposedBMPs8[[#This Row],[Effective Treatment Depth (in/imp. ac)]]^5-0.2058*ProposedBMPs8[[#This Row],[Effective Treatment Depth (in/imp. ac)]]^4+0.7198*ProposedBMPs8[[#This Row],[Effective Treatment Depth (in/imp. ac)]]^3-1.3229*ProposedBMPs8[[#This Row],[Effective Treatment Depth (in/imp. ac)]]^2+1.3414*ProposedBMPs8[[#This Row],[Effective Treatment Depth (in/imp. ac)]]-0.0072,IF(ProposedBMPs8[[#This Row],[BMP Type]]="Street Sweeping",Street_Sweeping[TP Reduction (%)],IF(OR(ProposedBMPs8[[#This Row],[BMP Type]]="Other",ProposedBMPs8[[#This Row],[BMP Type]]="Stream Restoration"),0,1))))</f>
        <v>0.78811874999999987</v>
      </c>
      <c r="S24" s="36">
        <f>IF(ProposedBMPs8[[#This Row],[BMP Type]]="RR",0.0308*ProposedBMPs8[[#This Row],[Effective Treatment Depth (in/imp. ac)]]^5-0.2562*ProposedBMPs8[[#This Row],[Effective Treatment Depth (in/imp. ac)]]^4+0.8634*ProposedBMPs8[[#This Row],[Effective Treatment Depth (in/imp. ac)]]^3-1.5285*ProposedBMPs8[[#This Row],[Effective Treatment Depth (in/imp. ac)]]^2+1.501*ProposedBMPs8[[#This Row],[Effective Treatment Depth (in/imp. ac)]]-0.013,IF(ProposedBMPs8[[#This Row],[BMP Type]]="ST",0.0152*ProposedBMPs8[[#This Row],[Effective Treatment Depth (in/imp. ac)]]^5-0.131*ProposedBMPs8[[#This Row],[Effective Treatment Depth (in/imp. ac)]]^4+0.4581*ProposedBMPs8[[#This Row],[Effective Treatment Depth (in/imp. ac)]]^3-0.8418*ProposedBMPs8[[#This Row],[Effective Treatment Depth (in/imp. ac)]]^2+0.8536*ProposedBMPs8[[#This Row],[Effective Treatment Depth (in/imp. ac)]]-0.0046,IF(ProposedBMPs8[[#This Row],[BMP Type]]="Street Sweeping",Street_Sweeping[TN Reduction (%)],IF(OR(ProposedBMPs8[[#This Row],[BMP Type]]="Other",ProposedBMPs8[[#This Row],[BMP Type]]="Stream Restoration"),0,1))))</f>
        <v>0.67699999999999949</v>
      </c>
      <c r="T24" s="37">
        <f>IF(ProposedBMPs8[[#This Row],[TSS Reduction (%)]]&gt;0,IF(ProposedBMPs8[[#This Row],[BMP Type]]="Street Sweeping",ProposedBMPs8[[#This Row],[TSS Load (lbs/yr)]]*ProposedBMPs8[[#This Row],[TSS Reduction (%)]],INDEX(Loading_Rates[#All],MATCH(ProposedBMPs8[[#This Row],[MapShed Land Cover of Drainage Area]],Loading_Rates[[#All],[Source]],0),2)*ProposedBMPs8[[#This Row],[Drainage Area (ac)]]*ProposedBMPs8[[#This Row],[TSS Reduction (%)]]),IF(ProposedBMPs8[[#This Row],[BMP Type]]="Stream Restoration",Stream_Nutrients[TSS (lbs/ft/yr)]*ProposedBMPs8[[#This Row],[Stream Restoration* Length (ft) - Qualified projects only]],0))</f>
        <v>784.37377687499895</v>
      </c>
      <c r="U24" s="37">
        <f>ProposedBMPs8[[#This Row],[TSS Reduction (lbs/yr)]]/2000</f>
        <v>0.39218688843749949</v>
      </c>
      <c r="V24" s="37">
        <f>IF(ProposedBMPs8[[#This Row],[TP Reduction (%)]]&gt;0,IF(ProposedBMPs8[[#This Row],[BMP Type]]="Street Sweeping",ProposedBMPs8[[#This Row],[TP Load (lbs/yr)]]*ProposedBMPs8[[#This Row],[TP Reduction (%)]],INDEX(Loading_Rates[#All],MATCH(ProposedBMPs8[[#This Row],[MapShed Land Cover of Drainage Area]],Loading_Rates[[#All],[Source]],0),3)*ProposedBMPs8[[#This Row],[Drainage Area (ac)]]*ProposedBMPs8[[#This Row],[TP Reduction (%)]]),IF(ProposedBMPs8[[#This Row],[BMP Type]]="Stream Restoration",Stream_Nutrients[TP (lbs/ft/yr)]*ProposedBMPs8[[#This Row],[Stream Restoration* Length (ft) - Qualified projects only]],0))</f>
        <v>0.39405937499999993</v>
      </c>
      <c r="W24" s="37">
        <f>IF(ProposedBMPs8[[#This Row],[TN Reduction (%)]]&gt;0,IF(ProposedBMPs8[[#This Row],[BMP Type]]="Street Sweeping",ProposedBMPs8[[#This Row],[TN Load (lbs/yr)]]*ProposedBMPs8[[#This Row],[TN Reduction (%)]],INDEX(Loading_Rates[#All],MATCH(ProposedBMPs8[[#This Row],[MapShed Land Cover of Drainage Area]],Loading_Rates[[#All],[Source]],0),4)*ProposedBMPs8[[#This Row],[Drainage Area (ac)]]*ProposedBMPs8[[#This Row],[TN Reduction (%)]]),IF(ProposedBMPs8[[#This Row],[BMP Type]]="Stream Restoration",Stream_Nutrients[TN (lbs/ft/yr)]*ProposedBMPs8[[#This Row],[Stream Restoration* Length (ft) - Qualified projects only]],0))</f>
        <v>3.3849999999999976</v>
      </c>
    </row>
    <row r="25" spans="1:23" x14ac:dyDescent="0.25">
      <c r="A25" s="30" t="s">
        <v>62</v>
      </c>
      <c r="B25" s="30" t="s">
        <v>63</v>
      </c>
      <c r="C25" s="31">
        <v>2018</v>
      </c>
      <c r="D25" s="30" t="s">
        <v>81</v>
      </c>
      <c r="E25" s="32"/>
      <c r="F25" s="33"/>
      <c r="G25" s="34"/>
      <c r="H25" s="34">
        <v>2000</v>
      </c>
      <c r="I25" s="35">
        <f>ProposedBMPs8[[#This Row],[Drainage Area (ac)]]*ProposedBMPs8[[#This Row],[Impervious (%)]]</f>
        <v>0</v>
      </c>
      <c r="J25" s="35" t="e">
        <f>IFERROR(MIN(ProposedBMPs8[[#This Row],[Treatment Depth (in)]]*ProposedBMPs8[[#This Row],[Drainage Area (ac)]]/ProposedBMPs8[[#This Row],[Impervious Area (ac)]],2.5),NA())</f>
        <v>#N/A</v>
      </c>
      <c r="K25" s="33"/>
      <c r="L25" s="35" t="e">
        <f>IF(ProposedBMPs8[[#This Row],[Treatment Depth (in/imp. ac) Manual Override - use if no impervious area]]&gt;0,ProposedBMPs8[[#This Row],[Treatment Depth (in/imp. ac) Manual Override - use if no impervious area]],ProposedBMPs8[[#This Row],[Treatment Depth (in/imp. ac)]])</f>
        <v>#N/A</v>
      </c>
      <c r="M25" s="36">
        <f>IF(ProposedBMPs8[[#This Row],[BMP Type]]="Stream Restoration",NA(),IFERROR(INDEX(Impervious[#All],MATCH(ProposedBMPs8[[#This Row],[MapShed Land Cover of Drainage Area]],Impervious[[#All],[Source]],0),4),0))</f>
        <v>0.15</v>
      </c>
      <c r="N25" s="37">
        <f>IF(ProposedBMPs8[[#This Row],[BMP Type]]="Street Sweeping",ProposedBMPs8[[#This Row],[Street Sweeping* Road Length Swept (ft) - Qualified projects only]]*Street_Sweeping[Road Width (ft)]/43560*INDEX(Loading_Rates[#All],MATCH(ProposedBMPs8[[#This Row],[MapShed Land Cover of Drainage Area]],Loading_Rates[[#All],[Source]],0),2)*ProposedBMPs8[[#This Row],[Impervious (%)]],IF(ProposedBMPs8[[#This Row],[BMP Type]]="Stream Restoration",NA(),INDEX(Loading_Rates[#All],MATCH(ProposedBMPs8[[#This Row],[MapShed Land Cover of Drainage Area]],Loading_Rates[[#All],[Source]],0),2)*ProposedBMPs8[[#This Row],[Drainage Area (ac)]]))</f>
        <v>1.2603305785123966</v>
      </c>
      <c r="O25" s="37">
        <f>IF(ProposedBMPs8[[#This Row],[BMP Type]]="Street Sweeping",ProposedBMPs8[[#This Row],[Street Sweeping* Road Length Swept (ft) - Qualified projects only]]*Street_Sweeping[Road Width (ft)]/43560*INDEX(Loading_Rates[#All],MATCH(ProposedBMPs8[[#This Row],[MapShed Land Cover of Drainage Area]],Loading_Rates[[#All],[Source]],0),3)*ProposedBMPs8[[#This Row],[Impervious (%)]],IF(ProposedBMPs8[[#This Row],[BMP Type]]="Stream Restoration",NA(),INDEX(Loading_Rates[#All],MATCH(ProposedBMPs8[[#This Row],[MapShed Land Cover of Drainage Area]],Loading_Rates[[#All],[Source]],0),3)*ProposedBMPs8[[#This Row],[Drainage Area (ac)]]))</f>
        <v>6.8870523415977963E-3</v>
      </c>
      <c r="P25" s="37">
        <f>IF(ProposedBMPs8[[#This Row],[BMP Type]]="Street Sweeping",ProposedBMPs8[[#This Row],[Street Sweeping* Road Length Swept (ft) - Qualified projects only]]*Street_Sweeping[Road Width (ft)]/43560*INDEX(Loading_Rates[#All],MATCH(ProposedBMPs8[[#This Row],[MapShed Land Cover of Drainage Area]],Loading_Rates[[#All],[Source]],0),4)*ProposedBMPs8[[#This Row],[Impervious (%)]],IF(ProposedBMPs8[[#This Row],[BMP Type]]="Stream Restoration",NA(),INDEX(Loading_Rates[#All],MATCH(ProposedBMPs8[[#This Row],[MapShed Land Cover of Drainage Area]],Loading_Rates[[#All],[Source]],0),4)*ProposedBMPs8[[#This Row],[Drainage Area (ac)]]))</f>
        <v>6.8870523415977963E-2</v>
      </c>
      <c r="Q25" s="36">
        <f>IF(ProposedBMPs8[[#This Row],[BMP Type]]="RR",0.0326*ProposedBMPs8[[#This Row],[Effective Treatment Depth (in/imp. ac)]]^5-0.2806*ProposedBMPs8[[#This Row],[Effective Treatment Depth (in/imp. ac)]]^4+0.9816*ProposedBMPs8[[#This Row],[Effective Treatment Depth (in/imp. ac)]]^3-1.8039*ProposedBMPs8[[#This Row],[Effective Treatment Depth (in/imp. ac)]]^2+1.8292*ProposedBMPs8[[#This Row],[Effective Treatment Depth (in/imp. ac)]]-0.0098,IF(ProposedBMPs8[[#This Row],[BMP Type]]="ST",0.0304*ProposedBMPs8[[#This Row],[Effective Treatment Depth (in/imp. ac)]]^5-0.2619*ProposedBMPs8[[#This Row],[Effective Treatment Depth (in/imp. ac)]]^4+0.9161*ProposedBMPs8[[#This Row],[Effective Treatment Depth (in/imp. ac)]]^3-1.6837*ProposedBMPs8[[#This Row],[Effective Treatment Depth (in/imp. ac)]]^2+1.7072*ProposedBMPs8[[#This Row],[Effective Treatment Depth (in/imp. ac)]]-0.0091,IF(ProposedBMPs8[[#This Row],[BMP Type]]="Street Sweeping",Street_Sweeping[TSS Reduction (%)],IF(OR(ProposedBMPs8[[#This Row],[BMP Type]]="Other",ProposedBMPs8[[#This Row],[BMP Type]]="Stream Restoration"),0,1))))</f>
        <v>0.1</v>
      </c>
      <c r="R25" s="36">
        <f>IF(ProposedBMPs8[[#This Row],[BMP Type]]="RR",0.0304*ProposedBMPs8[[#This Row],[Effective Treatment Depth (in/imp. ac)]]^5-0.2619*ProposedBMPs8[[#This Row],[Effective Treatment Depth (in/imp. ac)]]^4+0.9161*ProposedBMPs8[[#This Row],[Effective Treatment Depth (in/imp. ac)]]^3-1.6837*ProposedBMPs8[[#This Row],[Effective Treatment Depth (in/imp. ac)]]^2+1.7072*ProposedBMPs8[[#This Row],[Effective Treatment Depth (in/imp. ac)]]-0.0091,IF(ProposedBMPs8[[#This Row],[BMP Type]]="ST",0.0239*ProposedBMPs8[[#This Row],[Effective Treatment Depth (in/imp. ac)]]^5-0.2058*ProposedBMPs8[[#This Row],[Effective Treatment Depth (in/imp. ac)]]^4+0.7198*ProposedBMPs8[[#This Row],[Effective Treatment Depth (in/imp. ac)]]^3-1.3229*ProposedBMPs8[[#This Row],[Effective Treatment Depth (in/imp. ac)]]^2+1.3414*ProposedBMPs8[[#This Row],[Effective Treatment Depth (in/imp. ac)]]-0.0072,IF(ProposedBMPs8[[#This Row],[BMP Type]]="Street Sweeping",Street_Sweeping[TP Reduction (%)],IF(OR(ProposedBMPs8[[#This Row],[BMP Type]]="Other",ProposedBMPs8[[#This Row],[BMP Type]]="Stream Restoration"),0,1))))</f>
        <v>0.1</v>
      </c>
      <c r="S25" s="36">
        <f>IF(ProposedBMPs8[[#This Row],[BMP Type]]="RR",0.0308*ProposedBMPs8[[#This Row],[Effective Treatment Depth (in/imp. ac)]]^5-0.2562*ProposedBMPs8[[#This Row],[Effective Treatment Depth (in/imp. ac)]]^4+0.8634*ProposedBMPs8[[#This Row],[Effective Treatment Depth (in/imp. ac)]]^3-1.5285*ProposedBMPs8[[#This Row],[Effective Treatment Depth (in/imp. ac)]]^2+1.501*ProposedBMPs8[[#This Row],[Effective Treatment Depth (in/imp. ac)]]-0.013,IF(ProposedBMPs8[[#This Row],[BMP Type]]="ST",0.0152*ProposedBMPs8[[#This Row],[Effective Treatment Depth (in/imp. ac)]]^5-0.131*ProposedBMPs8[[#This Row],[Effective Treatment Depth (in/imp. ac)]]^4+0.4581*ProposedBMPs8[[#This Row],[Effective Treatment Depth (in/imp. ac)]]^3-0.8418*ProposedBMPs8[[#This Row],[Effective Treatment Depth (in/imp. ac)]]^2+0.8536*ProposedBMPs8[[#This Row],[Effective Treatment Depth (in/imp. ac)]]-0.0046,IF(ProposedBMPs8[[#This Row],[BMP Type]]="Street Sweeping",Street_Sweeping[TN Reduction (%)],IF(OR(ProposedBMPs8[[#This Row],[BMP Type]]="Other",ProposedBMPs8[[#This Row],[BMP Type]]="Stream Restoration"),0,1))))</f>
        <v>0.1</v>
      </c>
      <c r="T25" s="37">
        <f>IF(ProposedBMPs8[[#This Row],[TSS Reduction (%)]]&gt;0,IF(ProposedBMPs8[[#This Row],[BMP Type]]="Street Sweeping",ProposedBMPs8[[#This Row],[TSS Load (lbs/yr)]]*ProposedBMPs8[[#This Row],[TSS Reduction (%)]],INDEX(Loading_Rates[#All],MATCH(ProposedBMPs8[[#This Row],[MapShed Land Cover of Drainage Area]],Loading_Rates[[#All],[Source]],0),2)*ProposedBMPs8[[#This Row],[Drainage Area (ac)]]*ProposedBMPs8[[#This Row],[TSS Reduction (%)]]),IF(ProposedBMPs8[[#This Row],[BMP Type]]="Stream Restoration",Stream_Nutrients[TSS (lbs/ft/yr)]*ProposedBMPs8[[#This Row],[Stream Restoration* Length (ft) - Qualified projects only]],0))</f>
        <v>0.12603305785123967</v>
      </c>
      <c r="U25" s="37">
        <f>ProposedBMPs8[[#This Row],[TSS Reduction (lbs/yr)]]/2000</f>
        <v>6.3016528925619836E-5</v>
      </c>
      <c r="V25" s="37">
        <f>IF(ProposedBMPs8[[#This Row],[TP Reduction (%)]]&gt;0,IF(ProposedBMPs8[[#This Row],[BMP Type]]="Street Sweeping",ProposedBMPs8[[#This Row],[TP Load (lbs/yr)]]*ProposedBMPs8[[#This Row],[TP Reduction (%)]],INDEX(Loading_Rates[#All],MATCH(ProposedBMPs8[[#This Row],[MapShed Land Cover of Drainage Area]],Loading_Rates[[#All],[Source]],0),3)*ProposedBMPs8[[#This Row],[Drainage Area (ac)]]*ProposedBMPs8[[#This Row],[TP Reduction (%)]]),IF(ProposedBMPs8[[#This Row],[BMP Type]]="Stream Restoration",Stream_Nutrients[TP (lbs/ft/yr)]*ProposedBMPs8[[#This Row],[Stream Restoration* Length (ft) - Qualified projects only]],0))</f>
        <v>6.8870523415977963E-4</v>
      </c>
      <c r="W25" s="37">
        <f>IF(ProposedBMPs8[[#This Row],[TN Reduction (%)]]&gt;0,IF(ProposedBMPs8[[#This Row],[BMP Type]]="Street Sweeping",ProposedBMPs8[[#This Row],[TN Load (lbs/yr)]]*ProposedBMPs8[[#This Row],[TN Reduction (%)]],INDEX(Loading_Rates[#All],MATCH(ProposedBMPs8[[#This Row],[MapShed Land Cover of Drainage Area]],Loading_Rates[[#All],[Source]],0),4)*ProposedBMPs8[[#This Row],[Drainage Area (ac)]]*ProposedBMPs8[[#This Row],[TN Reduction (%)]]),IF(ProposedBMPs8[[#This Row],[BMP Type]]="Stream Restoration",Stream_Nutrients[TN (lbs/ft/yr)]*ProposedBMPs8[[#This Row],[Stream Restoration* Length (ft) - Qualified projects only]],0))</f>
        <v>6.8870523415977963E-3</v>
      </c>
    </row>
    <row r="26" spans="1:23" x14ac:dyDescent="0.25">
      <c r="A26" s="30" t="s">
        <v>64</v>
      </c>
      <c r="B26" s="30" t="s">
        <v>63</v>
      </c>
      <c r="C26" s="31">
        <v>2018</v>
      </c>
      <c r="D26" s="31" t="s">
        <v>83</v>
      </c>
      <c r="E26" s="32"/>
      <c r="F26" s="33"/>
      <c r="G26" s="34"/>
      <c r="H26" s="34">
        <v>20000</v>
      </c>
      <c r="I26" s="35">
        <f>ProposedBMPs8[[#This Row],[Drainage Area (ac)]]*ProposedBMPs8[[#This Row],[Impervious (%)]]</f>
        <v>0</v>
      </c>
      <c r="J26" s="35" t="e">
        <f>IFERROR(MIN(ProposedBMPs8[[#This Row],[Treatment Depth (in)]]*ProposedBMPs8[[#This Row],[Drainage Area (ac)]]/ProposedBMPs8[[#This Row],[Impervious Area (ac)]],2.5),NA())</f>
        <v>#N/A</v>
      </c>
      <c r="K26" s="33"/>
      <c r="L26" s="35" t="e">
        <f>IF(ProposedBMPs8[[#This Row],[Treatment Depth (in/imp. ac) Manual Override - use if no impervious area]]&gt;0,ProposedBMPs8[[#This Row],[Treatment Depth (in/imp. ac) Manual Override - use if no impervious area]],ProposedBMPs8[[#This Row],[Treatment Depth (in/imp. ac)]])</f>
        <v>#N/A</v>
      </c>
      <c r="M26" s="36">
        <f>IF(ProposedBMPs8[[#This Row],[BMP Type]]="Stream Restoration",NA(),IFERROR(INDEX(Impervious[#All],MATCH(ProposedBMPs8[[#This Row],[MapShed Land Cover of Drainage Area]],Impervious[[#All],[Source]],0),4),0))</f>
        <v>0.87</v>
      </c>
      <c r="N26" s="37">
        <f>IF(ProposedBMPs8[[#This Row],[BMP Type]]="Street Sweeping",ProposedBMPs8[[#This Row],[Street Sweeping* Road Length Swept (ft) - Qualified projects only]]*Street_Sweeping[Road Width (ft)]/43560*INDEX(Loading_Rates[#All],MATCH(ProposedBMPs8[[#This Row],[MapShed Land Cover of Drainage Area]],Loading_Rates[[#All],[Source]],0),2)*ProposedBMPs8[[#This Row],[Impervious (%)]],IF(ProposedBMPs8[[#This Row],[BMP Type]]="Stream Restoration",NA(),INDEX(Loading_Rates[#All],MATCH(ProposedBMPs8[[#This Row],[MapShed Land Cover of Drainage Area]],Loading_Rates[[#All],[Source]],0),2)*ProposedBMPs8[[#This Row],[Drainage Area (ac)]]))</f>
        <v>330.90358126721759</v>
      </c>
      <c r="O26" s="37">
        <f>IF(ProposedBMPs8[[#This Row],[BMP Type]]="Street Sweeping",ProposedBMPs8[[#This Row],[Street Sweeping* Road Length Swept (ft) - Qualified projects only]]*Street_Sweeping[Road Width (ft)]/43560*INDEX(Loading_Rates[#All],MATCH(ProposedBMPs8[[#This Row],[MapShed Land Cover of Drainage Area]],Loading_Rates[[#All],[Source]],0),3)*ProposedBMPs8[[#This Row],[Impervious (%)]],IF(ProposedBMPs8[[#This Row],[BMP Type]]="Stream Restoration",NA(),INDEX(Loading_Rates[#All],MATCH(ProposedBMPs8[[#This Row],[MapShed Land Cover of Drainage Area]],Loading_Rates[[#All],[Source]],0),3)*ProposedBMPs8[[#This Row],[Drainage Area (ac)]]))</f>
        <v>0.39944903581267216</v>
      </c>
      <c r="P26" s="37">
        <f>IF(ProposedBMPs8[[#This Row],[BMP Type]]="Street Sweeping",ProposedBMPs8[[#This Row],[Street Sweeping* Road Length Swept (ft) - Qualified projects only]]*Street_Sweeping[Road Width (ft)]/43560*INDEX(Loading_Rates[#All],MATCH(ProposedBMPs8[[#This Row],[MapShed Land Cover of Drainage Area]],Loading_Rates[[#All],[Source]],0),4)*ProposedBMPs8[[#This Row],[Impervious (%)]],IF(ProposedBMPs8[[#This Row],[BMP Type]]="Stream Restoration",NA(),INDEX(Loading_Rates[#All],MATCH(ProposedBMPs8[[#This Row],[MapShed Land Cover of Drainage Area]],Loading_Rates[[#All],[Source]],0),4)*ProposedBMPs8[[#This Row],[Drainage Area (ac)]]))</f>
        <v>3.9944903581267215</v>
      </c>
      <c r="Q26" s="36">
        <f>IF(ProposedBMPs8[[#This Row],[BMP Type]]="RR",0.0326*ProposedBMPs8[[#This Row],[Effective Treatment Depth (in/imp. ac)]]^5-0.2806*ProposedBMPs8[[#This Row],[Effective Treatment Depth (in/imp. ac)]]^4+0.9816*ProposedBMPs8[[#This Row],[Effective Treatment Depth (in/imp. ac)]]^3-1.8039*ProposedBMPs8[[#This Row],[Effective Treatment Depth (in/imp. ac)]]^2+1.8292*ProposedBMPs8[[#This Row],[Effective Treatment Depth (in/imp. ac)]]-0.0098,IF(ProposedBMPs8[[#This Row],[BMP Type]]="ST",0.0304*ProposedBMPs8[[#This Row],[Effective Treatment Depth (in/imp. ac)]]^5-0.2619*ProposedBMPs8[[#This Row],[Effective Treatment Depth (in/imp. ac)]]^4+0.9161*ProposedBMPs8[[#This Row],[Effective Treatment Depth (in/imp. ac)]]^3-1.6837*ProposedBMPs8[[#This Row],[Effective Treatment Depth (in/imp. ac)]]^2+1.7072*ProposedBMPs8[[#This Row],[Effective Treatment Depth (in/imp. ac)]]-0.0091,IF(ProposedBMPs8[[#This Row],[BMP Type]]="Street Sweeping",Street_Sweeping[TSS Reduction (%)],IF(OR(ProposedBMPs8[[#This Row],[BMP Type]]="Other",ProposedBMPs8[[#This Row],[BMP Type]]="Stream Restoration"),0,1))))</f>
        <v>0.1</v>
      </c>
      <c r="R26" s="36">
        <f>IF(ProposedBMPs8[[#This Row],[BMP Type]]="RR",0.0304*ProposedBMPs8[[#This Row],[Effective Treatment Depth (in/imp. ac)]]^5-0.2619*ProposedBMPs8[[#This Row],[Effective Treatment Depth (in/imp. ac)]]^4+0.9161*ProposedBMPs8[[#This Row],[Effective Treatment Depth (in/imp. ac)]]^3-1.6837*ProposedBMPs8[[#This Row],[Effective Treatment Depth (in/imp. ac)]]^2+1.7072*ProposedBMPs8[[#This Row],[Effective Treatment Depth (in/imp. ac)]]-0.0091,IF(ProposedBMPs8[[#This Row],[BMP Type]]="ST",0.0239*ProposedBMPs8[[#This Row],[Effective Treatment Depth (in/imp. ac)]]^5-0.2058*ProposedBMPs8[[#This Row],[Effective Treatment Depth (in/imp. ac)]]^4+0.7198*ProposedBMPs8[[#This Row],[Effective Treatment Depth (in/imp. ac)]]^3-1.3229*ProposedBMPs8[[#This Row],[Effective Treatment Depth (in/imp. ac)]]^2+1.3414*ProposedBMPs8[[#This Row],[Effective Treatment Depth (in/imp. ac)]]-0.0072,IF(ProposedBMPs8[[#This Row],[BMP Type]]="Street Sweeping",Street_Sweeping[TP Reduction (%)],IF(OR(ProposedBMPs8[[#This Row],[BMP Type]]="Other",ProposedBMPs8[[#This Row],[BMP Type]]="Stream Restoration"),0,1))))</f>
        <v>0.1</v>
      </c>
      <c r="S26" s="36">
        <f>IF(ProposedBMPs8[[#This Row],[BMP Type]]="RR",0.0308*ProposedBMPs8[[#This Row],[Effective Treatment Depth (in/imp. ac)]]^5-0.2562*ProposedBMPs8[[#This Row],[Effective Treatment Depth (in/imp. ac)]]^4+0.8634*ProposedBMPs8[[#This Row],[Effective Treatment Depth (in/imp. ac)]]^3-1.5285*ProposedBMPs8[[#This Row],[Effective Treatment Depth (in/imp. ac)]]^2+1.501*ProposedBMPs8[[#This Row],[Effective Treatment Depth (in/imp. ac)]]-0.013,IF(ProposedBMPs8[[#This Row],[BMP Type]]="ST",0.0152*ProposedBMPs8[[#This Row],[Effective Treatment Depth (in/imp. ac)]]^5-0.131*ProposedBMPs8[[#This Row],[Effective Treatment Depth (in/imp. ac)]]^4+0.4581*ProposedBMPs8[[#This Row],[Effective Treatment Depth (in/imp. ac)]]^3-0.8418*ProposedBMPs8[[#This Row],[Effective Treatment Depth (in/imp. ac)]]^2+0.8536*ProposedBMPs8[[#This Row],[Effective Treatment Depth (in/imp. ac)]]-0.0046,IF(ProposedBMPs8[[#This Row],[BMP Type]]="Street Sweeping",Street_Sweeping[TN Reduction (%)],IF(OR(ProposedBMPs8[[#This Row],[BMP Type]]="Other",ProposedBMPs8[[#This Row],[BMP Type]]="Stream Restoration"),0,1))))</f>
        <v>0.1</v>
      </c>
      <c r="T26" s="37">
        <f>IF(ProposedBMPs8[[#This Row],[TSS Reduction (%)]]&gt;0,IF(ProposedBMPs8[[#This Row],[BMP Type]]="Street Sweeping",ProposedBMPs8[[#This Row],[TSS Load (lbs/yr)]]*ProposedBMPs8[[#This Row],[TSS Reduction (%)]],INDEX(Loading_Rates[#All],MATCH(ProposedBMPs8[[#This Row],[MapShed Land Cover of Drainage Area]],Loading_Rates[[#All],[Source]],0),2)*ProposedBMPs8[[#This Row],[Drainage Area (ac)]]*ProposedBMPs8[[#This Row],[TSS Reduction (%)]]),IF(ProposedBMPs8[[#This Row],[BMP Type]]="Stream Restoration",Stream_Nutrients[TSS (lbs/ft/yr)]*ProposedBMPs8[[#This Row],[Stream Restoration* Length (ft) - Qualified projects only]],0))</f>
        <v>33.09035812672176</v>
      </c>
      <c r="U26" s="37">
        <f>ProposedBMPs8[[#This Row],[TSS Reduction (lbs/yr)]]/2000</f>
        <v>1.6545179063360879E-2</v>
      </c>
      <c r="V26" s="37">
        <f>IF(ProposedBMPs8[[#This Row],[TP Reduction (%)]]&gt;0,IF(ProposedBMPs8[[#This Row],[BMP Type]]="Street Sweeping",ProposedBMPs8[[#This Row],[TP Load (lbs/yr)]]*ProposedBMPs8[[#This Row],[TP Reduction (%)]],INDEX(Loading_Rates[#All],MATCH(ProposedBMPs8[[#This Row],[MapShed Land Cover of Drainage Area]],Loading_Rates[[#All],[Source]],0),3)*ProposedBMPs8[[#This Row],[Drainage Area (ac)]]*ProposedBMPs8[[#This Row],[TP Reduction (%)]]),IF(ProposedBMPs8[[#This Row],[BMP Type]]="Stream Restoration",Stream_Nutrients[TP (lbs/ft/yr)]*ProposedBMPs8[[#This Row],[Stream Restoration* Length (ft) - Qualified projects only]],0))</f>
        <v>3.9944903581267219E-2</v>
      </c>
      <c r="W26" s="37">
        <f>IF(ProposedBMPs8[[#This Row],[TN Reduction (%)]]&gt;0,IF(ProposedBMPs8[[#This Row],[BMP Type]]="Street Sweeping",ProposedBMPs8[[#This Row],[TN Load (lbs/yr)]]*ProposedBMPs8[[#This Row],[TN Reduction (%)]],INDEX(Loading_Rates[#All],MATCH(ProposedBMPs8[[#This Row],[MapShed Land Cover of Drainage Area]],Loading_Rates[[#All],[Source]],0),4)*ProposedBMPs8[[#This Row],[Drainage Area (ac)]]*ProposedBMPs8[[#This Row],[TN Reduction (%)]]),IF(ProposedBMPs8[[#This Row],[BMP Type]]="Stream Restoration",Stream_Nutrients[TN (lbs/ft/yr)]*ProposedBMPs8[[#This Row],[Stream Restoration* Length (ft) - Qualified projects only]],0))</f>
        <v>0.39944903581267216</v>
      </c>
    </row>
    <row r="27" spans="1:23" ht="21" x14ac:dyDescent="0.35">
      <c r="A27" s="28" t="s">
        <v>17</v>
      </c>
      <c r="B27" s="28"/>
      <c r="C27" s="28"/>
      <c r="D27" s="28"/>
      <c r="E27" s="28"/>
      <c r="F27" s="28"/>
      <c r="G27" s="28"/>
      <c r="H27" s="28"/>
      <c r="I27" s="28"/>
      <c r="J27" s="28"/>
      <c r="K27" s="28"/>
      <c r="L27" s="28"/>
      <c r="M27" s="28"/>
      <c r="N27" s="28"/>
      <c r="O27" s="28"/>
      <c r="P27" s="28"/>
      <c r="Q27" s="28"/>
      <c r="R27" s="28"/>
      <c r="S27" s="28"/>
      <c r="T27" s="38">
        <f>_xlfn.AGGREGATE(9,7,ProposedBMPs8[TSS Reduction (lbs/yr)])</f>
        <v>817.59016805957197</v>
      </c>
      <c r="U27" s="37">
        <f>_xlfn.AGGREGATE(9,7,ProposedBMPs8[TSS Reduction (tons/yr)])</f>
        <v>0.40879508402978598</v>
      </c>
      <c r="V27" s="38">
        <f>_xlfn.AGGREGATE(9,7,ProposedBMPs8[TP Reduction (lbs/yr)])</f>
        <v>0.43469298381542693</v>
      </c>
      <c r="W27" s="38">
        <f>_xlfn.AGGREGATE(9,7,ProposedBMPs8[TN Reduction (lbs/yr)])</f>
        <v>3.7913360881542673</v>
      </c>
    </row>
    <row r="30" spans="1:23" x14ac:dyDescent="0.25">
      <c r="A30" t="s">
        <v>139</v>
      </c>
    </row>
    <row r="31" spans="1:23" ht="60" x14ac:dyDescent="0.25">
      <c r="A31" s="29" t="s">
        <v>20</v>
      </c>
      <c r="B31" s="29" t="s">
        <v>24</v>
      </c>
      <c r="C31" s="29" t="s">
        <v>45</v>
      </c>
      <c r="D31" s="29" t="s">
        <v>36</v>
      </c>
      <c r="E31" s="29" t="s">
        <v>21</v>
      </c>
      <c r="F31" s="29" t="s">
        <v>23</v>
      </c>
      <c r="G31" s="29" t="s">
        <v>79</v>
      </c>
      <c r="H31" s="29" t="s">
        <v>80</v>
      </c>
      <c r="I31" s="29" t="s">
        <v>22</v>
      </c>
      <c r="J31" s="29" t="s">
        <v>44</v>
      </c>
      <c r="K31" s="29" t="s">
        <v>56</v>
      </c>
      <c r="L31" s="29" t="s">
        <v>57</v>
      </c>
      <c r="M31" s="29" t="s">
        <v>68</v>
      </c>
      <c r="N31" s="29" t="s">
        <v>76</v>
      </c>
      <c r="O31" s="29" t="s">
        <v>77</v>
      </c>
      <c r="P31" s="29" t="s">
        <v>78</v>
      </c>
      <c r="Q31" s="29" t="s">
        <v>65</v>
      </c>
      <c r="R31" s="29" t="s">
        <v>66</v>
      </c>
      <c r="S31" s="29" t="s">
        <v>67</v>
      </c>
      <c r="T31" s="29" t="s">
        <v>39</v>
      </c>
      <c r="U31" s="29" t="s">
        <v>40</v>
      </c>
      <c r="V31" s="29" t="s">
        <v>38</v>
      </c>
      <c r="W31" s="29" t="s">
        <v>37</v>
      </c>
    </row>
    <row r="32" spans="1:23" x14ac:dyDescent="0.25">
      <c r="A32" s="30" t="s">
        <v>46</v>
      </c>
      <c r="B32" s="30" t="s">
        <v>18</v>
      </c>
      <c r="C32" s="31">
        <v>2018</v>
      </c>
      <c r="D32" s="30" t="s">
        <v>11</v>
      </c>
      <c r="E32" s="32">
        <v>1</v>
      </c>
      <c r="F32" s="33">
        <v>1</v>
      </c>
      <c r="G32" s="34"/>
      <c r="H32" s="34"/>
      <c r="I32" s="35">
        <f>ProposedBMPs811[[#This Row],[Drainage Area (ac)]]*ProposedBMPs811[[#This Row],[Impervious (%)]]</f>
        <v>0.15</v>
      </c>
      <c r="J32" s="35">
        <f>IFERROR(MIN(ProposedBMPs811[[#This Row],[Treatment Depth (in)]]*ProposedBMPs811[[#This Row],[Drainage Area (ac)]]/ProposedBMPs811[[#This Row],[Impervious Area (ac)]],2.5),NA())</f>
        <v>2.5</v>
      </c>
      <c r="K32" s="33"/>
      <c r="L32" s="35">
        <f>IF(ProposedBMPs811[[#This Row],[Treatment Depth (in/imp. ac) Manual Override - use if no impervious area]]&gt;0,ProposedBMPs811[[#This Row],[Treatment Depth (in/imp. ac) Manual Override - use if no impervious area]],ProposedBMPs811[[#This Row],[Treatment Depth (in/imp. ac)]])</f>
        <v>2.5</v>
      </c>
      <c r="M32" s="36">
        <f>IF(ProposedBMPs811[[#This Row],[BMP Type]]="Stream Restoration",NA(),IFERROR(INDEX(Impervious[#All],MATCH(ProposedBMPs811[[#This Row],[MapShed Land Cover of Drainage Area]],Impervious[[#All],[Source]],0),4),0))</f>
        <v>0.15</v>
      </c>
      <c r="N32" s="37">
        <f>IF(ProposedBMPs811[[#This Row],[BMP Type]]="Street Sweeping",ProposedBMPs811[[#This Row],[Street Sweeping* Road Length Swept (ft) - Qualified projects only]]*Street_Sweeping[Road Width (ft)]/43560*INDEX(Loading_Rates[#All],MATCH(ProposedBMPs811[[#This Row],[MapShed Land Cover of Drainage Area]],Loading_Rates[[#All],[Source]],0),2)*ProposedBMPs811[[#This Row],[Impervious (%)]],IF(ProposedBMPs811[[#This Row],[BMP Type]]="Stream Restoration",NA(),INDEX(Loading_Rates[#All],MATCH(ProposedBMPs811[[#This Row],[MapShed Land Cover of Drainage Area]],Loading_Rates[[#All],[Source]],0),2)*ProposedBMPs811[[#This Row],[Drainage Area (ac)]]))</f>
        <v>923.9</v>
      </c>
      <c r="O32" s="37">
        <f>IF(ProposedBMPs811[[#This Row],[BMP Type]]="Street Sweeping",ProposedBMPs811[[#This Row],[Street Sweeping* Road Length Swept (ft) - Qualified projects only]]*Street_Sweeping[Road Width (ft)]/43560*INDEX(Loading_Rates[#All],MATCH(ProposedBMPs811[[#This Row],[MapShed Land Cover of Drainage Area]],Loading_Rates[[#All],[Source]],0),3)*ProposedBMPs811[[#This Row],[Impervious (%)]],IF(ProposedBMPs811[[#This Row],[BMP Type]]="Stream Restoration",NA(),INDEX(Loading_Rates[#All],MATCH(ProposedBMPs811[[#This Row],[MapShed Land Cover of Drainage Area]],Loading_Rates[[#All],[Source]],0),3)*ProposedBMPs811[[#This Row],[Drainage Area (ac)]]))</f>
        <v>0.5</v>
      </c>
      <c r="P32" s="37">
        <f>IF(ProposedBMPs811[[#This Row],[BMP Type]]="Street Sweeping",ProposedBMPs811[[#This Row],[Street Sweeping* Road Length Swept (ft) - Qualified projects only]]*Street_Sweeping[Road Width (ft)]/43560*INDEX(Loading_Rates[#All],MATCH(ProposedBMPs811[[#This Row],[MapShed Land Cover of Drainage Area]],Loading_Rates[[#All],[Source]],0),4)*ProposedBMPs811[[#This Row],[Impervious (%)]],IF(ProposedBMPs811[[#This Row],[BMP Type]]="Stream Restoration",NA(),INDEX(Loading_Rates[#All],MATCH(ProposedBMPs811[[#This Row],[MapShed Land Cover of Drainage Area]],Loading_Rates[[#All],[Source]],0),4)*ProposedBMPs811[[#This Row],[Drainage Area (ac)]]))</f>
        <v>5</v>
      </c>
      <c r="Q32" s="36">
        <f>IF(ProposedBMPs811[[#This Row],[BMP Type]]="RR",0.0326*ProposedBMPs811[[#This Row],[Effective Treatment Depth (in/imp. ac)]]^5-0.2806*ProposedBMPs811[[#This Row],[Effective Treatment Depth (in/imp. ac)]]^4+0.9816*ProposedBMPs811[[#This Row],[Effective Treatment Depth (in/imp. ac)]]^3-1.8039*ProposedBMPs811[[#This Row],[Effective Treatment Depth (in/imp. ac)]]^2+1.8292*ProposedBMPs811[[#This Row],[Effective Treatment Depth (in/imp. ac)]]-0.0098,IF(ProposedBMPs811[[#This Row],[BMP Type]]="ST",0.0304*ProposedBMPs811[[#This Row],[Effective Treatment Depth (in/imp. ac)]]^5-0.2619*ProposedBMPs811[[#This Row],[Effective Treatment Depth (in/imp. ac)]]^4+0.9161*ProposedBMPs811[[#This Row],[Effective Treatment Depth (in/imp. ac)]]^3-1.6837*ProposedBMPs811[[#This Row],[Effective Treatment Depth (in/imp. ac)]]^2+1.7072*ProposedBMPs811[[#This Row],[Effective Treatment Depth (in/imp. ac)]]-0.0091,IF(ProposedBMPs811[[#This Row],[BMP Type]]="Street Sweeping",Street_Sweeping[TSS Reduction (%)],IF(OR(ProposedBMPs811[[#This Row],[BMP Type]]="Other",ProposedBMPs811[[#This Row],[BMP Type]]="Stream Restoration"),0,1))))</f>
        <v>0.84898124999999891</v>
      </c>
      <c r="R32" s="36">
        <f>IF(ProposedBMPs811[[#This Row],[BMP Type]]="RR",0.0304*ProposedBMPs811[[#This Row],[Effective Treatment Depth (in/imp. ac)]]^5-0.2619*ProposedBMPs811[[#This Row],[Effective Treatment Depth (in/imp. ac)]]^4+0.9161*ProposedBMPs811[[#This Row],[Effective Treatment Depth (in/imp. ac)]]^3-1.6837*ProposedBMPs811[[#This Row],[Effective Treatment Depth (in/imp. ac)]]^2+1.7072*ProposedBMPs811[[#This Row],[Effective Treatment Depth (in/imp. ac)]]-0.0091,IF(ProposedBMPs811[[#This Row],[BMP Type]]="ST",0.0239*ProposedBMPs811[[#This Row],[Effective Treatment Depth (in/imp. ac)]]^5-0.2058*ProposedBMPs811[[#This Row],[Effective Treatment Depth (in/imp. ac)]]^4+0.7198*ProposedBMPs811[[#This Row],[Effective Treatment Depth (in/imp. ac)]]^3-1.3229*ProposedBMPs811[[#This Row],[Effective Treatment Depth (in/imp. ac)]]^2+1.3414*ProposedBMPs811[[#This Row],[Effective Treatment Depth (in/imp. ac)]]-0.0072,IF(ProposedBMPs811[[#This Row],[BMP Type]]="Street Sweeping",Street_Sweeping[TP Reduction (%)],IF(OR(ProposedBMPs811[[#This Row],[BMP Type]]="Other",ProposedBMPs811[[#This Row],[BMP Type]]="Stream Restoration"),0,1))))</f>
        <v>0.78811874999999987</v>
      </c>
      <c r="S32" s="36">
        <f>IF(ProposedBMPs811[[#This Row],[BMP Type]]="RR",0.0308*ProposedBMPs811[[#This Row],[Effective Treatment Depth (in/imp. ac)]]^5-0.2562*ProposedBMPs811[[#This Row],[Effective Treatment Depth (in/imp. ac)]]^4+0.8634*ProposedBMPs811[[#This Row],[Effective Treatment Depth (in/imp. ac)]]^3-1.5285*ProposedBMPs811[[#This Row],[Effective Treatment Depth (in/imp. ac)]]^2+1.501*ProposedBMPs811[[#This Row],[Effective Treatment Depth (in/imp. ac)]]-0.013,IF(ProposedBMPs811[[#This Row],[BMP Type]]="ST",0.0152*ProposedBMPs811[[#This Row],[Effective Treatment Depth (in/imp. ac)]]^5-0.131*ProposedBMPs811[[#This Row],[Effective Treatment Depth (in/imp. ac)]]^4+0.4581*ProposedBMPs811[[#This Row],[Effective Treatment Depth (in/imp. ac)]]^3-0.8418*ProposedBMPs811[[#This Row],[Effective Treatment Depth (in/imp. ac)]]^2+0.8536*ProposedBMPs811[[#This Row],[Effective Treatment Depth (in/imp. ac)]]-0.0046,IF(ProposedBMPs811[[#This Row],[BMP Type]]="Street Sweeping",Street_Sweeping[TN Reduction (%)],IF(OR(ProposedBMPs811[[#This Row],[BMP Type]]="Other",ProposedBMPs811[[#This Row],[BMP Type]]="Stream Restoration"),0,1))))</f>
        <v>0.67699999999999949</v>
      </c>
      <c r="T32" s="37">
        <f>IF(ProposedBMPs811[[#This Row],[TSS Reduction (%)]]&gt;0,IF(ProposedBMPs811[[#This Row],[BMP Type]]="Street Sweeping",ProposedBMPs811[[#This Row],[TSS Load (lbs/yr)]]*ProposedBMPs811[[#This Row],[TSS Reduction (%)]],INDEX(Loading_Rates[#All],MATCH(ProposedBMPs811[[#This Row],[MapShed Land Cover of Drainage Area]],Loading_Rates[[#All],[Source]],0),2)*ProposedBMPs811[[#This Row],[Drainage Area (ac)]]*ProposedBMPs811[[#This Row],[TSS Reduction (%)]]),IF(ProposedBMPs811[[#This Row],[BMP Type]]="Stream Restoration",Stream_Nutrients[TSS (lbs/ft/yr)]*ProposedBMPs811[[#This Row],[Stream Restoration* Length (ft) - Qualified projects only]],0))</f>
        <v>784.37377687499895</v>
      </c>
      <c r="U32" s="37">
        <f>ProposedBMPs811[[#This Row],[TSS Reduction (lbs/yr)]]/2000</f>
        <v>0.39218688843749949</v>
      </c>
      <c r="V32" s="37">
        <f>IF(ProposedBMPs811[[#This Row],[TP Reduction (%)]]&gt;0,IF(ProposedBMPs811[[#This Row],[BMP Type]]="Street Sweeping",ProposedBMPs811[[#This Row],[TP Load (lbs/yr)]]*ProposedBMPs811[[#This Row],[TP Reduction (%)]],INDEX(Loading_Rates[#All],MATCH(ProposedBMPs811[[#This Row],[MapShed Land Cover of Drainage Area]],Loading_Rates[[#All],[Source]],0),3)*ProposedBMPs811[[#This Row],[Drainage Area (ac)]]*ProposedBMPs811[[#This Row],[TP Reduction (%)]]),IF(ProposedBMPs811[[#This Row],[BMP Type]]="Stream Restoration",Stream_Nutrients[TP (lbs/ft/yr)]*ProposedBMPs811[[#This Row],[Stream Restoration* Length (ft) - Qualified projects only]],0))</f>
        <v>0.39405937499999993</v>
      </c>
      <c r="W32" s="37">
        <f>IF(ProposedBMPs811[[#This Row],[TN Reduction (%)]]&gt;0,IF(ProposedBMPs811[[#This Row],[BMP Type]]="Street Sweeping",ProposedBMPs811[[#This Row],[TN Load (lbs/yr)]]*ProposedBMPs811[[#This Row],[TN Reduction (%)]],INDEX(Loading_Rates[#All],MATCH(ProposedBMPs811[[#This Row],[MapShed Land Cover of Drainage Area]],Loading_Rates[[#All],[Source]],0),4)*ProposedBMPs811[[#This Row],[Drainage Area (ac)]]*ProposedBMPs811[[#This Row],[TN Reduction (%)]]),IF(ProposedBMPs811[[#This Row],[BMP Type]]="Stream Restoration",Stream_Nutrients[TN (lbs/ft/yr)]*ProposedBMPs811[[#This Row],[Stream Restoration* Length (ft) - Qualified projects only]],0))</f>
        <v>3.3849999999999976</v>
      </c>
    </row>
    <row r="33" spans="1:23" x14ac:dyDescent="0.25">
      <c r="A33" s="30" t="s">
        <v>62</v>
      </c>
      <c r="B33" s="30" t="s">
        <v>19</v>
      </c>
      <c r="C33" s="31">
        <v>2018</v>
      </c>
      <c r="D33" s="30" t="s">
        <v>16</v>
      </c>
      <c r="E33" s="32">
        <v>1</v>
      </c>
      <c r="F33" s="33">
        <v>1</v>
      </c>
      <c r="G33" s="34"/>
      <c r="H33" s="34">
        <v>2000</v>
      </c>
      <c r="I33" s="35">
        <f>ProposedBMPs811[[#This Row],[Drainage Area (ac)]]*ProposedBMPs811[[#This Row],[Impervious (%)]]</f>
        <v>0.87</v>
      </c>
      <c r="J33" s="35">
        <f>IFERROR(MIN(ProposedBMPs811[[#This Row],[Treatment Depth (in)]]*ProposedBMPs811[[#This Row],[Drainage Area (ac)]]/ProposedBMPs811[[#This Row],[Impervious Area (ac)]],2.5),NA())</f>
        <v>1.1494252873563218</v>
      </c>
      <c r="K33" s="33"/>
      <c r="L33" s="35">
        <f>IF(ProposedBMPs811[[#This Row],[Treatment Depth (in/imp. ac) Manual Override - use if no impervious area]]&gt;0,ProposedBMPs811[[#This Row],[Treatment Depth (in/imp. ac) Manual Override - use if no impervious area]],ProposedBMPs811[[#This Row],[Treatment Depth (in/imp. ac)]])</f>
        <v>1.1494252873563218</v>
      </c>
      <c r="M33" s="36">
        <f>IF(ProposedBMPs811[[#This Row],[BMP Type]]="Stream Restoration",NA(),IFERROR(INDEX(Impervious[#All],MATCH(ProposedBMPs811[[#This Row],[MapShed Land Cover of Drainage Area]],Impervious[[#All],[Source]],0),4),0))</f>
        <v>0.87</v>
      </c>
      <c r="N33" s="37">
        <f>IF(ProposedBMPs811[[#This Row],[BMP Type]]="Street Sweeping",ProposedBMPs811[[#This Row],[Street Sweeping* Road Length Swept (ft) - Qualified projects only]]*Street_Sweeping[Road Width (ft)]/43560*INDEX(Loading_Rates[#All],MATCH(ProposedBMPs811[[#This Row],[MapShed Land Cover of Drainage Area]],Loading_Rates[[#All],[Source]],0),2)*ProposedBMPs811[[#This Row],[Impervious (%)]],IF(ProposedBMPs811[[#This Row],[BMP Type]]="Stream Restoration",NA(),INDEX(Loading_Rates[#All],MATCH(ProposedBMPs811[[#This Row],[MapShed Land Cover of Drainage Area]],Loading_Rates[[#All],[Source]],0),2)*ProposedBMPs811[[#This Row],[Drainage Area (ac)]]))</f>
        <v>2369.5</v>
      </c>
      <c r="O33" s="37">
        <f>IF(ProposedBMPs811[[#This Row],[BMP Type]]="Street Sweeping",ProposedBMPs811[[#This Row],[Street Sweeping* Road Length Swept (ft) - Qualified projects only]]*Street_Sweeping[Road Width (ft)]/43560*INDEX(Loading_Rates[#All],MATCH(ProposedBMPs811[[#This Row],[MapShed Land Cover of Drainage Area]],Loading_Rates[[#All],[Source]],0),3)*ProposedBMPs811[[#This Row],[Impervious (%)]],IF(ProposedBMPs811[[#This Row],[BMP Type]]="Stream Restoration",NA(),INDEX(Loading_Rates[#All],MATCH(ProposedBMPs811[[#This Row],[MapShed Land Cover of Drainage Area]],Loading_Rates[[#All],[Source]],0),3)*ProposedBMPs811[[#This Row],[Drainage Area (ac)]]))</f>
        <v>0.5</v>
      </c>
      <c r="P33" s="37">
        <f>IF(ProposedBMPs811[[#This Row],[BMP Type]]="Street Sweeping",ProposedBMPs811[[#This Row],[Street Sweeping* Road Length Swept (ft) - Qualified projects only]]*Street_Sweeping[Road Width (ft)]/43560*INDEX(Loading_Rates[#All],MATCH(ProposedBMPs811[[#This Row],[MapShed Land Cover of Drainage Area]],Loading_Rates[[#All],[Source]],0),4)*ProposedBMPs811[[#This Row],[Impervious (%)]],IF(ProposedBMPs811[[#This Row],[BMP Type]]="Stream Restoration",NA(),INDEX(Loading_Rates[#All],MATCH(ProposedBMPs811[[#This Row],[MapShed Land Cover of Drainage Area]],Loading_Rates[[#All],[Source]],0),4)*ProposedBMPs811[[#This Row],[Drainage Area (ac)]]))</f>
        <v>5</v>
      </c>
      <c r="Q33" s="36">
        <f>IF(ProposedBMPs811[[#This Row],[BMP Type]]="RR",0.0326*ProposedBMPs811[[#This Row],[Effective Treatment Depth (in/imp. ac)]]^5-0.2806*ProposedBMPs811[[#This Row],[Effective Treatment Depth (in/imp. ac)]]^4+0.9816*ProposedBMPs811[[#This Row],[Effective Treatment Depth (in/imp. ac)]]^3-1.8039*ProposedBMPs811[[#This Row],[Effective Treatment Depth (in/imp. ac)]]^2+1.8292*ProposedBMPs811[[#This Row],[Effective Treatment Depth (in/imp. ac)]]-0.0098,IF(ProposedBMPs811[[#This Row],[BMP Type]]="ST",0.0304*ProposedBMPs811[[#This Row],[Effective Treatment Depth (in/imp. ac)]]^5-0.2619*ProposedBMPs811[[#This Row],[Effective Treatment Depth (in/imp. ac)]]^4+0.9161*ProposedBMPs811[[#This Row],[Effective Treatment Depth (in/imp. ac)]]^3-1.6837*ProposedBMPs811[[#This Row],[Effective Treatment Depth (in/imp. ac)]]^2+1.7072*ProposedBMPs811[[#This Row],[Effective Treatment Depth (in/imp. ac)]]-0.0091,IF(ProposedBMPs811[[#This Row],[BMP Type]]="Street Sweeping",Street_Sweeping[TSS Reduction (%)],IF(OR(ProposedBMPs811[[#This Row],[BMP Type]]="Other",ProposedBMPs811[[#This Row],[BMP Type]]="Stream Restoration"),0,1))))</f>
        <v>0.72375926316856554</v>
      </c>
      <c r="R33" s="36">
        <f>IF(ProposedBMPs811[[#This Row],[BMP Type]]="RR",0.0304*ProposedBMPs811[[#This Row],[Effective Treatment Depth (in/imp. ac)]]^5-0.2619*ProposedBMPs811[[#This Row],[Effective Treatment Depth (in/imp. ac)]]^4+0.9161*ProposedBMPs811[[#This Row],[Effective Treatment Depth (in/imp. ac)]]^3-1.6837*ProposedBMPs811[[#This Row],[Effective Treatment Depth (in/imp. ac)]]^2+1.7072*ProposedBMPs811[[#This Row],[Effective Treatment Depth (in/imp. ac)]]-0.0091,IF(ProposedBMPs811[[#This Row],[BMP Type]]="ST",0.0239*ProposedBMPs811[[#This Row],[Effective Treatment Depth (in/imp. ac)]]^5-0.2058*ProposedBMPs811[[#This Row],[Effective Treatment Depth (in/imp. ac)]]^4+0.7198*ProposedBMPs811[[#This Row],[Effective Treatment Depth (in/imp. ac)]]^3-1.3229*ProposedBMPs811[[#This Row],[Effective Treatment Depth (in/imp. ac)]]^2+1.3414*ProposedBMPs811[[#This Row],[Effective Treatment Depth (in/imp. ac)]]-0.0072,IF(ProposedBMPs811[[#This Row],[BMP Type]]="Street Sweeping",Street_Sweeping[TP Reduction (%)],IF(OR(ProposedBMPs811[[#This Row],[BMP Type]]="Other",ProposedBMPs811[[#This Row],[BMP Type]]="Stream Restoration"),0,1))))</f>
        <v>0.56866237542135334</v>
      </c>
      <c r="S33" s="36">
        <f>IF(ProposedBMPs811[[#This Row],[BMP Type]]="RR",0.0308*ProposedBMPs811[[#This Row],[Effective Treatment Depth (in/imp. ac)]]^5-0.2562*ProposedBMPs811[[#This Row],[Effective Treatment Depth (in/imp. ac)]]^4+0.8634*ProposedBMPs811[[#This Row],[Effective Treatment Depth (in/imp. ac)]]^3-1.5285*ProposedBMPs811[[#This Row],[Effective Treatment Depth (in/imp. ac)]]^2+1.501*ProposedBMPs811[[#This Row],[Effective Treatment Depth (in/imp. ac)]]-0.013,IF(ProposedBMPs811[[#This Row],[BMP Type]]="ST",0.0152*ProposedBMPs811[[#This Row],[Effective Treatment Depth (in/imp. ac)]]^5-0.131*ProposedBMPs811[[#This Row],[Effective Treatment Depth (in/imp. ac)]]^4+0.4581*ProposedBMPs811[[#This Row],[Effective Treatment Depth (in/imp. ac)]]^3-0.8418*ProposedBMPs811[[#This Row],[Effective Treatment Depth (in/imp. ac)]]^2+0.8536*ProposedBMPs811[[#This Row],[Effective Treatment Depth (in/imp. ac)]]-0.0046,IF(ProposedBMPs811[[#This Row],[BMP Type]]="Street Sweeping",Street_Sweeping[TN Reduction (%)],IF(OR(ProposedBMPs811[[#This Row],[BMP Type]]="Other",ProposedBMPs811[[#This Row],[BMP Type]]="Stream Restoration"),0,1))))</f>
        <v>0.36188434467690661</v>
      </c>
      <c r="T33" s="37">
        <f>IF(ProposedBMPs811[[#This Row],[TSS Reduction (%)]]&gt;0,IF(ProposedBMPs811[[#This Row],[BMP Type]]="Street Sweeping",ProposedBMPs811[[#This Row],[TSS Load (lbs/yr)]]*ProposedBMPs811[[#This Row],[TSS Reduction (%)]],INDEX(Loading_Rates[#All],MATCH(ProposedBMPs811[[#This Row],[MapShed Land Cover of Drainage Area]],Loading_Rates[[#All],[Source]],0),2)*ProposedBMPs811[[#This Row],[Drainage Area (ac)]]*ProposedBMPs811[[#This Row],[TSS Reduction (%)]]),IF(ProposedBMPs811[[#This Row],[BMP Type]]="Stream Restoration",Stream_Nutrients[TSS (lbs/ft/yr)]*ProposedBMPs811[[#This Row],[Stream Restoration* Length (ft) - Qualified projects only]],0))</f>
        <v>1714.947574077916</v>
      </c>
      <c r="U33" s="37">
        <f>ProposedBMPs811[[#This Row],[TSS Reduction (lbs/yr)]]/2000</f>
        <v>0.85747378703895805</v>
      </c>
      <c r="V33" s="37">
        <f>IF(ProposedBMPs811[[#This Row],[TP Reduction (%)]]&gt;0,IF(ProposedBMPs811[[#This Row],[BMP Type]]="Street Sweeping",ProposedBMPs811[[#This Row],[TP Load (lbs/yr)]]*ProposedBMPs811[[#This Row],[TP Reduction (%)]],INDEX(Loading_Rates[#All],MATCH(ProposedBMPs811[[#This Row],[MapShed Land Cover of Drainage Area]],Loading_Rates[[#All],[Source]],0),3)*ProposedBMPs811[[#This Row],[Drainage Area (ac)]]*ProposedBMPs811[[#This Row],[TP Reduction (%)]]),IF(ProposedBMPs811[[#This Row],[BMP Type]]="Stream Restoration",Stream_Nutrients[TP (lbs/ft/yr)]*ProposedBMPs811[[#This Row],[Stream Restoration* Length (ft) - Qualified projects only]],0))</f>
        <v>0.28433118771067667</v>
      </c>
      <c r="W33" s="37">
        <f>IF(ProposedBMPs811[[#This Row],[TN Reduction (%)]]&gt;0,IF(ProposedBMPs811[[#This Row],[BMP Type]]="Street Sweeping",ProposedBMPs811[[#This Row],[TN Load (lbs/yr)]]*ProposedBMPs811[[#This Row],[TN Reduction (%)]],INDEX(Loading_Rates[#All],MATCH(ProposedBMPs811[[#This Row],[MapShed Land Cover of Drainage Area]],Loading_Rates[[#All],[Source]],0),4)*ProposedBMPs811[[#This Row],[Drainage Area (ac)]]*ProposedBMPs811[[#This Row],[TN Reduction (%)]]),IF(ProposedBMPs811[[#This Row],[BMP Type]]="Stream Restoration",Stream_Nutrients[TN (lbs/ft/yr)]*ProposedBMPs811[[#This Row],[Stream Restoration* Length (ft) - Qualified projects only]],0))</f>
        <v>1.8094217233845331</v>
      </c>
    </row>
    <row r="34" spans="1:23" x14ac:dyDescent="0.25">
      <c r="A34" s="30" t="s">
        <v>64</v>
      </c>
      <c r="B34" s="30" t="s">
        <v>63</v>
      </c>
      <c r="C34" s="31">
        <v>2018</v>
      </c>
      <c r="D34" s="31" t="s">
        <v>83</v>
      </c>
      <c r="E34" s="32"/>
      <c r="F34" s="33"/>
      <c r="G34" s="34"/>
      <c r="H34" s="34">
        <v>20000</v>
      </c>
      <c r="I34" s="35">
        <f>ProposedBMPs811[[#This Row],[Drainage Area (ac)]]*ProposedBMPs811[[#This Row],[Impervious (%)]]</f>
        <v>0</v>
      </c>
      <c r="J34" s="35" t="e">
        <f>IFERROR(MIN(ProposedBMPs811[[#This Row],[Treatment Depth (in)]]*ProposedBMPs811[[#This Row],[Drainage Area (ac)]]/ProposedBMPs811[[#This Row],[Impervious Area (ac)]],2.5),NA())</f>
        <v>#N/A</v>
      </c>
      <c r="K34" s="33"/>
      <c r="L34" s="35" t="e">
        <f>IF(ProposedBMPs811[[#This Row],[Treatment Depth (in/imp. ac) Manual Override - use if no impervious area]]&gt;0,ProposedBMPs811[[#This Row],[Treatment Depth (in/imp. ac) Manual Override - use if no impervious area]],ProposedBMPs811[[#This Row],[Treatment Depth (in/imp. ac)]])</f>
        <v>#N/A</v>
      </c>
      <c r="M34" s="36">
        <f>IF(ProposedBMPs811[[#This Row],[BMP Type]]="Stream Restoration",NA(),IFERROR(INDEX(Impervious[#All],MATCH(ProposedBMPs811[[#This Row],[MapShed Land Cover of Drainage Area]],Impervious[[#All],[Source]],0),4),0))</f>
        <v>0.87</v>
      </c>
      <c r="N34" s="37">
        <f>IF(ProposedBMPs811[[#This Row],[BMP Type]]="Street Sweeping",ProposedBMPs811[[#This Row],[Street Sweeping* Road Length Swept (ft) - Qualified projects only]]*Street_Sweeping[Road Width (ft)]/43560*INDEX(Loading_Rates[#All],MATCH(ProposedBMPs811[[#This Row],[MapShed Land Cover of Drainage Area]],Loading_Rates[[#All],[Source]],0),2)*ProposedBMPs811[[#This Row],[Impervious (%)]],IF(ProposedBMPs811[[#This Row],[BMP Type]]="Stream Restoration",NA(),INDEX(Loading_Rates[#All],MATCH(ProposedBMPs811[[#This Row],[MapShed Land Cover of Drainage Area]],Loading_Rates[[#All],[Source]],0),2)*ProposedBMPs811[[#This Row],[Drainage Area (ac)]]))</f>
        <v>330.90358126721759</v>
      </c>
      <c r="O34" s="37">
        <f>IF(ProposedBMPs811[[#This Row],[BMP Type]]="Street Sweeping",ProposedBMPs811[[#This Row],[Street Sweeping* Road Length Swept (ft) - Qualified projects only]]*Street_Sweeping[Road Width (ft)]/43560*INDEX(Loading_Rates[#All],MATCH(ProposedBMPs811[[#This Row],[MapShed Land Cover of Drainage Area]],Loading_Rates[[#All],[Source]],0),3)*ProposedBMPs811[[#This Row],[Impervious (%)]],IF(ProposedBMPs811[[#This Row],[BMP Type]]="Stream Restoration",NA(),INDEX(Loading_Rates[#All],MATCH(ProposedBMPs811[[#This Row],[MapShed Land Cover of Drainage Area]],Loading_Rates[[#All],[Source]],0),3)*ProposedBMPs811[[#This Row],[Drainage Area (ac)]]))</f>
        <v>0.39944903581267216</v>
      </c>
      <c r="P34" s="37">
        <f>IF(ProposedBMPs811[[#This Row],[BMP Type]]="Street Sweeping",ProposedBMPs811[[#This Row],[Street Sweeping* Road Length Swept (ft) - Qualified projects only]]*Street_Sweeping[Road Width (ft)]/43560*INDEX(Loading_Rates[#All],MATCH(ProposedBMPs811[[#This Row],[MapShed Land Cover of Drainage Area]],Loading_Rates[[#All],[Source]],0),4)*ProposedBMPs811[[#This Row],[Impervious (%)]],IF(ProposedBMPs811[[#This Row],[BMP Type]]="Stream Restoration",NA(),INDEX(Loading_Rates[#All],MATCH(ProposedBMPs811[[#This Row],[MapShed Land Cover of Drainage Area]],Loading_Rates[[#All],[Source]],0),4)*ProposedBMPs811[[#This Row],[Drainage Area (ac)]]))</f>
        <v>3.9944903581267215</v>
      </c>
      <c r="Q34" s="36">
        <f>IF(ProposedBMPs811[[#This Row],[BMP Type]]="RR",0.0326*ProposedBMPs811[[#This Row],[Effective Treatment Depth (in/imp. ac)]]^5-0.2806*ProposedBMPs811[[#This Row],[Effective Treatment Depth (in/imp. ac)]]^4+0.9816*ProposedBMPs811[[#This Row],[Effective Treatment Depth (in/imp. ac)]]^3-1.8039*ProposedBMPs811[[#This Row],[Effective Treatment Depth (in/imp. ac)]]^2+1.8292*ProposedBMPs811[[#This Row],[Effective Treatment Depth (in/imp. ac)]]-0.0098,IF(ProposedBMPs811[[#This Row],[BMP Type]]="ST",0.0304*ProposedBMPs811[[#This Row],[Effective Treatment Depth (in/imp. ac)]]^5-0.2619*ProposedBMPs811[[#This Row],[Effective Treatment Depth (in/imp. ac)]]^4+0.9161*ProposedBMPs811[[#This Row],[Effective Treatment Depth (in/imp. ac)]]^3-1.6837*ProposedBMPs811[[#This Row],[Effective Treatment Depth (in/imp. ac)]]^2+1.7072*ProposedBMPs811[[#This Row],[Effective Treatment Depth (in/imp. ac)]]-0.0091,IF(ProposedBMPs811[[#This Row],[BMP Type]]="Street Sweeping",Street_Sweeping[TSS Reduction (%)],IF(OR(ProposedBMPs811[[#This Row],[BMP Type]]="Other",ProposedBMPs811[[#This Row],[BMP Type]]="Stream Restoration"),0,1))))</f>
        <v>0.1</v>
      </c>
      <c r="R34" s="36">
        <f>IF(ProposedBMPs811[[#This Row],[BMP Type]]="RR",0.0304*ProposedBMPs811[[#This Row],[Effective Treatment Depth (in/imp. ac)]]^5-0.2619*ProposedBMPs811[[#This Row],[Effective Treatment Depth (in/imp. ac)]]^4+0.9161*ProposedBMPs811[[#This Row],[Effective Treatment Depth (in/imp. ac)]]^3-1.6837*ProposedBMPs811[[#This Row],[Effective Treatment Depth (in/imp. ac)]]^2+1.7072*ProposedBMPs811[[#This Row],[Effective Treatment Depth (in/imp. ac)]]-0.0091,IF(ProposedBMPs811[[#This Row],[BMP Type]]="ST",0.0239*ProposedBMPs811[[#This Row],[Effective Treatment Depth (in/imp. ac)]]^5-0.2058*ProposedBMPs811[[#This Row],[Effective Treatment Depth (in/imp. ac)]]^4+0.7198*ProposedBMPs811[[#This Row],[Effective Treatment Depth (in/imp. ac)]]^3-1.3229*ProposedBMPs811[[#This Row],[Effective Treatment Depth (in/imp. ac)]]^2+1.3414*ProposedBMPs811[[#This Row],[Effective Treatment Depth (in/imp. ac)]]-0.0072,IF(ProposedBMPs811[[#This Row],[BMP Type]]="Street Sweeping",Street_Sweeping[TP Reduction (%)],IF(OR(ProposedBMPs811[[#This Row],[BMP Type]]="Other",ProposedBMPs811[[#This Row],[BMP Type]]="Stream Restoration"),0,1))))</f>
        <v>0.1</v>
      </c>
      <c r="S34" s="36">
        <f>IF(ProposedBMPs811[[#This Row],[BMP Type]]="RR",0.0308*ProposedBMPs811[[#This Row],[Effective Treatment Depth (in/imp. ac)]]^5-0.2562*ProposedBMPs811[[#This Row],[Effective Treatment Depth (in/imp. ac)]]^4+0.8634*ProposedBMPs811[[#This Row],[Effective Treatment Depth (in/imp. ac)]]^3-1.5285*ProposedBMPs811[[#This Row],[Effective Treatment Depth (in/imp. ac)]]^2+1.501*ProposedBMPs811[[#This Row],[Effective Treatment Depth (in/imp. ac)]]-0.013,IF(ProposedBMPs811[[#This Row],[BMP Type]]="ST",0.0152*ProposedBMPs811[[#This Row],[Effective Treatment Depth (in/imp. ac)]]^5-0.131*ProposedBMPs811[[#This Row],[Effective Treatment Depth (in/imp. ac)]]^4+0.4581*ProposedBMPs811[[#This Row],[Effective Treatment Depth (in/imp. ac)]]^3-0.8418*ProposedBMPs811[[#This Row],[Effective Treatment Depth (in/imp. ac)]]^2+0.8536*ProposedBMPs811[[#This Row],[Effective Treatment Depth (in/imp. ac)]]-0.0046,IF(ProposedBMPs811[[#This Row],[BMP Type]]="Street Sweeping",Street_Sweeping[TN Reduction (%)],IF(OR(ProposedBMPs811[[#This Row],[BMP Type]]="Other",ProposedBMPs811[[#This Row],[BMP Type]]="Stream Restoration"),0,1))))</f>
        <v>0.1</v>
      </c>
      <c r="T34" s="37">
        <f>IF(ProposedBMPs811[[#This Row],[TSS Reduction (%)]]&gt;0,IF(ProposedBMPs811[[#This Row],[BMP Type]]="Street Sweeping",ProposedBMPs811[[#This Row],[TSS Load (lbs/yr)]]*ProposedBMPs811[[#This Row],[TSS Reduction (%)]],INDEX(Loading_Rates[#All],MATCH(ProposedBMPs811[[#This Row],[MapShed Land Cover of Drainage Area]],Loading_Rates[[#All],[Source]],0),2)*ProposedBMPs811[[#This Row],[Drainage Area (ac)]]*ProposedBMPs811[[#This Row],[TSS Reduction (%)]]),IF(ProposedBMPs811[[#This Row],[BMP Type]]="Stream Restoration",Stream_Nutrients[TSS (lbs/ft/yr)]*ProposedBMPs811[[#This Row],[Stream Restoration* Length (ft) - Qualified projects only]],0))</f>
        <v>33.09035812672176</v>
      </c>
      <c r="U34" s="37">
        <f>ProposedBMPs811[[#This Row],[TSS Reduction (lbs/yr)]]/2000</f>
        <v>1.6545179063360879E-2</v>
      </c>
      <c r="V34" s="37">
        <f>IF(ProposedBMPs811[[#This Row],[TP Reduction (%)]]&gt;0,IF(ProposedBMPs811[[#This Row],[BMP Type]]="Street Sweeping",ProposedBMPs811[[#This Row],[TP Load (lbs/yr)]]*ProposedBMPs811[[#This Row],[TP Reduction (%)]],INDEX(Loading_Rates[#All],MATCH(ProposedBMPs811[[#This Row],[MapShed Land Cover of Drainage Area]],Loading_Rates[[#All],[Source]],0),3)*ProposedBMPs811[[#This Row],[Drainage Area (ac)]]*ProposedBMPs811[[#This Row],[TP Reduction (%)]]),IF(ProposedBMPs811[[#This Row],[BMP Type]]="Stream Restoration",Stream_Nutrients[TP (lbs/ft/yr)]*ProposedBMPs811[[#This Row],[Stream Restoration* Length (ft) - Qualified projects only]],0))</f>
        <v>3.9944903581267219E-2</v>
      </c>
      <c r="W34" s="37">
        <f>IF(ProposedBMPs811[[#This Row],[TN Reduction (%)]]&gt;0,IF(ProposedBMPs811[[#This Row],[BMP Type]]="Street Sweeping",ProposedBMPs811[[#This Row],[TN Load (lbs/yr)]]*ProposedBMPs811[[#This Row],[TN Reduction (%)]],INDEX(Loading_Rates[#All],MATCH(ProposedBMPs811[[#This Row],[MapShed Land Cover of Drainage Area]],Loading_Rates[[#All],[Source]],0),4)*ProposedBMPs811[[#This Row],[Drainage Area (ac)]]*ProposedBMPs811[[#This Row],[TN Reduction (%)]]),IF(ProposedBMPs811[[#This Row],[BMP Type]]="Stream Restoration",Stream_Nutrients[TN (lbs/ft/yr)]*ProposedBMPs811[[#This Row],[Stream Restoration* Length (ft) - Qualified projects only]],0))</f>
        <v>0.39944903581267216</v>
      </c>
    </row>
    <row r="35" spans="1:23" ht="21" x14ac:dyDescent="0.35">
      <c r="A35" s="28" t="s">
        <v>17</v>
      </c>
      <c r="B35" s="28"/>
      <c r="C35" s="28"/>
      <c r="D35" s="28"/>
      <c r="E35" s="28"/>
      <c r="F35" s="28"/>
      <c r="G35" s="28"/>
      <c r="H35" s="28"/>
      <c r="I35" s="28"/>
      <c r="J35" s="28"/>
      <c r="K35" s="28"/>
      <c r="L35" s="28"/>
      <c r="M35" s="28"/>
      <c r="N35" s="28"/>
      <c r="O35" s="28"/>
      <c r="P35" s="28"/>
      <c r="Q35" s="28"/>
      <c r="R35" s="28"/>
      <c r="S35" s="28"/>
      <c r="T35" s="38">
        <f>_xlfn.AGGREGATE(9,7,ProposedBMPs811[TSS Reduction (lbs/yr)])</f>
        <v>2532.4117090796367</v>
      </c>
      <c r="U35" s="37">
        <f>_xlfn.AGGREGATE(9,7,ProposedBMPs811[TSS Reduction (tons/yr)])</f>
        <v>1.2662058545398183</v>
      </c>
      <c r="V35" s="38">
        <f>_xlfn.AGGREGATE(9,7,ProposedBMPs811[TP Reduction (lbs/yr)])</f>
        <v>0.71833546629194378</v>
      </c>
      <c r="W35" s="38">
        <f>_xlfn.AGGREGATE(9,7,ProposedBMPs811[TN Reduction (lbs/yr)])</f>
        <v>5.5938707591972037</v>
      </c>
    </row>
  </sheetData>
  <mergeCells count="4">
    <mergeCell ref="A2:H2"/>
    <mergeCell ref="A3:H3"/>
    <mergeCell ref="A4:H4"/>
    <mergeCell ref="A5:H5"/>
  </mergeCells>
  <conditionalFormatting sqref="E11:F18 K11:K18 E24:F26 K24:K26">
    <cfRule type="expression" dxfId="177" priority="12">
      <formula>OR($B11="Stream Restoration",$B11="Street Sweeping")</formula>
    </cfRule>
  </conditionalFormatting>
  <conditionalFormatting sqref="G11:G18 G24:G26">
    <cfRule type="expression" dxfId="176" priority="11">
      <formula>OR($B11="RR",$B11="ST",$B11="Street Sweeping")</formula>
    </cfRule>
  </conditionalFormatting>
  <conditionalFormatting sqref="H11:H18 H24:H26">
    <cfRule type="expression" dxfId="175" priority="10">
      <formula>OR($B11="RR",$B11="ST",$B11="Stream Restoration")</formula>
    </cfRule>
  </conditionalFormatting>
  <conditionalFormatting sqref="D11:D18 D24:D26">
    <cfRule type="expression" dxfId="174" priority="9">
      <formula>OR($B11="Stream Restoration")</formula>
    </cfRule>
  </conditionalFormatting>
  <conditionalFormatting sqref="E32:F34 K32:K34">
    <cfRule type="expression" dxfId="173" priority="4">
      <formula>OR($B32="Stream Restoration",$B32="Street Sweeping")</formula>
    </cfRule>
  </conditionalFormatting>
  <conditionalFormatting sqref="G32:G34">
    <cfRule type="expression" dxfId="172" priority="3">
      <formula>OR($B32="RR",$B32="ST",$B32="Street Sweeping")</formula>
    </cfRule>
  </conditionalFormatting>
  <conditionalFormatting sqref="H32:H34">
    <cfRule type="expression" dxfId="171" priority="2">
      <formula>OR($B32="RR",$B32="ST",$B32="Stream Restoration")</formula>
    </cfRule>
  </conditionalFormatting>
  <conditionalFormatting sqref="D32:D34">
    <cfRule type="expression" dxfId="170" priority="1">
      <formula>OR($B32="Stream Restoration")</formula>
    </cfRule>
  </conditionalFormatting>
  <dataValidations count="1">
    <dataValidation type="list" allowBlank="1" showInputMessage="1" showErrorMessage="1" sqref="B11:B18 B24:B26 B32:B34">
      <formula1>"RR,ST,Street Sweeping,Stream Restoration"</formula1>
    </dataValidation>
  </dataValidations>
  <pageMargins left="0.25" right="0.25" top="0.75" bottom="0.75" header="0.3" footer="0.3"/>
  <pageSetup paperSize="17" scale="97" fitToWidth="0" orientation="landscape" r:id="rId1"/>
  <headerFooter>
    <oddHeader>&amp;CChristina Basin Urban BMP Load Reduction Calculation Tool</oddHeader>
    <oddFooter>&amp;RChristina Basin Urban BMP Tool (May 3, 2017)</oddFooter>
  </headerFooter>
  <tableParts count="3">
    <tablePart r:id="rId2"/>
    <tablePart r:id="rId3"/>
    <tablePart r:id="rId4"/>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Loading!$A$9:$A$30</xm:f>
          </x14:formula1>
          <xm:sqref>D11:D18 D24:D26 D32:D34</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roject xmlns="80727368-2d85-4693-8aca-8c33fb2339f5" xsi:nil="true"/>
    <IconOverlay xmlns="http://schemas.microsoft.com/sharepoint/v4" xsi:nil="true"/>
    <SharedWithUsers xmlns="80727368-2d85-4693-8aca-8c33fb2339f5">
      <UserInfo>
        <DisplayName>Mike Hickman</DisplayName>
        <AccountId>61</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Project Document" ma:contentTypeID="0x01010084099C5946FA6344AFBC08FDA28BB5E3000F2A5536EED47B428001DEFDF00DB8CF" ma:contentTypeVersion="9" ma:contentTypeDescription="" ma:contentTypeScope="" ma:versionID="8ae388cc39c856dae9e6411ebccf3ce3">
  <xsd:schema xmlns:xsd="http://www.w3.org/2001/XMLSchema" xmlns:xs="http://www.w3.org/2001/XMLSchema" xmlns:p="http://schemas.microsoft.com/office/2006/metadata/properties" xmlns:ns2="80727368-2d85-4693-8aca-8c33fb2339f5" xmlns:ns3="http://schemas.microsoft.com/sharepoint/v4" targetNamespace="http://schemas.microsoft.com/office/2006/metadata/properties" ma:root="true" ma:fieldsID="377bb625bb9bad92be28126b7474948a" ns2:_="" ns3:_="">
    <xsd:import namespace="80727368-2d85-4693-8aca-8c33fb2339f5"/>
    <xsd:import namespace="http://schemas.microsoft.com/sharepoint/v4"/>
    <xsd:element name="properties">
      <xsd:complexType>
        <xsd:sequence>
          <xsd:element name="documentManagement">
            <xsd:complexType>
              <xsd:all>
                <xsd:element ref="ns2:Project" minOccurs="0"/>
                <xsd:element ref="ns2:Project_x003a_Description" minOccurs="0"/>
                <xsd:element ref="ns2:SharedWithUsers" minOccurs="0"/>
                <xsd:element ref="ns3:IconOverlay" minOccurs="0"/>
                <xsd:element ref="ns2:SharingHintHash" minOccurs="0"/>
                <xsd:element ref="ns2:SharedWithDetails" minOccurs="0"/>
                <xsd:element ref="ns2:LastSharedByUser" minOccurs="0"/>
                <xsd:element ref="ns2:LastSharedBy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727368-2d85-4693-8aca-8c33fb2339f5" elementFormDefault="qualified">
    <xsd:import namespace="http://schemas.microsoft.com/office/2006/documentManagement/types"/>
    <xsd:import namespace="http://schemas.microsoft.com/office/infopath/2007/PartnerControls"/>
    <xsd:element name="Project" ma:index="8" nillable="true" ma:displayName="Project" ma:list="{466bfe19-0901-498c-8ba9-2a12267cbd25}" ma:internalName="Project" ma:readOnly="false" ma:showField="Title" ma:web="80727368-2d85-4693-8aca-8c33fb2339f5">
      <xsd:simpleType>
        <xsd:restriction base="dms:Lookup"/>
      </xsd:simpleType>
    </xsd:element>
    <xsd:element name="Project_x003a_Description" ma:index="9" nillable="true" ma:displayName="Project:Description" ma:list="{466bfe19-0901-498c-8ba9-2a12267cbd25}" ma:internalName="Project_x003A_Description" ma:readOnly="true" ma:showField="CategoryDescription" ma:web="80727368-2d85-4693-8aca-8c33fb2339f5">
      <xsd:simpleType>
        <xsd:restriction base="dms:Lookup"/>
      </xsd:simpleType>
    </xsd:element>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12" nillable="true" ma:displayName="Sharing Hint Hash" ma:internalName="SharingHintHash" ma:readOnly="true">
      <xsd:simpleType>
        <xsd:restriction base="dms:Text"/>
      </xsd:simpleType>
    </xsd:element>
    <xsd:element name="SharedWithDetails" ma:index="13" nillable="true" ma:displayName="Shared With Details" ma:internalName="SharedWithDetails" ma:readOnly="true">
      <xsd:simpleType>
        <xsd:restriction base="dms:Note">
          <xsd:maxLength value="255"/>
        </xsd:restriction>
      </xsd:simpleType>
    </xsd:element>
    <xsd:element name="LastSharedByUser" ma:index="14" nillable="true" ma:displayName="Last Shared By User" ma:description="" ma:internalName="LastSharedByUser" ma:readOnly="true">
      <xsd:simpleType>
        <xsd:restriction base="dms:Note">
          <xsd:maxLength value="255"/>
        </xsd:restriction>
      </xsd:simpleType>
    </xsd:element>
    <xsd:element name="LastSharedByTime" ma:index="15"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11"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26BDA34-A285-4722-AF2A-BA3E0CCF73E3}">
  <ds:schemaRefs>
    <ds:schemaRef ds:uri="http://schemas.microsoft.com/sharepoint/v3/contenttype/forms"/>
  </ds:schemaRefs>
</ds:datastoreItem>
</file>

<file path=customXml/itemProps2.xml><?xml version="1.0" encoding="utf-8"?>
<ds:datastoreItem xmlns:ds="http://schemas.openxmlformats.org/officeDocument/2006/customXml" ds:itemID="{C1F76689-8D49-4AE4-8344-2554E4C878D0}">
  <ds:schemaRefs>
    <ds:schemaRef ds:uri="http://www.w3.org/XML/1998/namespace"/>
    <ds:schemaRef ds:uri="http://purl.org/dc/dcmitype/"/>
    <ds:schemaRef ds:uri="http://schemas.microsoft.com/office/2006/metadata/properties"/>
    <ds:schemaRef ds:uri="http://schemas.microsoft.com/sharepoint/v4"/>
    <ds:schemaRef ds:uri="http://purl.org/dc/elements/1.1/"/>
    <ds:schemaRef ds:uri="http://schemas.microsoft.com/office/2006/documentManagement/types"/>
    <ds:schemaRef ds:uri="http://schemas.microsoft.com/office/infopath/2007/PartnerControls"/>
    <ds:schemaRef ds:uri="http://schemas.openxmlformats.org/package/2006/metadata/core-properties"/>
    <ds:schemaRef ds:uri="80727368-2d85-4693-8aca-8c33fb2339f5"/>
    <ds:schemaRef ds:uri="http://purl.org/dc/terms/"/>
  </ds:schemaRefs>
</ds:datastoreItem>
</file>

<file path=customXml/itemProps3.xml><?xml version="1.0" encoding="utf-8"?>
<ds:datastoreItem xmlns:ds="http://schemas.openxmlformats.org/officeDocument/2006/customXml" ds:itemID="{E1015981-7E65-4473-8098-1814FE6892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727368-2d85-4693-8aca-8c33fb2339f5"/>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Cover Page</vt:lpstr>
      <vt:lpstr>READ ME! INSTRUCTIONS</vt:lpstr>
      <vt:lpstr>PerformStdApproach</vt:lpstr>
      <vt:lpstr>Loading</vt:lpstr>
      <vt:lpstr>ExistingBMPs</vt:lpstr>
      <vt:lpstr>ProposedBMPs</vt:lpstr>
      <vt:lpstr>PerformStdApproach!Print_Area</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Reid Christianson</dc:creator>
  <cp:lastModifiedBy>bevans</cp:lastModifiedBy>
  <cp:revision/>
  <cp:lastPrinted>2017-05-02T15:40:10Z</cp:lastPrinted>
  <dcterms:created xsi:type="dcterms:W3CDTF">2016-05-10T13:25:29Z</dcterms:created>
  <dcterms:modified xsi:type="dcterms:W3CDTF">2018-03-20T14:37:47Z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0x01010084099C5946FA6344AFBC08FDA28BB5E3000F2A5536EED47B428001DEFDF00DB8CF</vt:lpwstr>
  </property>
  <property fmtid="{D5CDD505-2E9C-101B-9397-08002B2CF9AE}" pid="3" name="_NewReviewCycle">
    <vt:lpwstr/>
  </property>
</Properties>
</file>