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4995" yWindow="-21135" windowWidth="20730" windowHeight="11760"/>
  </bookViews>
  <sheets>
    <sheet name="Cover Page" sheetId="2" r:id="rId1"/>
    <sheet name="Instructions&amp;Overview" sheetId="3" r:id="rId2"/>
    <sheet name="LandUseLoadingRatesLookUpTable" sheetId="1" r:id="rId3"/>
    <sheet name="MMW Output" sheetId="4" r:id="rId4"/>
    <sheet name="Farm Animal TN and TP Loading" sheetId="5" r:id="rId5"/>
    <sheet name="Stream Bank SedimentLoadingRate" sheetId="6" r:id="rId6"/>
    <sheet name="Stream Bank Nitrogen Loading" sheetId="7" r:id="rId7"/>
    <sheet name="Stream Bank Phosphorus Loading" sheetId="8" r:id="rId8"/>
    <sheet name="Perf Std Approach" sheetId="10" r:id="rId9"/>
    <sheet name="Urban BMPs" sheetId="11" r:id="rId10"/>
    <sheet name="Agricultural BMPs (Existing)" sheetId="12" r:id="rId11"/>
    <sheet name="Agricultural BMPs (Proposed)" sheetId="14" r:id="rId12"/>
    <sheet name="Total Load Reductions" sheetId="13" r:id="rId13"/>
  </sheets>
  <externalReferences>
    <externalReference r:id="rId14"/>
  </externalReferences>
  <definedNames>
    <definedName name="_xlnm._FilterDatabase" localSheetId="9" hidden="1">'Urban BMPs'!$A$10:$Y$10</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 i="13" l="1"/>
  <c r="L20" i="13" s="1"/>
  <c r="L22" i="13" s="1"/>
  <c r="K4" i="13"/>
  <c r="K20" i="13" s="1"/>
  <c r="K22" i="13" s="1"/>
  <c r="J4" i="13"/>
  <c r="K90" i="4"/>
  <c r="K89" i="4"/>
  <c r="K88" i="4"/>
  <c r="K87" i="4"/>
  <c r="K86" i="4"/>
  <c r="K85" i="4"/>
  <c r="K84" i="4"/>
  <c r="K83" i="4"/>
  <c r="K82" i="4"/>
  <c r="K81" i="4"/>
  <c r="K80" i="4"/>
  <c r="K79" i="4"/>
  <c r="K78" i="4"/>
  <c r="K77" i="4"/>
  <c r="J90" i="4"/>
  <c r="J89" i="4"/>
  <c r="J88" i="4"/>
  <c r="J87" i="4"/>
  <c r="J86" i="4"/>
  <c r="J85" i="4"/>
  <c r="J84" i="4"/>
  <c r="J83" i="4"/>
  <c r="J82" i="4"/>
  <c r="J81" i="4"/>
  <c r="J80" i="4"/>
  <c r="J79" i="4"/>
  <c r="J78" i="4"/>
  <c r="J77" i="4"/>
  <c r="I90" i="4"/>
  <c r="I89" i="4"/>
  <c r="I88" i="4"/>
  <c r="I87" i="4"/>
  <c r="I86" i="4"/>
  <c r="I85" i="4"/>
  <c r="I84" i="4"/>
  <c r="I83" i="4"/>
  <c r="I82" i="4"/>
  <c r="I81" i="4"/>
  <c r="I80" i="4"/>
  <c r="I79" i="4"/>
  <c r="I78" i="4"/>
  <c r="I77" i="4"/>
  <c r="D113" i="4"/>
  <c r="F97" i="4"/>
  <c r="F98" i="4"/>
  <c r="F99" i="4"/>
  <c r="F113" i="4" s="1"/>
  <c r="F100" i="4"/>
  <c r="F101" i="4"/>
  <c r="F102" i="4"/>
  <c r="F103" i="4"/>
  <c r="F104" i="4"/>
  <c r="F105" i="4"/>
  <c r="F106" i="4"/>
  <c r="F107" i="4"/>
  <c r="F108" i="4"/>
  <c r="F109" i="4"/>
  <c r="F110" i="4"/>
  <c r="F111" i="4"/>
  <c r="F96" i="4"/>
  <c r="K21" i="13"/>
  <c r="L21" i="13"/>
  <c r="J21" i="13"/>
  <c r="J20" i="13"/>
  <c r="K15" i="13"/>
  <c r="L15" i="13"/>
  <c r="K16" i="13"/>
  <c r="L16" i="13"/>
  <c r="K17" i="13"/>
  <c r="L17" i="13"/>
  <c r="J15" i="13"/>
  <c r="J17" i="13" s="1"/>
  <c r="K6" i="13"/>
  <c r="L6" i="13"/>
  <c r="K8" i="13"/>
  <c r="L8" i="13"/>
  <c r="K10" i="13"/>
  <c r="L10" i="13"/>
  <c r="K12" i="13"/>
  <c r="L12" i="13"/>
  <c r="J12" i="13"/>
  <c r="J10" i="13"/>
  <c r="J8" i="13"/>
  <c r="J6" i="13"/>
  <c r="J22" i="13" l="1"/>
  <c r="K92" i="4"/>
  <c r="J92" i="4"/>
  <c r="I92" i="4"/>
  <c r="J16" i="13"/>
  <c r="Y23" i="11"/>
  <c r="Y22" i="11"/>
  <c r="Y21" i="11"/>
  <c r="Y20" i="11"/>
  <c r="Y19" i="11"/>
  <c r="Y16" i="11"/>
  <c r="Y14" i="11"/>
  <c r="U11" i="11"/>
  <c r="U12" i="11"/>
  <c r="U13" i="11"/>
  <c r="U14" i="11"/>
  <c r="U15" i="11"/>
  <c r="U16" i="11"/>
  <c r="U17" i="11"/>
  <c r="U18" i="11"/>
  <c r="U19" i="11"/>
  <c r="U20" i="11"/>
  <c r="U21" i="11"/>
  <c r="U22" i="11"/>
  <c r="U23" i="11"/>
  <c r="T12" i="11"/>
  <c r="T13" i="11"/>
  <c r="T14" i="11"/>
  <c r="T15" i="11"/>
  <c r="T16" i="11"/>
  <c r="T17" i="11"/>
  <c r="T18" i="11"/>
  <c r="T19" i="11"/>
  <c r="T20" i="11"/>
  <c r="T21" i="11"/>
  <c r="T22" i="11"/>
  <c r="T23" i="11"/>
  <c r="T11" i="11"/>
  <c r="S12" i="11"/>
  <c r="S13" i="11"/>
  <c r="S14" i="11"/>
  <c r="S15" i="11"/>
  <c r="S16" i="11"/>
  <c r="S17" i="11"/>
  <c r="S18" i="11"/>
  <c r="S19" i="11"/>
  <c r="S20" i="11"/>
  <c r="S21" i="11"/>
  <c r="S22" i="11"/>
  <c r="S23" i="11"/>
  <c r="S11" i="11"/>
  <c r="R16" i="11" l="1"/>
  <c r="R19" i="11"/>
  <c r="R20" i="11"/>
  <c r="R21" i="11"/>
  <c r="R22" i="11"/>
  <c r="R23" i="11"/>
  <c r="Q16" i="11"/>
  <c r="Q19" i="11"/>
  <c r="Q20" i="11"/>
  <c r="Q21" i="11"/>
  <c r="Q22" i="11"/>
  <c r="Q23" i="11"/>
  <c r="P21" i="11"/>
  <c r="P22" i="11"/>
  <c r="P23" i="11"/>
  <c r="P16" i="11"/>
  <c r="P19" i="11"/>
  <c r="P20" i="11"/>
  <c r="I6" i="1"/>
  <c r="E43" i="3" l="1"/>
  <c r="D43" i="3"/>
  <c r="C43" i="3"/>
  <c r="O13" i="11"/>
  <c r="O14" i="11"/>
  <c r="O15" i="11"/>
  <c r="O16" i="11"/>
  <c r="O17" i="11"/>
  <c r="O19" i="11"/>
  <c r="O20" i="11"/>
  <c r="O21" i="11"/>
  <c r="O22" i="11"/>
  <c r="O23" i="11"/>
  <c r="O11" i="11"/>
  <c r="E39" i="3"/>
  <c r="E38" i="3"/>
  <c r="E37" i="3"/>
  <c r="E36" i="3"/>
  <c r="E35" i="3"/>
  <c r="E34" i="3"/>
  <c r="E33" i="3"/>
  <c r="E32" i="3"/>
  <c r="E31" i="3"/>
  <c r="E30" i="3"/>
  <c r="O18" i="11" s="1"/>
  <c r="E29" i="3"/>
  <c r="O12" i="11" s="1"/>
  <c r="E28" i="3"/>
  <c r="E27" i="3"/>
  <c r="E26" i="3"/>
  <c r="E25" i="3"/>
  <c r="E24" i="3"/>
  <c r="E23" i="3"/>
  <c r="E22" i="3"/>
  <c r="E21" i="3"/>
  <c r="E20" i="3"/>
  <c r="E19" i="3"/>
  <c r="E18" i="3"/>
  <c r="K17" i="11" l="1"/>
  <c r="L17" i="11" s="1"/>
  <c r="N17" i="11" s="1"/>
  <c r="K18" i="11"/>
  <c r="L18" i="11"/>
  <c r="N18" i="11" s="1"/>
  <c r="K19" i="11"/>
  <c r="L19" i="11" s="1"/>
  <c r="N19" i="11" s="1"/>
  <c r="X19" i="11"/>
  <c r="K20" i="11"/>
  <c r="L20" i="11" s="1"/>
  <c r="N20" i="11" s="1"/>
  <c r="X20" i="11"/>
  <c r="K21" i="11"/>
  <c r="L21" i="11" s="1"/>
  <c r="N21" i="11" s="1"/>
  <c r="X21" i="11"/>
  <c r="K22" i="11"/>
  <c r="L22" i="11" s="1"/>
  <c r="N22" i="11" s="1"/>
  <c r="X22" i="11"/>
  <c r="K23" i="11"/>
  <c r="L23" i="11" s="1"/>
  <c r="N23" i="11" s="1"/>
  <c r="X23" i="11"/>
  <c r="X16" i="11"/>
  <c r="V16" i="11"/>
  <c r="W16" i="11" s="1"/>
  <c r="K16" i="11"/>
  <c r="L16" i="11" s="1"/>
  <c r="N16" i="11" s="1"/>
  <c r="K15" i="11"/>
  <c r="L15" i="11" s="1"/>
  <c r="N15" i="11"/>
  <c r="K14" i="11"/>
  <c r="L14" i="11" s="1"/>
  <c r="N14" i="11" s="1"/>
  <c r="K13" i="11"/>
  <c r="L13" i="11" s="1"/>
  <c r="N13" i="11" s="1"/>
  <c r="K12" i="11"/>
  <c r="L12" i="11" s="1"/>
  <c r="N12" i="11" s="1"/>
  <c r="K11" i="11"/>
  <c r="L11" i="11" s="1"/>
  <c r="N11" i="11" s="1"/>
  <c r="V22" i="11" l="1"/>
  <c r="W22" i="11" s="1"/>
  <c r="V20" i="11"/>
  <c r="W20" i="11" s="1"/>
  <c r="V23" i="11"/>
  <c r="W23" i="11" s="1"/>
  <c r="V21" i="11"/>
  <c r="W21" i="11" s="1"/>
  <c r="V19" i="11"/>
  <c r="W19" i="11" s="1"/>
  <c r="X14" i="11"/>
  <c r="V14" i="11" l="1"/>
  <c r="W14" i="11" s="1"/>
  <c r="E20" i="14" l="1"/>
  <c r="D20" i="14"/>
  <c r="C20" i="14"/>
  <c r="E18" i="14"/>
  <c r="D18" i="14"/>
  <c r="C18" i="14"/>
  <c r="B18" i="14"/>
  <c r="E17" i="14"/>
  <c r="D17" i="14"/>
  <c r="C17" i="14"/>
  <c r="B17" i="14"/>
  <c r="E16" i="14"/>
  <c r="D16" i="14"/>
  <c r="C16" i="14"/>
  <c r="B16" i="14"/>
  <c r="E12" i="14"/>
  <c r="D12" i="14"/>
  <c r="C12" i="14"/>
  <c r="B12" i="14"/>
  <c r="E11" i="14"/>
  <c r="D11" i="14"/>
  <c r="C11" i="14"/>
  <c r="B11" i="14"/>
  <c r="E8" i="14"/>
  <c r="D8" i="14"/>
  <c r="C8" i="14"/>
  <c r="B8" i="14"/>
  <c r="E7" i="14"/>
  <c r="D7" i="14"/>
  <c r="C7" i="14"/>
  <c r="B7" i="14"/>
  <c r="E20" i="12"/>
  <c r="D20" i="12"/>
  <c r="C20" i="12"/>
  <c r="E18" i="12"/>
  <c r="D18" i="12"/>
  <c r="C18" i="12"/>
  <c r="B18" i="12"/>
  <c r="E17" i="12"/>
  <c r="D17" i="12"/>
  <c r="C17" i="12"/>
  <c r="B17" i="12"/>
  <c r="E16" i="12"/>
  <c r="D16" i="12"/>
  <c r="C16" i="12"/>
  <c r="B16" i="12"/>
  <c r="E12" i="12"/>
  <c r="D12" i="12"/>
  <c r="C12" i="12"/>
  <c r="B12" i="12"/>
  <c r="E11" i="12"/>
  <c r="D11" i="12"/>
  <c r="C11" i="12"/>
  <c r="B11" i="12"/>
  <c r="E8" i="12"/>
  <c r="D8" i="12"/>
  <c r="C8" i="12"/>
  <c r="B8" i="12"/>
  <c r="E7" i="12"/>
  <c r="D7" i="12"/>
  <c r="C7" i="12"/>
  <c r="B7" i="12"/>
  <c r="A143" i="8"/>
  <c r="A94" i="8"/>
  <c r="A48" i="8"/>
  <c r="A39" i="8"/>
  <c r="C29" i="8"/>
  <c r="C28" i="8"/>
  <c r="C27" i="8"/>
  <c r="C23" i="8"/>
  <c r="C22" i="8"/>
  <c r="C19" i="8"/>
  <c r="C18" i="8"/>
  <c r="A5" i="8"/>
  <c r="A143" i="7"/>
  <c r="A94" i="7"/>
  <c r="A48" i="7"/>
  <c r="A39" i="7"/>
  <c r="C29" i="7"/>
  <c r="C28" i="7"/>
  <c r="C27" i="7"/>
  <c r="C23" i="7"/>
  <c r="C22" i="7"/>
  <c r="C19" i="7"/>
  <c r="C18" i="7"/>
  <c r="A5" i="7"/>
  <c r="A146" i="6"/>
  <c r="A97" i="6"/>
  <c r="A51" i="6"/>
  <c r="A42" i="6"/>
  <c r="C32" i="6"/>
  <c r="C31" i="6"/>
  <c r="C30" i="6"/>
  <c r="C26" i="6"/>
  <c r="C25" i="6"/>
  <c r="C22" i="6"/>
  <c r="C21" i="6"/>
  <c r="A5" i="6"/>
  <c r="A5" i="5"/>
  <c r="K50" i="1"/>
  <c r="H50" i="1"/>
  <c r="E50" i="1"/>
  <c r="D50" i="1"/>
  <c r="C50" i="1"/>
  <c r="K49" i="1"/>
  <c r="H49" i="1"/>
  <c r="E49" i="1"/>
  <c r="D49" i="1"/>
  <c r="C49" i="1"/>
  <c r="K48" i="1"/>
  <c r="H48" i="1"/>
  <c r="E48" i="1"/>
  <c r="D48" i="1"/>
  <c r="C48" i="1"/>
  <c r="K38" i="1"/>
  <c r="H38" i="1"/>
  <c r="E38" i="1"/>
  <c r="D38" i="1"/>
  <c r="C38" i="1"/>
  <c r="M37" i="1"/>
  <c r="K37" i="1"/>
  <c r="J37" i="1"/>
  <c r="H37" i="1"/>
  <c r="G37" i="1"/>
  <c r="E37" i="1"/>
  <c r="D37" i="1"/>
  <c r="C37" i="1"/>
  <c r="K36" i="1"/>
  <c r="H36" i="1"/>
  <c r="E36" i="1"/>
  <c r="D36" i="1"/>
  <c r="C36" i="1"/>
  <c r="M32" i="1"/>
  <c r="J32" i="1"/>
  <c r="G32" i="1"/>
  <c r="C32" i="1"/>
  <c r="M31" i="1"/>
  <c r="J31" i="1"/>
  <c r="G31" i="1"/>
  <c r="C31" i="1"/>
  <c r="M30" i="1"/>
  <c r="J30" i="1"/>
  <c r="G30" i="1"/>
  <c r="C30" i="1"/>
  <c r="K29" i="1"/>
  <c r="H29" i="1"/>
  <c r="E29" i="1"/>
  <c r="D29" i="1"/>
  <c r="K28" i="1"/>
  <c r="H28" i="1"/>
  <c r="E28" i="1"/>
  <c r="D28" i="1"/>
  <c r="K27" i="1"/>
  <c r="H27" i="1"/>
  <c r="E27" i="1"/>
  <c r="D27" i="1"/>
  <c r="M26" i="1"/>
  <c r="K26" i="1"/>
  <c r="J26" i="1"/>
  <c r="H26" i="1"/>
  <c r="G26" i="1"/>
  <c r="E26" i="1"/>
  <c r="D26" i="1"/>
  <c r="C26" i="1"/>
  <c r="M25" i="1"/>
  <c r="K25" i="1"/>
  <c r="J25" i="1"/>
  <c r="H25" i="1"/>
  <c r="G25" i="1"/>
  <c r="E25" i="1"/>
  <c r="D25" i="1"/>
  <c r="C25" i="1"/>
  <c r="K24" i="1"/>
  <c r="H24" i="1"/>
  <c r="E24" i="1"/>
  <c r="D24" i="1"/>
  <c r="K23" i="1"/>
  <c r="H23" i="1"/>
  <c r="E23" i="1"/>
  <c r="D23" i="1"/>
  <c r="M22" i="1"/>
  <c r="K22" i="1"/>
  <c r="J22" i="1"/>
  <c r="H22" i="1"/>
  <c r="G22" i="1"/>
  <c r="E22" i="1"/>
  <c r="D22" i="1"/>
  <c r="C22" i="1"/>
  <c r="M21" i="1"/>
  <c r="K21" i="1"/>
  <c r="J21" i="1"/>
  <c r="H21" i="1"/>
  <c r="G21" i="1"/>
  <c r="E21" i="1"/>
  <c r="D21" i="1"/>
  <c r="C21" i="1"/>
  <c r="K20" i="1"/>
  <c r="H20" i="1"/>
  <c r="E20" i="1"/>
  <c r="D20" i="1"/>
  <c r="K19" i="1"/>
  <c r="H19" i="1"/>
  <c r="E19" i="1"/>
  <c r="D19" i="1"/>
  <c r="K18" i="1"/>
  <c r="H18" i="1"/>
  <c r="E18" i="1"/>
  <c r="D18" i="1"/>
  <c r="K17" i="1"/>
  <c r="H17" i="1"/>
  <c r="E17" i="1"/>
  <c r="D17" i="1"/>
  <c r="A6" i="1"/>
  <c r="A5" i="1"/>
  <c r="A3" i="3"/>
  <c r="A2" i="3"/>
  <c r="O31" i="1" l="1"/>
  <c r="S31" i="1"/>
  <c r="X31" i="1"/>
  <c r="Y31" i="1"/>
  <c r="AA31" i="1" s="1"/>
  <c r="T31" i="1"/>
  <c r="P31" i="1"/>
  <c r="P21" i="1"/>
  <c r="Q21" i="1" s="1"/>
  <c r="S21" i="1"/>
  <c r="T21" i="1"/>
  <c r="Y21" i="1"/>
  <c r="O21" i="1"/>
  <c r="X21" i="1"/>
  <c r="S22" i="1"/>
  <c r="O22" i="1"/>
  <c r="X22" i="1"/>
  <c r="T22" i="1"/>
  <c r="Y22" i="1"/>
  <c r="AA22" i="1" s="1"/>
  <c r="P22" i="1"/>
  <c r="S30" i="1"/>
  <c r="O30" i="1"/>
  <c r="P30" i="1"/>
  <c r="T30" i="1"/>
  <c r="V30" i="1" s="1"/>
  <c r="Y30" i="1"/>
  <c r="X30" i="1"/>
  <c r="X25" i="1"/>
  <c r="P25" i="1"/>
  <c r="S25" i="1"/>
  <c r="O25" i="1"/>
  <c r="T25" i="1"/>
  <c r="Y25" i="1"/>
  <c r="T26" i="1"/>
  <c r="Y26" i="1"/>
  <c r="X26" i="1"/>
  <c r="P26" i="1"/>
  <c r="S26" i="1"/>
  <c r="O26" i="1"/>
  <c r="X32" i="1"/>
  <c r="Y32" i="1"/>
  <c r="O32" i="1"/>
  <c r="S32" i="1"/>
  <c r="T32" i="1"/>
  <c r="P32" i="1"/>
  <c r="L62" i="14"/>
  <c r="K62" i="14"/>
  <c r="J62" i="14"/>
  <c r="J59" i="14"/>
  <c r="L50" i="14"/>
  <c r="K50" i="14"/>
  <c r="J50" i="14"/>
  <c r="J47" i="14"/>
  <c r="B39" i="14"/>
  <c r="E39" i="14" s="1"/>
  <c r="L27" i="14"/>
  <c r="L31" i="14" s="1"/>
  <c r="K27" i="14"/>
  <c r="K31" i="14" s="1"/>
  <c r="K33" i="14" s="1"/>
  <c r="J27" i="14"/>
  <c r="J31" i="14" s="1"/>
  <c r="J33" i="14" s="1"/>
  <c r="G20" i="14"/>
  <c r="G18" i="14"/>
  <c r="J17" i="14"/>
  <c r="J18" i="14" s="1"/>
  <c r="G17" i="14"/>
  <c r="G16" i="14"/>
  <c r="G12" i="14"/>
  <c r="G11" i="14"/>
  <c r="B38" i="14"/>
  <c r="E38" i="14" s="1"/>
  <c r="G8" i="14"/>
  <c r="B35" i="14"/>
  <c r="G7" i="14"/>
  <c r="B34" i="14"/>
  <c r="L62" i="12"/>
  <c r="K62" i="12"/>
  <c r="J62" i="12"/>
  <c r="J59" i="12"/>
  <c r="L50" i="12"/>
  <c r="K50" i="12"/>
  <c r="J50" i="12"/>
  <c r="J47" i="12"/>
  <c r="L31" i="12"/>
  <c r="L33" i="12" s="1"/>
  <c r="L27" i="12"/>
  <c r="K27" i="12"/>
  <c r="K31" i="12" s="1"/>
  <c r="K33" i="12" s="1"/>
  <c r="J27" i="12"/>
  <c r="J31" i="12" s="1"/>
  <c r="J33" i="12" s="1"/>
  <c r="G20" i="12"/>
  <c r="G18" i="12"/>
  <c r="J17" i="12"/>
  <c r="J18" i="12" s="1"/>
  <c r="G17" i="12"/>
  <c r="G16" i="12"/>
  <c r="G12" i="12"/>
  <c r="B39" i="12"/>
  <c r="D39" i="12" s="1"/>
  <c r="G11" i="12"/>
  <c r="B38" i="12"/>
  <c r="G8" i="12"/>
  <c r="B35" i="12"/>
  <c r="G7" i="12"/>
  <c r="B34" i="12"/>
  <c r="D34" i="12" s="1"/>
  <c r="T68" i="10"/>
  <c r="S68" i="10"/>
  <c r="R68" i="10"/>
  <c r="Q68" i="10"/>
  <c r="P68" i="10"/>
  <c r="O68" i="10"/>
  <c r="T67" i="10"/>
  <c r="S67" i="10"/>
  <c r="R67" i="10"/>
  <c r="Q67" i="10"/>
  <c r="P67" i="10"/>
  <c r="O67" i="10"/>
  <c r="T66" i="10"/>
  <c r="S66" i="10"/>
  <c r="R66" i="10"/>
  <c r="Q66" i="10"/>
  <c r="P66" i="10"/>
  <c r="O66" i="10"/>
  <c r="T65" i="10"/>
  <c r="S65" i="10"/>
  <c r="R65" i="10"/>
  <c r="Q65" i="10"/>
  <c r="P65" i="10"/>
  <c r="O65" i="10"/>
  <c r="T64" i="10"/>
  <c r="S64" i="10"/>
  <c r="R64" i="10"/>
  <c r="Q64" i="10"/>
  <c r="P64" i="10"/>
  <c r="O64" i="10"/>
  <c r="T63" i="10"/>
  <c r="S63" i="10"/>
  <c r="R63" i="10"/>
  <c r="Q63" i="10"/>
  <c r="P63" i="10"/>
  <c r="O63" i="10"/>
  <c r="T62" i="10"/>
  <c r="S62" i="10"/>
  <c r="R62" i="10"/>
  <c r="Q62" i="10"/>
  <c r="P62" i="10"/>
  <c r="O62" i="10"/>
  <c r="T61" i="10"/>
  <c r="S61" i="10"/>
  <c r="R61" i="10"/>
  <c r="Q61" i="10"/>
  <c r="P61" i="10"/>
  <c r="O61" i="10"/>
  <c r="T60" i="10"/>
  <c r="S60" i="10"/>
  <c r="R60" i="10"/>
  <c r="Q60" i="10"/>
  <c r="P60" i="10"/>
  <c r="O60" i="10"/>
  <c r="T59" i="10"/>
  <c r="S59" i="10"/>
  <c r="R59" i="10"/>
  <c r="Q59" i="10"/>
  <c r="P59" i="10"/>
  <c r="O59" i="10"/>
  <c r="T58" i="10"/>
  <c r="S58" i="10"/>
  <c r="R58" i="10"/>
  <c r="Q58" i="10"/>
  <c r="P58" i="10"/>
  <c r="O58" i="10"/>
  <c r="T57" i="10"/>
  <c r="S57" i="10"/>
  <c r="R57" i="10"/>
  <c r="Q57" i="10"/>
  <c r="P57" i="10"/>
  <c r="O57" i="10"/>
  <c r="T56" i="10"/>
  <c r="S56" i="10"/>
  <c r="R56" i="10"/>
  <c r="Q56" i="10"/>
  <c r="P56" i="10"/>
  <c r="O56" i="10"/>
  <c r="T55" i="10"/>
  <c r="S55" i="10"/>
  <c r="R55" i="10"/>
  <c r="Q55" i="10"/>
  <c r="P55" i="10"/>
  <c r="O55" i="10"/>
  <c r="T54" i="10"/>
  <c r="S54" i="10"/>
  <c r="R54" i="10"/>
  <c r="Q54" i="10"/>
  <c r="P54" i="10"/>
  <c r="O54" i="10"/>
  <c r="T53" i="10"/>
  <c r="S53" i="10"/>
  <c r="R53" i="10"/>
  <c r="Q53" i="10"/>
  <c r="P53" i="10"/>
  <c r="O53" i="10"/>
  <c r="T52" i="10"/>
  <c r="S52" i="10"/>
  <c r="R52" i="10"/>
  <c r="Q52" i="10"/>
  <c r="P52" i="10"/>
  <c r="O52" i="10"/>
  <c r="T51" i="10"/>
  <c r="S51" i="10"/>
  <c r="R51" i="10"/>
  <c r="Q51" i="10"/>
  <c r="P51" i="10"/>
  <c r="O51" i="10"/>
  <c r="T50" i="10"/>
  <c r="S50" i="10"/>
  <c r="R50" i="10"/>
  <c r="Q50" i="10"/>
  <c r="P50" i="10"/>
  <c r="O50" i="10"/>
  <c r="T49" i="10"/>
  <c r="S49" i="10"/>
  <c r="R49" i="10"/>
  <c r="Q49" i="10"/>
  <c r="P49" i="10"/>
  <c r="O49" i="10"/>
  <c r="T48" i="10"/>
  <c r="S48" i="10"/>
  <c r="R48" i="10"/>
  <c r="Q48" i="10"/>
  <c r="P48" i="10"/>
  <c r="O48" i="10"/>
  <c r="D92" i="4"/>
  <c r="F90" i="4"/>
  <c r="F89" i="4"/>
  <c r="F88" i="4"/>
  <c r="F87" i="4"/>
  <c r="F86" i="4"/>
  <c r="F85" i="4"/>
  <c r="F84" i="4"/>
  <c r="F83" i="4"/>
  <c r="F82" i="4"/>
  <c r="F81" i="4"/>
  <c r="F80" i="4"/>
  <c r="F79" i="4"/>
  <c r="F78" i="4"/>
  <c r="F77" i="4"/>
  <c r="F76" i="4"/>
  <c r="F75" i="4"/>
  <c r="M67" i="4"/>
  <c r="L67" i="4"/>
  <c r="K67" i="4"/>
  <c r="D67" i="4"/>
  <c r="F65" i="4"/>
  <c r="P64" i="4"/>
  <c r="O64" i="4"/>
  <c r="E43" i="4" s="1"/>
  <c r="N64" i="4"/>
  <c r="D43" i="4" s="1"/>
  <c r="F64" i="4"/>
  <c r="C25" i="4" s="1"/>
  <c r="P63" i="4"/>
  <c r="F42" i="4" s="1"/>
  <c r="O63" i="4"/>
  <c r="N63" i="4"/>
  <c r="D42" i="4" s="1"/>
  <c r="F63" i="4"/>
  <c r="C23" i="4" s="1"/>
  <c r="P62" i="4"/>
  <c r="F41" i="4" s="1"/>
  <c r="O62" i="4"/>
  <c r="E41" i="4" s="1"/>
  <c r="N62" i="4"/>
  <c r="F62" i="4"/>
  <c r="C22" i="4" s="1"/>
  <c r="P61" i="4"/>
  <c r="F40" i="4" s="1"/>
  <c r="O61" i="4"/>
  <c r="N61" i="4"/>
  <c r="D40" i="4" s="1"/>
  <c r="F61" i="4"/>
  <c r="C28" i="4" s="1"/>
  <c r="P60" i="4"/>
  <c r="F38" i="4" s="1"/>
  <c r="O60" i="4"/>
  <c r="E38" i="4" s="1"/>
  <c r="N60" i="4"/>
  <c r="D38" i="4" s="1"/>
  <c r="F60" i="4"/>
  <c r="P59" i="4"/>
  <c r="O59" i="4"/>
  <c r="N59" i="4"/>
  <c r="F59" i="4"/>
  <c r="P58" i="4"/>
  <c r="F34" i="4" s="1"/>
  <c r="O58" i="4"/>
  <c r="E34" i="4" s="1"/>
  <c r="N58" i="4"/>
  <c r="D34" i="4" s="1"/>
  <c r="F58" i="4"/>
  <c r="P57" i="4"/>
  <c r="F33" i="4" s="1"/>
  <c r="O57" i="4"/>
  <c r="N57" i="4"/>
  <c r="D33" i="4" s="1"/>
  <c r="F57" i="4"/>
  <c r="P56" i="4"/>
  <c r="F32" i="4" s="1"/>
  <c r="O56" i="4"/>
  <c r="N56" i="4"/>
  <c r="D32" i="4" s="1"/>
  <c r="F56" i="4"/>
  <c r="C29" i="4" s="1"/>
  <c r="P55" i="4"/>
  <c r="F29" i="4" s="1"/>
  <c r="O55" i="4"/>
  <c r="E29" i="4" s="1"/>
  <c r="N55" i="4"/>
  <c r="D29" i="4" s="1"/>
  <c r="F55" i="4"/>
  <c r="C34" i="4" s="1"/>
  <c r="P54" i="4"/>
  <c r="F28" i="4" s="1"/>
  <c r="O54" i="4"/>
  <c r="E28" i="4" s="1"/>
  <c r="N54" i="4"/>
  <c r="D28" i="4" s="1"/>
  <c r="F54" i="4"/>
  <c r="C33" i="4" s="1"/>
  <c r="P53" i="4"/>
  <c r="F25" i="4" s="1"/>
  <c r="O53" i="4"/>
  <c r="N53" i="4"/>
  <c r="D25" i="4" s="1"/>
  <c r="F53" i="4"/>
  <c r="P52" i="4"/>
  <c r="F24" i="4" s="1"/>
  <c r="O52" i="4"/>
  <c r="N52" i="4"/>
  <c r="D24" i="4" s="1"/>
  <c r="F52" i="4"/>
  <c r="P51" i="4"/>
  <c r="F23" i="4" s="1"/>
  <c r="O51" i="4"/>
  <c r="N51" i="4"/>
  <c r="D23" i="4" s="1"/>
  <c r="F51" i="4"/>
  <c r="F67" i="4" s="1"/>
  <c r="P50" i="4"/>
  <c r="O50" i="4"/>
  <c r="E22" i="4" s="1"/>
  <c r="N50" i="4"/>
  <c r="N67" i="4" s="1"/>
  <c r="F50" i="4"/>
  <c r="F43" i="4"/>
  <c r="E42" i="4"/>
  <c r="D41" i="4"/>
  <c r="E40" i="4"/>
  <c r="E33" i="4"/>
  <c r="E32" i="4"/>
  <c r="C32" i="4"/>
  <c r="E25" i="4"/>
  <c r="E24" i="4"/>
  <c r="C24" i="4"/>
  <c r="E23" i="4"/>
  <c r="B5" i="4"/>
  <c r="B3" i="4"/>
  <c r="V32" i="1"/>
  <c r="Q32" i="1"/>
  <c r="AA30" i="1"/>
  <c r="AA25" i="1" l="1"/>
  <c r="D20" i="5"/>
  <c r="C18" i="1"/>
  <c r="C15" i="7"/>
  <c r="B4" i="12"/>
  <c r="J66" i="12" s="1"/>
  <c r="C15" i="8"/>
  <c r="B4" i="14"/>
  <c r="J66" i="14" s="1"/>
  <c r="C18" i="6"/>
  <c r="C25" i="8"/>
  <c r="C54" i="8" s="1"/>
  <c r="E85" i="8" s="1"/>
  <c r="C28" i="1"/>
  <c r="C28" i="6"/>
  <c r="C57" i="6" s="1"/>
  <c r="B14" i="12"/>
  <c r="C25" i="7"/>
  <c r="B14" i="14"/>
  <c r="C24" i="1"/>
  <c r="C21" i="8"/>
  <c r="B10" i="12"/>
  <c r="B37" i="12" s="1"/>
  <c r="C24" i="6"/>
  <c r="C21" i="7"/>
  <c r="B10" i="14"/>
  <c r="B37" i="14" s="1"/>
  <c r="C45" i="4"/>
  <c r="C17" i="1"/>
  <c r="B3" i="14"/>
  <c r="J36" i="14" s="1"/>
  <c r="B3" i="12"/>
  <c r="J36" i="12" s="1"/>
  <c r="C14" i="8"/>
  <c r="D19" i="5"/>
  <c r="C14" i="7"/>
  <c r="C17" i="6"/>
  <c r="C17" i="8"/>
  <c r="C20" i="1"/>
  <c r="C20" i="6"/>
  <c r="B6" i="12"/>
  <c r="B33" i="12" s="1"/>
  <c r="C17" i="7"/>
  <c r="C31" i="7" s="1"/>
  <c r="B6" i="14"/>
  <c r="B33" i="14" s="1"/>
  <c r="C19" i="14"/>
  <c r="G36" i="1"/>
  <c r="C19" i="12"/>
  <c r="C24" i="14"/>
  <c r="C24" i="12"/>
  <c r="G50" i="1"/>
  <c r="D3" i="12"/>
  <c r="D3" i="14"/>
  <c r="J17" i="1"/>
  <c r="D9" i="12"/>
  <c r="J23" i="1"/>
  <c r="D9" i="14"/>
  <c r="D15" i="12"/>
  <c r="J29" i="1"/>
  <c r="D15" i="14"/>
  <c r="D19" i="14"/>
  <c r="K79" i="14" s="1"/>
  <c r="K82" i="14" s="1"/>
  <c r="J36" i="1"/>
  <c r="D19" i="12"/>
  <c r="K79" i="12" s="1"/>
  <c r="K82" i="12" s="1"/>
  <c r="D15" i="5"/>
  <c r="D32" i="5" s="1"/>
  <c r="J41" i="1"/>
  <c r="J50" i="1"/>
  <c r="D24" i="14"/>
  <c r="D24" i="12"/>
  <c r="C19" i="1"/>
  <c r="B5" i="14"/>
  <c r="B32" i="14" s="1"/>
  <c r="C16" i="8"/>
  <c r="B5" i="12"/>
  <c r="B32" i="12" s="1"/>
  <c r="C16" i="7"/>
  <c r="C19" i="6"/>
  <c r="E19" i="12"/>
  <c r="L79" i="12" s="1"/>
  <c r="L82" i="12" s="1"/>
  <c r="E15" i="5"/>
  <c r="E32" i="5" s="1"/>
  <c r="E19" i="14"/>
  <c r="L79" i="14" s="1"/>
  <c r="L82" i="14" s="1"/>
  <c r="M36" i="1"/>
  <c r="E4" i="14"/>
  <c r="M18" i="1"/>
  <c r="E4" i="12"/>
  <c r="E6" i="14"/>
  <c r="M20" i="1"/>
  <c r="E6" i="12"/>
  <c r="E33" i="12" s="1"/>
  <c r="E14" i="14"/>
  <c r="M28" i="1"/>
  <c r="E14" i="12"/>
  <c r="E21" i="14"/>
  <c r="E21" i="12"/>
  <c r="C36" i="8"/>
  <c r="C63" i="8" s="1"/>
  <c r="E69" i="8" s="1"/>
  <c r="M38" i="1"/>
  <c r="M49" i="1"/>
  <c r="M40" i="1"/>
  <c r="E23" i="14"/>
  <c r="E23" i="12"/>
  <c r="D5" i="12"/>
  <c r="D5" i="14"/>
  <c r="J19" i="1"/>
  <c r="D13" i="12"/>
  <c r="J27" i="1"/>
  <c r="D13" i="14"/>
  <c r="J38" i="1"/>
  <c r="D21" i="14"/>
  <c r="D21" i="12"/>
  <c r="C36" i="7"/>
  <c r="A144" i="6"/>
  <c r="A3" i="6"/>
  <c r="A46" i="8"/>
  <c r="A92" i="7"/>
  <c r="A46" i="7"/>
  <c r="A95" i="6"/>
  <c r="A92" i="8"/>
  <c r="A141" i="7"/>
  <c r="A3" i="7"/>
  <c r="A3" i="5"/>
  <c r="A3" i="8"/>
  <c r="A141" i="8"/>
  <c r="A49" i="6"/>
  <c r="A3" i="1"/>
  <c r="C22" i="14"/>
  <c r="C22" i="12"/>
  <c r="G48" i="1"/>
  <c r="C5" i="14"/>
  <c r="G5" i="14" s="1"/>
  <c r="C32" i="14" s="1"/>
  <c r="C5" i="12"/>
  <c r="G5" i="12" s="1"/>
  <c r="C32" i="12" s="1"/>
  <c r="G19" i="1"/>
  <c r="C9" i="14"/>
  <c r="G9" i="14" s="1"/>
  <c r="C9" i="12"/>
  <c r="G9" i="12" s="1"/>
  <c r="G23" i="1"/>
  <c r="C13" i="14"/>
  <c r="G13" i="14" s="1"/>
  <c r="C13" i="12"/>
  <c r="G13" i="12" s="1"/>
  <c r="G27" i="1"/>
  <c r="C15" i="14"/>
  <c r="G15" i="14" s="1"/>
  <c r="C15" i="12"/>
  <c r="G15" i="12" s="1"/>
  <c r="G29" i="1"/>
  <c r="D6" i="14"/>
  <c r="D6" i="12"/>
  <c r="J20" i="1"/>
  <c r="D14" i="14"/>
  <c r="J28" i="1"/>
  <c r="D14" i="12"/>
  <c r="J48" i="1"/>
  <c r="D22" i="12"/>
  <c r="D22" i="14"/>
  <c r="J39" i="1"/>
  <c r="C23" i="6"/>
  <c r="C23" i="1"/>
  <c r="B9" i="14"/>
  <c r="B36" i="14" s="1"/>
  <c r="D36" i="14" s="1"/>
  <c r="B9" i="12"/>
  <c r="B36" i="12" s="1"/>
  <c r="C36" i="12" s="1"/>
  <c r="C20" i="7"/>
  <c r="C20" i="8"/>
  <c r="C29" i="1"/>
  <c r="C29" i="6"/>
  <c r="C58" i="6" s="1"/>
  <c r="C89" i="6" s="1"/>
  <c r="B15" i="14"/>
  <c r="C26" i="7"/>
  <c r="C55" i="7" s="1"/>
  <c r="E86" i="7" s="1"/>
  <c r="B15" i="12"/>
  <c r="C26" i="8"/>
  <c r="C55" i="8" s="1"/>
  <c r="E22" i="12"/>
  <c r="M48" i="1"/>
  <c r="M39" i="1"/>
  <c r="E22" i="14"/>
  <c r="P67" i="4"/>
  <c r="E5" i="12"/>
  <c r="M19" i="1"/>
  <c r="E5" i="14"/>
  <c r="E32" i="14" s="1"/>
  <c r="E9" i="12"/>
  <c r="M23" i="1"/>
  <c r="E9" i="14"/>
  <c r="E13" i="12"/>
  <c r="M27" i="1"/>
  <c r="E13" i="14"/>
  <c r="E15" i="12"/>
  <c r="M29" i="1"/>
  <c r="E15" i="14"/>
  <c r="F92" i="4"/>
  <c r="J49" i="1"/>
  <c r="J40" i="1"/>
  <c r="D23" i="14"/>
  <c r="D23" i="12"/>
  <c r="C4" i="14"/>
  <c r="G4" i="14" s="1"/>
  <c r="C4" i="12"/>
  <c r="G4" i="12" s="1"/>
  <c r="G18" i="1"/>
  <c r="C6" i="14"/>
  <c r="G6" i="14" s="1"/>
  <c r="C33" i="14" s="1"/>
  <c r="C6" i="12"/>
  <c r="G6" i="12" s="1"/>
  <c r="C33" i="12" s="1"/>
  <c r="G20" i="1"/>
  <c r="C10" i="14"/>
  <c r="G10" i="14" s="1"/>
  <c r="C37" i="14" s="1"/>
  <c r="G24" i="1"/>
  <c r="C10" i="12"/>
  <c r="G10" i="12" s="1"/>
  <c r="C14" i="14"/>
  <c r="G14" i="14" s="1"/>
  <c r="G28" i="1"/>
  <c r="C14" i="12"/>
  <c r="G14" i="12" s="1"/>
  <c r="G38" i="1"/>
  <c r="C21" i="14"/>
  <c r="G21" i="14" s="1"/>
  <c r="C14" i="6"/>
  <c r="E39" i="6" s="1"/>
  <c r="C21" i="12"/>
  <c r="G21" i="12" s="1"/>
  <c r="G49" i="1"/>
  <c r="C23" i="12"/>
  <c r="C23" i="14"/>
  <c r="C24" i="8"/>
  <c r="C53" i="8" s="1"/>
  <c r="B13" i="14"/>
  <c r="C27" i="1"/>
  <c r="B13" i="12"/>
  <c r="C24" i="7"/>
  <c r="C53" i="7" s="1"/>
  <c r="C27" i="6"/>
  <c r="C56" i="6" s="1"/>
  <c r="E24" i="14"/>
  <c r="M50" i="1"/>
  <c r="M41" i="1"/>
  <c r="E24" i="12"/>
  <c r="E10" i="14"/>
  <c r="M24" i="1"/>
  <c r="E10" i="12"/>
  <c r="E45" i="4"/>
  <c r="D4" i="14"/>
  <c r="K69" i="14" s="1"/>
  <c r="J18" i="1"/>
  <c r="D4" i="12"/>
  <c r="D10" i="14"/>
  <c r="J24" i="1"/>
  <c r="D10" i="12"/>
  <c r="O67" i="4"/>
  <c r="C39" i="14"/>
  <c r="V22" i="1"/>
  <c r="V21" i="1"/>
  <c r="C34" i="12"/>
  <c r="C39" i="12"/>
  <c r="Q31" i="1"/>
  <c r="AA21" i="1"/>
  <c r="Q25" i="1"/>
  <c r="V26" i="1"/>
  <c r="C54" i="7"/>
  <c r="C85" i="7" s="1"/>
  <c r="E32" i="12"/>
  <c r="E39" i="12"/>
  <c r="D37" i="14"/>
  <c r="D39" i="14"/>
  <c r="Q22" i="1"/>
  <c r="V25" i="1"/>
  <c r="AA26" i="1"/>
  <c r="E34" i="12"/>
  <c r="D32" i="14"/>
  <c r="C34" i="14"/>
  <c r="D34" i="14"/>
  <c r="C38" i="14"/>
  <c r="Q30" i="1"/>
  <c r="C156" i="8"/>
  <c r="E34" i="14"/>
  <c r="D38" i="14"/>
  <c r="C35" i="14"/>
  <c r="L73" i="14"/>
  <c r="K73" i="14"/>
  <c r="D35" i="14"/>
  <c r="E35" i="14"/>
  <c r="B31" i="14"/>
  <c r="L33" i="14"/>
  <c r="B30" i="14"/>
  <c r="D25" i="14"/>
  <c r="D38" i="12"/>
  <c r="C35" i="12"/>
  <c r="E38" i="12"/>
  <c r="D35" i="12"/>
  <c r="C38" i="12"/>
  <c r="E35" i="12"/>
  <c r="D33" i="12"/>
  <c r="K69" i="12"/>
  <c r="J15" i="12"/>
  <c r="J9" i="12"/>
  <c r="J2" i="12"/>
  <c r="J42" i="12"/>
  <c r="J53" i="12"/>
  <c r="D148" i="8"/>
  <c r="E84" i="8"/>
  <c r="C84" i="8"/>
  <c r="C86" i="7"/>
  <c r="D153" i="6"/>
  <c r="E89" i="6"/>
  <c r="E88" i="6"/>
  <c r="D152" i="6"/>
  <c r="C88" i="6"/>
  <c r="C39" i="6"/>
  <c r="D22" i="4"/>
  <c r="F22" i="4"/>
  <c r="Q26" i="1"/>
  <c r="V31" i="1"/>
  <c r="AA32" i="1"/>
  <c r="C59" i="6" l="1"/>
  <c r="C37" i="12"/>
  <c r="D33" i="14"/>
  <c r="C44" i="6"/>
  <c r="C68" i="6" s="1"/>
  <c r="C34" i="6"/>
  <c r="E33" i="14"/>
  <c r="C41" i="7"/>
  <c r="C65" i="7" s="1"/>
  <c r="D37" i="12"/>
  <c r="C41" i="8"/>
  <c r="D31" i="14"/>
  <c r="K44" i="14" s="1"/>
  <c r="K39" i="12"/>
  <c r="L69" i="14"/>
  <c r="D25" i="12"/>
  <c r="G4" i="13" s="1"/>
  <c r="E37" i="12"/>
  <c r="K73" i="12"/>
  <c r="E84" i="7"/>
  <c r="D148" i="7"/>
  <c r="C84" i="7"/>
  <c r="C56" i="8"/>
  <c r="D55" i="8" s="1"/>
  <c r="D150" i="8"/>
  <c r="C86" i="8"/>
  <c r="E86" i="8"/>
  <c r="X24" i="1"/>
  <c r="O24" i="1"/>
  <c r="S24" i="1"/>
  <c r="C69" i="8"/>
  <c r="C156" i="7"/>
  <c r="C63" i="7"/>
  <c r="C31" i="8"/>
  <c r="B25" i="14"/>
  <c r="D36" i="12"/>
  <c r="C36" i="14"/>
  <c r="S27" i="1"/>
  <c r="R17" i="11" s="1"/>
  <c r="Y17" i="11" s="1"/>
  <c r="X27" i="1"/>
  <c r="Q17" i="11" s="1"/>
  <c r="X17" i="11" s="1"/>
  <c r="O27" i="1"/>
  <c r="P17" i="11" s="1"/>
  <c r="V17" i="11" s="1"/>
  <c r="W17" i="11" s="1"/>
  <c r="L73" i="12"/>
  <c r="K39" i="14"/>
  <c r="D45" i="4"/>
  <c r="C3" i="14"/>
  <c r="C3" i="12"/>
  <c r="G17" i="1"/>
  <c r="O17" i="1" s="1"/>
  <c r="B25" i="12"/>
  <c r="S23" i="1"/>
  <c r="O23" i="1"/>
  <c r="X23" i="1"/>
  <c r="C85" i="8"/>
  <c r="C99" i="8" s="1"/>
  <c r="J9" i="14"/>
  <c r="L12" i="14" s="1"/>
  <c r="X20" i="1"/>
  <c r="O20" i="1"/>
  <c r="S20" i="1"/>
  <c r="S17" i="1"/>
  <c r="D32" i="12"/>
  <c r="D150" i="7"/>
  <c r="B31" i="12"/>
  <c r="E31" i="12" s="1"/>
  <c r="J15" i="14"/>
  <c r="K20" i="14" s="1"/>
  <c r="E36" i="14"/>
  <c r="O29" i="1"/>
  <c r="P18" i="11" s="1"/>
  <c r="V18" i="11" s="1"/>
  <c r="W18" i="11" s="1"/>
  <c r="X29" i="1"/>
  <c r="Q18" i="11" s="1"/>
  <c r="X18" i="11" s="1"/>
  <c r="S29" i="1"/>
  <c r="R18" i="11" s="1"/>
  <c r="Y18" i="11" s="1"/>
  <c r="E37" i="14"/>
  <c r="L69" i="12"/>
  <c r="J53" i="14"/>
  <c r="K56" i="14" s="1"/>
  <c r="S18" i="1"/>
  <c r="O18" i="1"/>
  <c r="X18" i="1"/>
  <c r="F45" i="4"/>
  <c r="E3" i="12"/>
  <c r="E25" i="12" s="1"/>
  <c r="H4" i="13" s="1"/>
  <c r="M17" i="1"/>
  <c r="X17" i="1" s="1"/>
  <c r="E3" i="14"/>
  <c r="E25" i="14" s="1"/>
  <c r="D149" i="8"/>
  <c r="B30" i="12"/>
  <c r="B29" i="12" s="1"/>
  <c r="J42" i="14"/>
  <c r="J2" i="14"/>
  <c r="E36" i="12"/>
  <c r="X19" i="1"/>
  <c r="S19" i="1"/>
  <c r="O19" i="1"/>
  <c r="F26" i="5"/>
  <c r="D26" i="5"/>
  <c r="S28" i="1"/>
  <c r="X28" i="1"/>
  <c r="O28" i="1"/>
  <c r="D57" i="6"/>
  <c r="D58" i="6"/>
  <c r="L20" i="14"/>
  <c r="C56" i="7"/>
  <c r="C64" i="7" s="1"/>
  <c r="L75" i="12"/>
  <c r="D56" i="6"/>
  <c r="C87" i="6"/>
  <c r="C102" i="6" s="1"/>
  <c r="D151" i="6"/>
  <c r="E85" i="7"/>
  <c r="C31" i="12"/>
  <c r="J44" i="12" s="1"/>
  <c r="E87" i="6"/>
  <c r="D149" i="7"/>
  <c r="E31" i="14"/>
  <c r="L44" i="14" s="1"/>
  <c r="C65" i="8"/>
  <c r="D30" i="14"/>
  <c r="L75" i="14"/>
  <c r="L20" i="12"/>
  <c r="L44" i="12"/>
  <c r="K75" i="14"/>
  <c r="B29" i="14"/>
  <c r="L5" i="14"/>
  <c r="K5" i="14"/>
  <c r="J5" i="14"/>
  <c r="L56" i="14"/>
  <c r="C31" i="14"/>
  <c r="D30" i="12"/>
  <c r="K56" i="12"/>
  <c r="L56" i="12"/>
  <c r="J56" i="12"/>
  <c r="K12" i="12"/>
  <c r="J12" i="12"/>
  <c r="L12" i="12"/>
  <c r="K75" i="12"/>
  <c r="L5" i="12"/>
  <c r="K5" i="12"/>
  <c r="J5" i="12"/>
  <c r="C100" i="7"/>
  <c r="C99" i="7"/>
  <c r="C87" i="7"/>
  <c r="E100" i="7" s="1"/>
  <c r="C101" i="7"/>
  <c r="C109" i="8"/>
  <c r="A113" i="8" s="1"/>
  <c r="C104" i="6"/>
  <c r="C66" i="6"/>
  <c r="C159" i="6"/>
  <c r="C67" i="6"/>
  <c r="D59" i="6"/>
  <c r="C163" i="6"/>
  <c r="J56" i="14" l="1"/>
  <c r="D31" i="12"/>
  <c r="C103" i="6"/>
  <c r="C90" i="6"/>
  <c r="E104" i="6" s="1"/>
  <c r="C101" i="8"/>
  <c r="L39" i="12"/>
  <c r="K20" i="12"/>
  <c r="K86" i="12" s="1"/>
  <c r="C100" i="8"/>
  <c r="E33" i="5"/>
  <c r="E35" i="5" s="1"/>
  <c r="D33" i="5"/>
  <c r="D35" i="5" s="1"/>
  <c r="G3" i="12"/>
  <c r="C25" i="12"/>
  <c r="E69" i="7"/>
  <c r="C69" i="7"/>
  <c r="C109" i="7" s="1"/>
  <c r="A113" i="7" s="1"/>
  <c r="G3" i="14"/>
  <c r="C25" i="14"/>
  <c r="C160" i="7"/>
  <c r="D56" i="8"/>
  <c r="D53" i="8"/>
  <c r="C64" i="8"/>
  <c r="E66" i="8" s="1"/>
  <c r="K12" i="14"/>
  <c r="K86" i="14" s="1"/>
  <c r="C160" i="8"/>
  <c r="C87" i="8"/>
  <c r="E101" i="8" s="1"/>
  <c r="L39" i="14"/>
  <c r="L86" i="14" s="1"/>
  <c r="E30" i="14"/>
  <c r="J12" i="14"/>
  <c r="D54" i="8"/>
  <c r="D56" i="7"/>
  <c r="J20" i="12"/>
  <c r="E30" i="12"/>
  <c r="K44" i="12"/>
  <c r="D54" i="7"/>
  <c r="D53" i="7"/>
  <c r="D55" i="7"/>
  <c r="E99" i="7"/>
  <c r="E102" i="6"/>
  <c r="E103" i="6"/>
  <c r="L86" i="12"/>
  <c r="J44" i="14"/>
  <c r="J20" i="14"/>
  <c r="D117" i="8"/>
  <c r="C117" i="8"/>
  <c r="C102" i="7"/>
  <c r="C66" i="7"/>
  <c r="E66" i="7"/>
  <c r="C116" i="8"/>
  <c r="C102" i="8"/>
  <c r="D116" i="8"/>
  <c r="E99" i="8"/>
  <c r="D118" i="8"/>
  <c r="C118" i="8"/>
  <c r="D117" i="7"/>
  <c r="E101" i="7"/>
  <c r="E69" i="6"/>
  <c r="C69" i="6"/>
  <c r="C71" i="6"/>
  <c r="C111" i="6" s="1"/>
  <c r="E72" i="6"/>
  <c r="E71" i="6"/>
  <c r="C72" i="6"/>
  <c r="C105" i="6"/>
  <c r="E100" i="8" l="1"/>
  <c r="D118" i="7"/>
  <c r="C126" i="7"/>
  <c r="G25" i="12"/>
  <c r="F4" i="13" s="1"/>
  <c r="J39" i="12"/>
  <c r="J86" i="12" s="1"/>
  <c r="C30" i="12"/>
  <c r="U18" i="1"/>
  <c r="U17" i="1"/>
  <c r="Z18" i="1"/>
  <c r="Z17" i="1"/>
  <c r="G25" i="14"/>
  <c r="C30" i="14"/>
  <c r="J39" i="14"/>
  <c r="J86" i="14" s="1"/>
  <c r="F12" i="13" s="1"/>
  <c r="D116" i="7"/>
  <c r="C125" i="7"/>
  <c r="C66" i="8"/>
  <c r="E68" i="8" s="1"/>
  <c r="C127" i="7"/>
  <c r="L87" i="12"/>
  <c r="H10" i="13"/>
  <c r="L87" i="14"/>
  <c r="H12" i="13"/>
  <c r="K87" i="14"/>
  <c r="G12" i="13"/>
  <c r="K87" i="12"/>
  <c r="G10" i="13"/>
  <c r="C68" i="7"/>
  <c r="E68" i="7"/>
  <c r="C68" i="8"/>
  <c r="C112" i="6"/>
  <c r="C73" i="6"/>
  <c r="A125" i="6"/>
  <c r="C129" i="6"/>
  <c r="C130" i="6"/>
  <c r="C128" i="6"/>
  <c r="D129" i="6"/>
  <c r="D130" i="6"/>
  <c r="D128" i="6"/>
  <c r="J87" i="14" l="1"/>
  <c r="J87" i="12"/>
  <c r="F10" i="13"/>
  <c r="C108" i="8"/>
  <c r="C70" i="8"/>
  <c r="C108" i="7"/>
  <c r="C70" i="7"/>
  <c r="C110" i="6"/>
  <c r="C160" i="6"/>
  <c r="A116" i="6"/>
  <c r="D120" i="6"/>
  <c r="C119" i="6"/>
  <c r="C120" i="6"/>
  <c r="D119" i="6"/>
  <c r="D121" i="6"/>
  <c r="C121" i="6"/>
  <c r="C107" i="7" l="1"/>
  <c r="C157" i="7"/>
  <c r="A122" i="7"/>
  <c r="D127" i="7"/>
  <c r="D126" i="7"/>
  <c r="D125" i="7"/>
  <c r="C117" i="7"/>
  <c r="C118" i="7"/>
  <c r="C116" i="7"/>
  <c r="C107" i="8"/>
  <c r="C157" i="8"/>
  <c r="A122" i="8"/>
  <c r="C127" i="8"/>
  <c r="C125" i="8"/>
  <c r="D127" i="8"/>
  <c r="C126" i="8"/>
  <c r="D126" i="8"/>
  <c r="D125" i="8"/>
  <c r="D136" i="6"/>
  <c r="C136" i="6"/>
  <c r="C151" i="6" s="1"/>
  <c r="E161" i="6"/>
  <c r="C161" i="6"/>
  <c r="C137" i="6"/>
  <c r="C152" i="6" s="1"/>
  <c r="D137" i="6"/>
  <c r="D138" i="6"/>
  <c r="C138" i="6"/>
  <c r="C153" i="6" s="1"/>
  <c r="E158" i="8" l="1"/>
  <c r="C158" i="8"/>
  <c r="D133" i="8"/>
  <c r="C133" i="8"/>
  <c r="C148" i="8" s="1"/>
  <c r="D135" i="8"/>
  <c r="C135" i="8"/>
  <c r="C150" i="8" s="1"/>
  <c r="E158" i="7"/>
  <c r="C158" i="7"/>
  <c r="C134" i="8"/>
  <c r="C149" i="8" s="1"/>
  <c r="D134" i="8"/>
  <c r="D135" i="7"/>
  <c r="C135" i="7"/>
  <c r="C150" i="7" s="1"/>
  <c r="D134" i="7"/>
  <c r="C134" i="7"/>
  <c r="C149" i="7" s="1"/>
  <c r="C133" i="7"/>
  <c r="C148" i="7" s="1"/>
  <c r="D133" i="7"/>
  <c r="F152" i="6"/>
  <c r="E152" i="6"/>
  <c r="E165" i="6"/>
  <c r="C165" i="6"/>
  <c r="E153" i="6"/>
  <c r="F153" i="6"/>
  <c r="E151" i="6"/>
  <c r="F151" i="6"/>
  <c r="P27" i="1" l="1"/>
  <c r="Q27" i="1" s="1"/>
  <c r="P29" i="1"/>
  <c r="Q29" i="1" s="1"/>
  <c r="P23" i="1"/>
  <c r="P24" i="1"/>
  <c r="P20" i="1"/>
  <c r="P18" i="1"/>
  <c r="Q18" i="1" s="1"/>
  <c r="P14" i="11" s="1"/>
  <c r="P17" i="1"/>
  <c r="P19" i="1"/>
  <c r="P28" i="1"/>
  <c r="Q28" i="1" s="1"/>
  <c r="Q19" i="1"/>
  <c r="Q23" i="1"/>
  <c r="Q24" i="1"/>
  <c r="Q20" i="1"/>
  <c r="Q17" i="1"/>
  <c r="F148" i="7"/>
  <c r="E148" i="7"/>
  <c r="F149" i="7"/>
  <c r="E149" i="7"/>
  <c r="E150" i="8"/>
  <c r="F150" i="8"/>
  <c r="F150" i="7"/>
  <c r="E150" i="7"/>
  <c r="E148" i="8"/>
  <c r="F148" i="8"/>
  <c r="E162" i="8"/>
  <c r="C162" i="8"/>
  <c r="E162" i="7"/>
  <c r="C162" i="7"/>
  <c r="F149" i="8"/>
  <c r="E149" i="8"/>
  <c r="P13" i="11" l="1"/>
  <c r="V13" i="11"/>
  <c r="W13" i="11" s="1"/>
  <c r="P12" i="11"/>
  <c r="V12" i="11"/>
  <c r="W12" i="11" s="1"/>
  <c r="P11" i="11"/>
  <c r="V11" i="11"/>
  <c r="Y29" i="1"/>
  <c r="AA29" i="1" s="1"/>
  <c r="Y19" i="1"/>
  <c r="Y17" i="1"/>
  <c r="Y24" i="1"/>
  <c r="Y23" i="1"/>
  <c r="AA23" i="1" s="1"/>
  <c r="Y20" i="1"/>
  <c r="AA20" i="1" s="1"/>
  <c r="Y18" i="1"/>
  <c r="AA18" i="1" s="1"/>
  <c r="Q14" i="11" s="1"/>
  <c r="T28" i="1"/>
  <c r="V28" i="1" s="1"/>
  <c r="T27" i="1"/>
  <c r="V27" i="1" s="1"/>
  <c r="Y27" i="1"/>
  <c r="AA27" i="1" s="1"/>
  <c r="Y28" i="1"/>
  <c r="AA28" i="1" s="1"/>
  <c r="T29" i="1"/>
  <c r="V29" i="1" s="1"/>
  <c r="T20" i="1"/>
  <c r="T17" i="1"/>
  <c r="V17" i="1" s="1"/>
  <c r="T19" i="1"/>
  <c r="V19" i="1" s="1"/>
  <c r="T18" i="1"/>
  <c r="V18" i="1" s="1"/>
  <c r="R14" i="11" s="1"/>
  <c r="T24" i="1"/>
  <c r="V24" i="1" s="1"/>
  <c r="T23" i="1"/>
  <c r="V23" i="1" s="1"/>
  <c r="P15" i="11"/>
  <c r="V15" i="11"/>
  <c r="W15" i="11" s="1"/>
  <c r="V20" i="1"/>
  <c r="AA24" i="1"/>
  <c r="AA17" i="1"/>
  <c r="AA19" i="1"/>
  <c r="R15" i="11" l="1"/>
  <c r="Y15" i="11"/>
  <c r="R13" i="11"/>
  <c r="Y13" i="11"/>
  <c r="R12" i="11"/>
  <c r="Y12" i="11"/>
  <c r="Q11" i="11"/>
  <c r="X11" i="11"/>
  <c r="R11" i="11"/>
  <c r="Y11" i="11"/>
  <c r="Q13" i="11"/>
  <c r="X13" i="11"/>
  <c r="Q12" i="11"/>
  <c r="X12" i="11"/>
  <c r="Q15" i="11"/>
  <c r="X15" i="11"/>
  <c r="V28" i="11"/>
  <c r="F6" i="13" s="1"/>
  <c r="W11" i="11"/>
  <c r="V34" i="11"/>
  <c r="V33" i="11"/>
  <c r="V26" i="11"/>
  <c r="V35" i="11"/>
  <c r="V30" i="11"/>
  <c r="F8" i="13" s="1"/>
  <c r="F21" i="13" s="1"/>
  <c r="W33" i="11" l="1"/>
  <c r="W28" i="11"/>
  <c r="W34" i="11"/>
  <c r="W30" i="11"/>
  <c r="W26" i="11"/>
  <c r="W35" i="11"/>
  <c r="Y30" i="11"/>
  <c r="H8" i="13" s="1"/>
  <c r="H21" i="13" s="1"/>
  <c r="Y33" i="11"/>
  <c r="Y28" i="11"/>
  <c r="H6" i="13" s="1"/>
  <c r="Y35" i="11"/>
  <c r="Y26" i="11"/>
  <c r="Y34" i="11"/>
  <c r="F15" i="13"/>
  <c r="F20" i="13"/>
  <c r="F22" i="13" s="1"/>
  <c r="X30" i="11"/>
  <c r="G8" i="13" s="1"/>
  <c r="G21" i="13" s="1"/>
  <c r="X28" i="11"/>
  <c r="G6" i="13" s="1"/>
  <c r="X34" i="11"/>
  <c r="X35" i="11"/>
  <c r="X26" i="11"/>
  <c r="X33" i="11"/>
  <c r="G15" i="13" l="1"/>
  <c r="G20" i="13"/>
  <c r="G22" i="13" s="1"/>
  <c r="F17" i="13"/>
  <c r="F16" i="13"/>
  <c r="H15" i="13"/>
  <c r="H20" i="13"/>
  <c r="H22" i="13" s="1"/>
  <c r="H17" i="13" l="1"/>
  <c r="H16" i="13"/>
  <c r="G17" i="13"/>
  <c r="G16" i="13"/>
</calcChain>
</file>

<file path=xl/sharedStrings.xml><?xml version="1.0" encoding="utf-8"?>
<sst xmlns="http://schemas.openxmlformats.org/spreadsheetml/2006/main" count="1257" uniqueCount="521">
  <si>
    <t>Load Reductions from BMP Implementation in Urban and Rural Areas</t>
  </si>
  <si>
    <t xml:space="preserve">PURPOSE AND LIMITATIONS:  This Excel workbook tool was originally developed for use by municipalities that have MS4 discharges and load reduction responsibilities in Pennsylvania. This tool calculates land use pollutant loading rates for TSS, TN and TP using calculations, methodology, assumptions, and data based on, and consistent with, the MapShed model used in PA, and is also consistent with PADEP’s 2017 TMDL and PRP instructions for MS4s. Now that the modeling routines in MapShed have been incorporated into Model My Watershed, this tool can also utilize output from a MMW run for a given watershed. Similarly, it can be used in other geographic areas where similar load reduction estimates have to be made. </t>
  </si>
  <si>
    <t>________________________</t>
  </si>
  <si>
    <t>Developed by:</t>
  </si>
  <si>
    <t>Barry Evans, Drexel University &amp; Penn State University</t>
  </si>
  <si>
    <t>Anthony Aufdenkampe, LImnoTech</t>
  </si>
  <si>
    <t>Mike Hickman, Center for Watershed Protection</t>
  </si>
  <si>
    <t xml:space="preserve">Model My Watershed Output File Results Converted to Land Use Loading Rates    </t>
  </si>
  <si>
    <t>Section 1: Instructions &amp; Overview</t>
  </si>
  <si>
    <t>OVERVIEW:</t>
  </si>
  <si>
    <t>This tool provides the ability to use output results from a Model My Watershed "multi-year" model run for the purpose of estimating loading rates for different "source areas", and then subsequently calculating potential load reductions that might result from the implementation of both urban and agricultural BMPs in a given watershed.</t>
  </si>
  <si>
    <t>The tool is based on the concept of "composite" loading rates whereby both "upland" and "streambank-eroded" loads are combined to facilitate the estimation of load reductions based on the use of various BMPs as applied to different developed land and agricultural land categories.</t>
  </si>
  <si>
    <t>THIS WORKBOOK CONTAINS:</t>
  </si>
  <si>
    <r>
      <t xml:space="preserve">Section 2 (Land Use Loading Rates Look-Up Table) </t>
    </r>
    <r>
      <rPr>
        <sz val="12"/>
        <color theme="1"/>
        <rFont val="Calibri"/>
        <family val="2"/>
        <scheme val="minor"/>
      </rPr>
      <t xml:space="preserve">contains the Look-Up Table with final land use loading rates that incorporate Land Use (upland source), Stream Bank (erosion) and Farm Animal Loads. </t>
    </r>
    <r>
      <rPr>
        <b/>
        <sz val="11"/>
        <color theme="1"/>
        <rFont val="Calibri"/>
        <family val="2"/>
        <scheme val="minor"/>
      </rPr>
      <t xml:space="preserve">The "Total" (pollutant) Loading Rate values in this Table are used to calculate Baseline and Existing loads as well as "future" loads from proposed urban and agricultural BMP load reductions. </t>
    </r>
  </si>
  <si>
    <r>
      <rPr>
        <b/>
        <sz val="11"/>
        <color theme="1"/>
        <rFont val="Calibri"/>
        <family val="2"/>
        <scheme val="minor"/>
      </rPr>
      <t>*</t>
    </r>
    <r>
      <rPr>
        <sz val="12"/>
        <color theme="1"/>
        <rFont val="Calibri"/>
        <family val="2"/>
        <scheme val="minor"/>
      </rPr>
      <t xml:space="preserve"> In the MMW model run, Stream Bank and Farm Animal loads are modeled as separate sources/outputs, and therefore must be apportioned into the land use loads. This calculation has been completed herein and the results are summarized on the Look-up Table. Stream Bank loads are mostly attributable to developed lands. Farm Animal loads are attributed to Cropland and Hay/Pasture land uses.</t>
    </r>
  </si>
  <si>
    <r>
      <rPr>
        <b/>
        <sz val="11"/>
        <color theme="1"/>
        <rFont val="Calibri"/>
        <family val="2"/>
        <scheme val="minor"/>
      </rPr>
      <t xml:space="preserve">* </t>
    </r>
    <r>
      <rPr>
        <sz val="12"/>
        <color theme="1"/>
        <rFont val="Calibri"/>
        <family val="2"/>
        <scheme val="minor"/>
      </rPr>
      <t>The Look-Up Table also shows loads calculated by the MMW model from septic, groundwater and point sources. However, per PA DEP guidance, these loads are NOT included in the land use loading rates presented in the Table. These loads are not loads that enter the MS4 and therefore these loads are not a pollutant load that is required to be addressed in the MS4 program. Please note, when comparing the nitrogen and phosphorus loading rates to other literature values for a watershed, the rates in this workbook may appear lower by land use for nutrients because of these adjustments. Groundwater loading of nitrogen and phosphorus are generally attributed to long-term agricultural practices.</t>
    </r>
  </si>
  <si>
    <r>
      <rPr>
        <b/>
        <sz val="11"/>
        <color theme="1"/>
        <rFont val="Calibri"/>
        <family val="2"/>
        <scheme val="minor"/>
      </rPr>
      <t xml:space="preserve">Sections 4 through 7 </t>
    </r>
    <r>
      <rPr>
        <sz val="12"/>
        <color theme="1"/>
        <rFont val="Calibri"/>
        <family val="2"/>
        <scheme val="minor"/>
      </rPr>
      <t>Contain supporting documentation that show how the calculations were performed to arrive at the values for the watershed that were presented in the Look-up Table in Section 2.</t>
    </r>
  </si>
  <si>
    <t>Look-Up Table for MMW Loading Rates</t>
  </si>
  <si>
    <t>Section 2: Land Use Loading Rates Look-Up Table</t>
  </si>
  <si>
    <t>TOTAL WATERSHED ANNUAL LOADS
from Model My Watershed</t>
  </si>
  <si>
    <t>ANNUAL LAND USE LOADING RATES (lbs/acre)
based on land use, stream bank and farm animal sources</t>
  </si>
  <si>
    <t xml:space="preserve">SEDIMENT  </t>
  </si>
  <si>
    <t>NITROGEN</t>
  </si>
  <si>
    <t>PHOSPHORUS</t>
  </si>
  <si>
    <t>Source</t>
  </si>
  <si>
    <t>Area</t>
  </si>
  <si>
    <t>Runoff</t>
  </si>
  <si>
    <t>Erosion</t>
  </si>
  <si>
    <t>Sediment</t>
  </si>
  <si>
    <t>Dis N</t>
  </si>
  <si>
    <t>Total Nitrogen</t>
  </si>
  <si>
    <t>Dis P</t>
  </si>
  <si>
    <t>Total Phosphorus</t>
  </si>
  <si>
    <t>TOTAL SEDIMENT LOADING RATE</t>
  </si>
  <si>
    <t>TOTAL NITROGEN LOADING RATE</t>
  </si>
  <si>
    <t>TOTAL PHOSPHORUS LOADING RATE</t>
  </si>
  <si>
    <t>Units</t>
  </si>
  <si>
    <t>Acres</t>
  </si>
  <si>
    <t>inches</t>
  </si>
  <si>
    <t>Tons</t>
  </si>
  <si>
    <t>Pounds</t>
  </si>
  <si>
    <t>lbs/acre</t>
  </si>
  <si>
    <t>Tons * 2000 lbs/ton
acres of a land use</t>
  </si>
  <si>
    <t>Sum of previous
two sources</t>
  </si>
  <si>
    <t>Sum of previous
three sources</t>
  </si>
  <si>
    <t>MapShed Land Use Categories</t>
  </si>
  <si>
    <t>Hay/Past</t>
  </si>
  <si>
    <t>Cropland</t>
  </si>
  <si>
    <t>Forest</t>
  </si>
  <si>
    <t>n/a</t>
  </si>
  <si>
    <t>Wetland</t>
  </si>
  <si>
    <t>Disturbed</t>
  </si>
  <si>
    <t>Turfgrass</t>
  </si>
  <si>
    <t>Open_Land</t>
  </si>
  <si>
    <t>Bare_Rock</t>
  </si>
  <si>
    <t>Sandy_Areas</t>
  </si>
  <si>
    <t>Unpaved_Road</t>
  </si>
  <si>
    <t>Ld_Mixed</t>
  </si>
  <si>
    <t>Md_Mixed</t>
  </si>
  <si>
    <t>Hd_Mixed</t>
  </si>
  <si>
    <t>Ld_Residential</t>
  </si>
  <si>
    <t>Md_Residential</t>
  </si>
  <si>
    <t>Hd_Residential</t>
  </si>
  <si>
    <t>Addt'l Sources</t>
  </si>
  <si>
    <t>Farm Animals</t>
  </si>
  <si>
    <t>Tile Drainage</t>
  </si>
  <si>
    <t>Groundwater</t>
  </si>
  <si>
    <t>Point Source</t>
  </si>
  <si>
    <t>Septic Systems</t>
  </si>
  <si>
    <t>Notes:</t>
  </si>
  <si>
    <t>From
Land Use</t>
  </si>
  <si>
    <t>From
Stream
Banks ①</t>
  </si>
  <si>
    <t>From    Land Use</t>
  </si>
  <si>
    <t>From Stream Banks ①</t>
  </si>
  <si>
    <t>From
Farm Animals ②</t>
  </si>
  <si>
    <t>From      Farm Animals ②</t>
  </si>
  <si>
    <t xml:space="preserve"> </t>
  </si>
  <si>
    <t>Stream Bank ①</t>
  </si>
  <si>
    <t>① - Separate worksheets are used to calculate and apportion the loading rates from the Stream Bank source loads (for sediment, total nitrogen, and total phosphorus) from the MMW Output file into each land use category, using methodology provided by Dr. Barry Evans (Pennsylvania State University), the author of MapShed, and with concurrence from Mr. Bill Brown (PADEP).</t>
  </si>
  <si>
    <t>② - A separate worksheet is used to calculate and apportion the "Total Nitrogen" and "Total Phosphorus" loading rates from the Farm Animals source load from the MMW Output file into the two agricultural land uses, Hay/Pasture and Cropland, based on area weighting. The methodology was provided by Dr. Barry Evans (Pennsylvania State University), the author of MapShed, and with concurrence from Mr. Bill Brown (PADEP). Additionally, since the Farm Animals source loads do not apply to other land use catergories, the values in those cells are "n/a".</t>
  </si>
  <si>
    <t>Look-Up Table for MMW Land Use Loading Rates</t>
  </si>
  <si>
    <r>
      <t>Watershed</t>
    </r>
    <r>
      <rPr>
        <sz val="10"/>
        <color theme="1"/>
        <rFont val="Arial"/>
        <family val="2"/>
      </rPr>
      <t>:</t>
    </r>
  </si>
  <si>
    <r>
      <rPr>
        <u/>
        <sz val="10"/>
        <color theme="1"/>
        <rFont val="Arial"/>
        <family val="2"/>
      </rPr>
      <t>Year</t>
    </r>
    <r>
      <rPr>
        <sz val="10"/>
        <color theme="1"/>
        <rFont val="Arial"/>
        <family val="2"/>
      </rPr>
      <t xml:space="preserve">: </t>
    </r>
  </si>
  <si>
    <t>Section 3:</t>
  </si>
  <si>
    <t xml:space="preserve">MMW Model Output </t>
  </si>
  <si>
    <t xml:space="preserve">This page is where the output data from a mult-year MMW model run is to be copied and pasted into this workbook and is the source data for calculations throughout the workbook. 
1. Source File Name - User-specified filename for the output file from MMW (optional).
2. Watershed Name - User-specified name of a watershed for which land use loading rates are being calculated (optional).
3. Source file - The annual pollutant data, in English Units, is copied directly from the MMW output file to the table below. 
4. Year - the year modeled (optional).
</t>
  </si>
  <si>
    <t xml:space="preserve">Data Entered By: </t>
  </si>
  <si>
    <t>User Specified</t>
  </si>
  <si>
    <t xml:space="preserve">Date Data Entered: </t>
  </si>
  <si>
    <t>Source File Name:</t>
  </si>
  <si>
    <t>Watershed:</t>
  </si>
  <si>
    <t>Year:</t>
  </si>
  <si>
    <t>Model My Watershed OUTPUT DATA</t>
  </si>
  <si>
    <t>Tot N</t>
  </si>
  <si>
    <t>Tot P</t>
  </si>
  <si>
    <t>acres</t>
  </si>
  <si>
    <t>tons/year</t>
  </si>
  <si>
    <t>lbs/year</t>
  </si>
  <si>
    <t>Stream Bank</t>
  </si>
  <si>
    <t>Totals</t>
  </si>
  <si>
    <t>MMW NLCD Land Cover Categories for Watershed (from "Analyze" csv file)</t>
  </si>
  <si>
    <t>Pollutant Load Conversion from Metric to Standard Units (from "Model" csv file)</t>
  </si>
  <si>
    <t>TYPE</t>
  </si>
  <si>
    <t>AREA (km^2)</t>
  </si>
  <si>
    <t>AREA (acres)</t>
  </si>
  <si>
    <t>SOURCE</t>
  </si>
  <si>
    <t>SEDIMENT (kg)</t>
  </si>
  <si>
    <t>TOTAL N (kg)</t>
  </si>
  <si>
    <t>TOTAL P (kg)</t>
  </si>
  <si>
    <t>SEDIMENT (tons)</t>
  </si>
  <si>
    <t>TOTAL N (lbs)</t>
  </si>
  <si>
    <t>TOTAL P (lbs)</t>
  </si>
  <si>
    <t>Open Water</t>
  </si>
  <si>
    <t>Hay/Pasture</t>
  </si>
  <si>
    <t>Perennial Ice/Snow</t>
  </si>
  <si>
    <t>Developed, Open Space</t>
  </si>
  <si>
    <t>Wooded Areas</t>
  </si>
  <si>
    <t>Developed, Low Intensity</t>
  </si>
  <si>
    <t>Wetlands</t>
  </si>
  <si>
    <t>Developed, Medium Intensity</t>
  </si>
  <si>
    <t>Open Land</t>
  </si>
  <si>
    <t>Developed, High Intensity</t>
  </si>
  <si>
    <t>Barren Areas</t>
  </si>
  <si>
    <t>Barren Land (Rock/Sand/Clay)</t>
  </si>
  <si>
    <t>Low-Density Mixed</t>
  </si>
  <si>
    <t>Deciduous Forest</t>
  </si>
  <si>
    <t>Medium-Density Mixed</t>
  </si>
  <si>
    <t>Evergreen Forest</t>
  </si>
  <si>
    <t>High-Density Mixed</t>
  </si>
  <si>
    <t>Mixed Forest</t>
  </si>
  <si>
    <t>Other Upland Areas</t>
  </si>
  <si>
    <t>Shrub/Scrub</t>
  </si>
  <si>
    <t>Grassland/Herbaceous</t>
  </si>
  <si>
    <t>Stream Bank Erosion</t>
  </si>
  <si>
    <t>Pasture/Hay</t>
  </si>
  <si>
    <t>Subsurface Flow</t>
  </si>
  <si>
    <t>Cultivated Crops</t>
  </si>
  <si>
    <t>Point Sources</t>
  </si>
  <si>
    <t>Woody Wetlands</t>
  </si>
  <si>
    <t>Emergent Herbaceous Wetlands</t>
  </si>
  <si>
    <t>Note: The information below is only used for allocation of "urban" loads within a larger watershed boundary</t>
  </si>
  <si>
    <t>MMW NLCD Land Cover Categories for Urban Area (from second, smaller "Analyze" csv file)</t>
  </si>
  <si>
    <t>Section 4: Farm Animals TN and TP Loading Rates Worksheet</t>
  </si>
  <si>
    <t xml:space="preserve">This worksheet calculates and apportions the "Total Nitrogen" and "Total Phosphorus" loading rates from the "Farm Animals" source load from a MMW Output file into the two applicable agricultural land uses, Hay/Pasture and Cropland, based on area weighting. The methodology was provided by Dr. Barry Evans (Stroud Water Research Center, Pennsylvania State University), the author of MapShed, and with concurrence from Mr. Bill Brown (PADEP).
The MapShed output file provides the Farm Animals "Total Nitrogen" and "Total Phosphorus" loads in pounds.  </t>
  </si>
  <si>
    <t>Step 1. The Farm Animal "Total Nitrogen" and "Total Phosphorus" load, in pounds, and land areas for each land use category, in acres, from a MMW Output file are presented below.</t>
  </si>
  <si>
    <t>Total Watershed Load</t>
  </si>
  <si>
    <t>Nutrient Load from Farm Animals</t>
  </si>
  <si>
    <t>pounds</t>
  </si>
  <si>
    <t>Note: The loads are taken from cells H38 and J38 from the MMW Output worksheet</t>
  </si>
  <si>
    <t>Land Use Categories from MMW ①</t>
  </si>
  <si>
    <t xml:space="preserve">Area (acres) </t>
  </si>
  <si>
    <t>① - Since only the 'Hay/Pasture' and 'Cropland' land uses are apportioned Farm Loading Rates, the remaining land use categories are not applicable to this worksheet.</t>
  </si>
  <si>
    <t>Step 2. Total Acres in "Hay/Pasture" and "Cropland" land uses are summed.</t>
  </si>
  <si>
    <t>Area of Hay/Pasture &amp; Cropland, acres</t>
  </si>
  <si>
    <t>acres      =</t>
  </si>
  <si>
    <t>Step 3. Calculate the unit area Farm Animals loading rate (lbs/ac) to Total Nitrogen and Total Phosphorus for each land use by dividing the Farm Animal Load by the land use acres.</t>
  </si>
  <si>
    <t>pounds, from Step 1</t>
  </si>
  <si>
    <t>Area of Hay/Pasture &amp; Cropland</t>
  </si>
  <si>
    <t>acres, from Step 2</t>
  </si>
  <si>
    <t>Loading Rate for Hay/Pasture &amp; Cropland</t>
  </si>
  <si>
    <t>pounds per acre</t>
  </si>
  <si>
    <t>Step 4. Add these Farm Animals loading rates to the Land Use (upland) and Stream Bank loading rates for Hay/Pasture and Cropland to calculate the Toal Nitrogen and Total Phosphorus loading rates as shown on the Land Use Loading Rates Look-Up Table.</t>
  </si>
  <si>
    <t>Look-Up Table for Model My WatershedLoading Rates</t>
  </si>
  <si>
    <t>Section 5: Stream Bank Sediment Loading Rates Worksheet</t>
  </si>
  <si>
    <t>This worksheet calculates and apportions the loading rates from the Stream Bank source load for sediment from the MMW Output file into each land use category, using methodology provided from Dr. Barry Evans (Pennsylvania State University), the author of MapShed, and with concurrence from Mr. Bill Brown (PADEP).
The MMW output file provides the sediment load in tons, which are converted to pounds to be consistent with the loading rates for Total Nitrogen and Total Phosphorus.</t>
  </si>
  <si>
    <t>Step 1. The Stream Bank Sediment Load, in tons, and land areas for each land use category, in acres, are presented below.</t>
  </si>
  <si>
    <t>tons</t>
  </si>
  <si>
    <t>Note: The sediment load is taken from Cell F40 in the MMW Output worksheet</t>
  </si>
  <si>
    <t>Land Use Categories from MapShed</t>
  </si>
  <si>
    <t>Total Acres, Watershed</t>
  </si>
  <si>
    <t>Step 2. Convert the Stream Bank Sediment Load to pounds by multiplying tons by 2,000 pounds per ton.</t>
  </si>
  <si>
    <t>Sediment Load, pounds</t>
  </si>
  <si>
    <t>Total Acres in watershed</t>
  </si>
  <si>
    <r>
      <t xml:space="preserve">Page 2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</si>
  <si>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</si>
  <si>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Area of Developed Lands</t>
  </si>
  <si>
    <t>percent</t>
  </si>
  <si>
    <t>Low Density Developed</t>
  </si>
  <si>
    <t xml:space="preserve"> [ Ld_Mixed + Ld_Residential ]</t>
  </si>
  <si>
    <t>Medium Density Developed</t>
  </si>
  <si>
    <t xml:space="preserve"> [ Md_Mixed + Md_Residential ]</t>
  </si>
  <si>
    <t>High Density Developed</t>
  </si>
  <si>
    <t xml:space="preserve"> [ Hd_Mixed + Hd_Residential ]</t>
  </si>
  <si>
    <t>Total</t>
  </si>
  <si>
    <t xml:space="preserve"> [ All "Developed" land use categories ]</t>
  </si>
  <si>
    <t>Step 5. Calculate the portion of the Stream Bank Sediment Load resulting from "Developed" Lands</t>
  </si>
  <si>
    <t>This is A) 70% of the Stream Bank Sediment Load times the percent of developed lands in the watershed</t>
  </si>
  <si>
    <t>plus B) 30% of the Stream Bank Sediment Load:</t>
  </si>
  <si>
    <t>Stream Bank Sediment Load</t>
  </si>
  <si>
    <t>from Step 2</t>
  </si>
  <si>
    <t>Total Developed Acres</t>
  </si>
  <si>
    <t>from Step 4</t>
  </si>
  <si>
    <t>from Step 3</t>
  </si>
  <si>
    <t>Percent of Developed lands in watershed</t>
  </si>
  <si>
    <t xml:space="preserve">             =</t>
  </si>
  <si>
    <t>A) 75% x Stream Bank Sediment Load x Percent of Developed Lands</t>
  </si>
  <si>
    <t>pounds   =</t>
  </si>
  <si>
    <t>B) 25% x Stream Bank Sediment Load</t>
  </si>
  <si>
    <t>Load Assigned to Developed Lands</t>
  </si>
  <si>
    <t>Step 6. Calculate the portion of the Stream Bank Sediment Load from "Developed" Lands that is assigned to each of the land use categories by calculating relative components from "Impervious" surfaces and from the land use as a whole:</t>
  </si>
  <si>
    <t>Estimated Percent of Impervious Area for corresponding land use categories (MapShed Values)</t>
  </si>
  <si>
    <t>Step 7. Calculate how many acres within the watershed are "Impervious" by multiplying the acres in Step 4 by the percent in Step 6:</t>
  </si>
  <si>
    <t>Estimated Impervious Surfaces for Developed Lands</t>
  </si>
  <si>
    <t>acres    =</t>
  </si>
  <si>
    <t>Total Developed Impervious Surface Area</t>
  </si>
  <si>
    <r>
      <t xml:space="preserve">Page 3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</si>
  <si>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Step 8. Calculate the percent of total developed Impervious Surface for each land use:</t>
  </si>
  <si>
    <t>Percent of Total Impervious Surfaces</t>
  </si>
  <si>
    <t xml:space="preserve">         =</t>
  </si>
  <si>
    <t>Step 9. Distribute the "Total Load Assigned to Developed Lands" from Step 5  to each Developed Land type based on "Impervious" surfaces and the percent of land area in the land use category:</t>
  </si>
  <si>
    <t>pounds  =</t>
  </si>
  <si>
    <t xml:space="preserve"> [ result of Step 5 ]</t>
  </si>
  <si>
    <t>Load assigned to Total Developed Land</t>
  </si>
  <si>
    <t>Load assigned for Total Impervious Land</t>
  </si>
  <si>
    <t xml:space="preserve">Step 10. Apportion Load Assigned to "Impervious" surfaces to each "Developed" land use category by </t>
  </si>
  <si>
    <t>Stream Bank Sediment Load Assigned to Impervious Surface, pounds</t>
  </si>
  <si>
    <t>Step 11. Apportion Load Assigned to Total Land Area to each "Developed" land use category by multiplying</t>
  </si>
  <si>
    <t>Stream Bank Sediment Load Assigned to Total Developed Land Area, pounds</t>
  </si>
  <si>
    <t>Step 12. Combine the loads apportioned to "Impervious" surfaces, from Step 10, and the loads apportioned to Total Developed Land Area, from Step 11:</t>
  </si>
  <si>
    <t>Total Stream Bank Sediment Load per Land Use, pounds</t>
  </si>
  <si>
    <r>
      <t xml:space="preserve">Page 4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</si>
  <si>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Step 13. Calculate the Stream Bank Loading Rate for each "Developed" Land Use, in pounds per acre, by dividing the load from Step 12 by the acres in Step 4:</t>
  </si>
  <si>
    <t>Stream Bank Sediment
Land Use Loading Rate</t>
  </si>
  <si>
    <t>Land Use area, acres</t>
  </si>
  <si>
    <t>Stream Bank
Sediment 
Loading Rate, 
pounds/acre</t>
  </si>
  <si>
    <t>Step 14. Calculate the Stream Bank Loading Rate for "Undeveloped Land" (all other land use categories):</t>
  </si>
  <si>
    <t>Total Stream Bank Load</t>
  </si>
  <si>
    <t xml:space="preserve"> [ from Step 3 ]</t>
  </si>
  <si>
    <t>Load assigned to Developed Lands</t>
  </si>
  <si>
    <t xml:space="preserve"> [ from Step 5 ]</t>
  </si>
  <si>
    <t>Remaining Load assigned to Undeveloped Lands</t>
  </si>
  <si>
    <t>Acres of Undeveloped Lands</t>
  </si>
  <si>
    <t>acres  =</t>
  </si>
  <si>
    <t xml:space="preserve"> [ sum of "Undeveloped Land" from Step 1 ]</t>
  </si>
  <si>
    <t>Stream Bank Sediment Loading rate for Undeveloped Lands</t>
  </si>
  <si>
    <t>Step 15. Add these Stream Bank Sediment Land Use Loading Rates to the Land Use (upland source) Loading Rates for each of the corresponding land uses in the Land Use Loading Rates Look-Up Table to calculate the Total Sediment Loading Rate.</t>
  </si>
  <si>
    <t>Section 6: Stream Bank Nitrogen Loading Rates Worksheet</t>
  </si>
  <si>
    <t>This worksheet calculates and apportions the loading rates from the Stream Bank source load for Total Nitrogen from the Christina MapShed Output file into each land use category, using methodology provided from Dr. Barry Evans (Pennsylvania State University), the author of MapShed, and with concurrence from Mr. Bill Brown (PADEP).
The MapShed output file provides the nitrogen load in pounds.</t>
  </si>
  <si>
    <t>Step 1. The land areas for each land use category, in acres, are presented below.</t>
  </si>
  <si>
    <t>Step 2. The Stream Bank Total Nitrogen Load, in pounds, is presented below:</t>
  </si>
  <si>
    <t>Total Nitrogen Load, pounds</t>
  </si>
  <si>
    <r>
      <t xml:space="preserve">Page 2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</si>
  <si>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</si>
  <si>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Step 5. Calculate the portion of the Stream Bank Total Nitrogen (TN) Load resulting from "Developed" Lands</t>
  </si>
  <si>
    <t>This is A) 70% of the Stream Bank Total Nitrogen Load times the percent of developed lands in the watershed</t>
  </si>
  <si>
    <t>plus B) 30% of the Stream Bank Total Nitrogen Load:</t>
  </si>
  <si>
    <t>Stream Bank TN Load</t>
  </si>
  <si>
    <t>A) 75% x Stream Bank TN Load x Percent of Developed Lands</t>
  </si>
  <si>
    <t>B) 25% x Stream Bank TN Load</t>
  </si>
  <si>
    <t>Step 6. Calculate the portion of the Stream Bank Total Nitrogen Load from "Developed" Lands that is assigned to each of the land use categories by calculating relative components from "Impervious" surfaces and from the land use as a whole:</t>
  </si>
  <si>
    <r>
      <t xml:space="preserve">Page 3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</si>
  <si>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t>Step 9. Distribute the "Total Load Assigned to Developed Lands" from Step 5 based on "Impervious" surfaces and assign 40% based on the percent of land area in the land use category.</t>
  </si>
  <si>
    <t>Load assigned to Total Developed Land Area</t>
  </si>
  <si>
    <t>Load assigned for total impervious land area</t>
  </si>
  <si>
    <t>Stream Bank Total Nitrogen Load Assigned to Impervious Surface, pounds</t>
  </si>
  <si>
    <t>Stream Bank Total Nitrogen Load Assigned to Total Developed Land Area, pounds</t>
  </si>
  <si>
    <t>Total Stream Bank Total Nitrogen Load per Land Use, pounds</t>
  </si>
  <si>
    <r>
      <t xml:space="preserve">Page 4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</si>
  <si>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t>Stream Bank Total Nitrogen
Land Use Loading Rate</t>
  </si>
  <si>
    <t>Stream Bank
Total Nitrogen
Loading Rate, 
pounds/acre</t>
  </si>
  <si>
    <t>Load assigned to
Developed Lands</t>
  </si>
  <si>
    <t>Stream Bank Total Nitrogen Loading rate for Undeveloped Lands</t>
  </si>
  <si>
    <t>Step 15. Add these Stream Bank Total Nitrogen Land Use Loading Rates to the Land Use (upland source) and Farm Animals Loading Rates for each of the corresponding land uses in the Land Use Loading Rates Look-Up Table to calculate the final Total Nitrogen Loading Rate.</t>
  </si>
  <si>
    <t>Section 7: Stream Bank Phosphorus Loading Rates Worksheet</t>
  </si>
  <si>
    <t>This worksheet calculates and apportions the loading rates from the Stream Bank source load for Total Phosphorus from the MMW Output file into each land use category, using methodology provided from Dr. Barry Evans (Pennsylvania State University), the author of MapShed, and with concurrence from Mr. Bill Brown (PADEP).
The MapShed output file provides the Phosphorus load in pounds.</t>
  </si>
  <si>
    <t>Step 2. The Stream Bank Total Phosphorus Load, in pounds, is presented below:</t>
  </si>
  <si>
    <t>Total Phosphorus Load, pounds</t>
  </si>
  <si>
    <r>
      <t xml:space="preserve">Page 2 of Stream Bank </t>
    </r>
    <r>
      <rPr>
        <b/>
        <i/>
        <sz val="10"/>
        <color theme="1"/>
        <rFont val="Arial"/>
        <family val="2"/>
      </rPr>
      <t>Total Phosphorus Loading Rates</t>
    </r>
    <r>
      <rPr>
        <sz val="10"/>
        <color theme="1"/>
        <rFont val="Arial"/>
        <family val="2"/>
      </rPr>
      <t xml:space="preserve"> worksheet</t>
    </r>
  </si>
  <si>
    <t>Step 5. Calculate the portion of the Stream Bank Total Phosphorus (TP) Load resulting from "Developed" Lands</t>
  </si>
  <si>
    <t>This is A) 70% of the Stream Bank Total Phosphorus Load times the percent of developed lands in the</t>
  </si>
  <si>
    <t>watershed plus B) 30% of the Stream Bank Total Phosphorus Load:</t>
  </si>
  <si>
    <t>Stream Bank TP Load</t>
  </si>
  <si>
    <t>A) 75% x Stream Bank TP Load x Percent of Developed Lands</t>
  </si>
  <si>
    <t>B) 25% x Stream Bank TP Load</t>
  </si>
  <si>
    <t>Step 6. Calculate the portion of the Stream Bank Total Phosphorus Load from "Developed" Lands that is assigned to each of the land use categories by calculating relative components from "Impervious" surfaces and from the land use as a whole:</t>
  </si>
  <si>
    <r>
      <t xml:space="preserve">Page 3 of Stream Bank </t>
    </r>
    <r>
      <rPr>
        <b/>
        <i/>
        <sz val="10"/>
        <color theme="1"/>
        <rFont val="Arial"/>
        <family val="2"/>
      </rPr>
      <t>Total Phosphorus Loading Rates</t>
    </r>
    <r>
      <rPr>
        <sz val="10"/>
        <color theme="1"/>
        <rFont val="Arial"/>
        <family val="2"/>
      </rPr>
      <t xml:space="preserve"> worksheet</t>
    </r>
  </si>
  <si>
    <t>Step 9. Distribute the "Total Load Assigned to Developed Lands" from Step 5 to each Developed Land type based on "Impervious" surfaces and the percent of land area in each land use category.</t>
  </si>
  <si>
    <t>Load assigned to Total Impervious Land</t>
  </si>
  <si>
    <t>Stream Bank Total Phosphorus Load Assigned to Impervious Surface, pounds</t>
  </si>
  <si>
    <t>Stream Bank Total Phosphorus Load Assigned to Total Developed Land Area, pounds</t>
  </si>
  <si>
    <t>Total Stream Bank Total Phosphorus Load per Land Use, pounds</t>
  </si>
  <si>
    <r>
      <t xml:space="preserve">Page 4 of Stream Bank </t>
    </r>
    <r>
      <rPr>
        <b/>
        <i/>
        <sz val="10"/>
        <color theme="1"/>
        <rFont val="Arial"/>
        <family val="2"/>
      </rPr>
      <t>Total Phosphorus Loading Rates</t>
    </r>
    <r>
      <rPr>
        <sz val="10"/>
        <color theme="1"/>
        <rFont val="Arial"/>
        <family val="2"/>
      </rPr>
      <t xml:space="preserve"> worksheet</t>
    </r>
  </si>
  <si>
    <t>Stream Bank Total Phosphorus
Land Use Loading Rate</t>
  </si>
  <si>
    <t>Stream Bank
Total Phosphorus
Loading Rate, 
pounds/acre</t>
  </si>
  <si>
    <t>Stream Bank Total Phosphorus Loading rate for Undeveloped Lands</t>
  </si>
  <si>
    <t>Step 15. Add these Stream Bank Total Phosphorus Land Use Loading Rates to the Land Use (upland source) and Farm Animals Loading Rates for each of the corresponding land uses in the Land Use Loading Rates Look-Up Table to calculate the final Total Phosphorus Loading Rate.</t>
  </si>
  <si>
    <t>PERFORMANCE STANDARD APPROACH for use with urban BMPs (as referenced in PA DEP permit materials; original source citation at bottom of page.)</t>
  </si>
  <si>
    <t>MUNICIPALITY: For the BMP of choice, consult the Expert Panel Table below  and Report cited below to determine if the BMP is an RR,  ST or Other type of practice.</t>
  </si>
  <si>
    <t>The type of practice, runoff reduction versus stormwater treatment, is calculated differently with different efficiency curves.</t>
  </si>
  <si>
    <t>Source:</t>
  </si>
  <si>
    <t>https://www.chesapeakebay.net/documents/Final-CBP-Approved-Expert-Panel-Report-on-Stormwater-Performance-Standards-LONG_012015.pdf</t>
  </si>
  <si>
    <t>Recommendations of the Expert Panel to Define Removal Rates for New State Stormwater Performance Standards</t>
  </si>
  <si>
    <t>Stewart Comstock, Scott Crafton, Randy Greer, Peter Hill, Dave Hirschman, Shoreh Karimpour, Ken Murin, Jennifer Orr, Fred Rose, Sherry Wilkins</t>
  </si>
  <si>
    <t>Revised: January 20, 2015</t>
  </si>
  <si>
    <t>Prepared by: Tom Schueler and Cecilia Lane, Chesapeake Stormwater Network</t>
  </si>
  <si>
    <t xml:space="preserve">The BMP Removal Rate Curves shown below have been incorporated into this spreadsheet tool. </t>
  </si>
  <si>
    <t>With this approach, pollutant removal efficiencies are calculated based on the amount of runoff (runoff depth) captured per acre of impervious surface.</t>
  </si>
  <si>
    <t>https://www.chesapeakebay.net/channel_files/19172/attach_f--draft_faq_document__template.pdf</t>
  </si>
  <si>
    <t>RunoffDepth_inPerAc</t>
  </si>
  <si>
    <t>TP_RemovalEfficiencyRR_pecent</t>
  </si>
  <si>
    <t>TP_RemovalEfficiencyST_pecent</t>
  </si>
  <si>
    <t>TN_RemovalEfficiencyRR_pecent</t>
  </si>
  <si>
    <t>TN_RemovalEfficiencyST_pecent</t>
  </si>
  <si>
    <t>TSS_RemovalEfficiencyRR_pecent</t>
  </si>
  <si>
    <t>TSS_RemovalEfficiencyST_pecent</t>
  </si>
  <si>
    <t>INSTRUCTIONS TO MUNICIPALITY: Each row in the table below should represent a different BMP drainage area. Choose the dominant land use draining to the BMP.</t>
  </si>
  <si>
    <t xml:space="preserve">If a BMP has multiple land uses in the drainage area, these drainage areas should be represented on a subsequent row with the same BMP name. The treatment depth should be the same for a given BMP (even if it has multiple drainage areas). </t>
  </si>
  <si>
    <t xml:space="preserve">If one of the drainage areas to the same BMP has NO impervious cover, use the Manual Override column to type in the treatment depth (in/imp. ac) of the primary drainage area containing impervious cover. </t>
  </si>
  <si>
    <t>Project_name</t>
  </si>
  <si>
    <t>BMP_name</t>
  </si>
  <si>
    <t>BMP_class</t>
  </si>
  <si>
    <t>Existing?</t>
  </si>
  <si>
    <t>yearInstalled</t>
  </si>
  <si>
    <t>drainageLandCoverClass</t>
  </si>
  <si>
    <t>drainageArea_ac</t>
  </si>
  <si>
    <t>treatmentDepth_in</t>
  </si>
  <si>
    <t>lengthTreatedStream_ft</t>
  </si>
  <si>
    <t>lengthTreatedRoad_ft</t>
  </si>
  <si>
    <t>impervArea_ac</t>
  </si>
  <si>
    <t>treatmentDepthNormalized_inPerImpervAc</t>
  </si>
  <si>
    <t>treatmentDepthNormalizedManual_inPerImpervAc</t>
  </si>
  <si>
    <t>treatmentDepthNormalizedEffective_inPerImpervAc</t>
  </si>
  <si>
    <t>impervFraction_percent</t>
  </si>
  <si>
    <t>TSS_Load_lbPerY</t>
  </si>
  <si>
    <t>TP_Load_lbPerY</t>
  </si>
  <si>
    <t>TN_Load_lbPerY</t>
  </si>
  <si>
    <t>TSS_ReductionEfficiency_percent</t>
  </si>
  <si>
    <t>TP_ReductionEfficiency_percent</t>
  </si>
  <si>
    <t>TN_ReductionEfficiency_percent</t>
  </si>
  <si>
    <t>TSS_Reduction_lbPerY</t>
  </si>
  <si>
    <t>TSS_Reduction_tonPerY</t>
  </si>
  <si>
    <t>TP_Reduction_lbPerY</t>
  </si>
  <si>
    <t>TN_Reduction_lbPerY</t>
  </si>
  <si>
    <t>RR</t>
  </si>
  <si>
    <t>Existing</t>
  </si>
  <si>
    <t>BMP Type</t>
  </si>
  <si>
    <t>Year Installed</t>
  </si>
  <si>
    <t>MapShed Land Cover of Drainage Area</t>
  </si>
  <si>
    <t>Drainage Area (ac)</t>
  </si>
  <si>
    <t>Treatment Depth (in)</t>
  </si>
  <si>
    <t>Stream Restoration* Length (ft) - Qualified projects only</t>
  </si>
  <si>
    <t>Street Sweeping* Road Length Swept (ft) - Qualified projects only</t>
  </si>
  <si>
    <t>Impervious Area (ac)</t>
  </si>
  <si>
    <t>Treatment Depth (in/imp. ac)</t>
  </si>
  <si>
    <t>Treatment Depth (in/imp. ac) Manual Override - use if no impervious area</t>
  </si>
  <si>
    <t>Effective Treatment Depth (in/imp. ac)</t>
  </si>
  <si>
    <t>Impervious (%)</t>
  </si>
  <si>
    <t>TSS Load (lbs/yr)</t>
  </si>
  <si>
    <t>TP Load (lbs/yr)</t>
  </si>
  <si>
    <t>TN Load (lbs/yr)</t>
  </si>
  <si>
    <t>TSS Reduction (%)</t>
  </si>
  <si>
    <t>TP Reduction (%)</t>
  </si>
  <si>
    <t>TN Reduction (%)</t>
  </si>
  <si>
    <t>TSS Reduction (lbs/yr)</t>
  </si>
  <si>
    <t>TSS Reduction (tons/yr)</t>
  </si>
  <si>
    <t>TP Reduction (lbs/yr)</t>
  </si>
  <si>
    <t>TN Reduction (lbs/yr)</t>
  </si>
  <si>
    <t>BMP_type</t>
  </si>
  <si>
    <t>lengthTreatedRoad_ft2</t>
  </si>
  <si>
    <t>BMP 1</t>
  </si>
  <si>
    <t>Filter BMP - Sunnybrook</t>
  </si>
  <si>
    <t>ST</t>
  </si>
  <si>
    <t>SUNNY FARM HOA BASIN RETROFIT</t>
  </si>
  <si>
    <t>BMP - Multiple DA (part 1)</t>
  </si>
  <si>
    <t>BMP - Multiple DA (part 2)</t>
  </si>
  <si>
    <t>Apple Stream Project</t>
  </si>
  <si>
    <t>Stream Restoration</t>
  </si>
  <si>
    <t>AppleValley Street Sweeping</t>
  </si>
  <si>
    <t>Street Sweeping</t>
  </si>
  <si>
    <t>Ld_Mixed - Upland</t>
  </si>
  <si>
    <t>Extended Sweeping</t>
  </si>
  <si>
    <t>Hd_Mixed - Upland</t>
  </si>
  <si>
    <t>Average Annual Loads from Watershed</t>
  </si>
  <si>
    <t>Cover Crops</t>
  </si>
  <si>
    <t>Total N</t>
  </si>
  <si>
    <t>Total P</t>
  </si>
  <si>
    <t>Sediment (tons)</t>
  </si>
  <si>
    <t>Tot N (pounds)</t>
  </si>
  <si>
    <t>Tot P (pounds)</t>
  </si>
  <si>
    <t>Sediment (pounds)</t>
  </si>
  <si>
    <t>Available Acres</t>
  </si>
  <si>
    <t>Note: Do not double-count w/conservation till</t>
  </si>
  <si>
    <t>Acres Treated</t>
  </si>
  <si>
    <t>Reduction Coefficient</t>
  </si>
  <si>
    <t>Lbs/Yr Reduced</t>
  </si>
  <si>
    <t>Conservation Till</t>
  </si>
  <si>
    <t>Note: Do not double-count w/cover crops</t>
  </si>
  <si>
    <t>Forested Buffers Crops</t>
  </si>
  <si>
    <t>Note: 1 acre of buffer treats 2 acres of cropland</t>
  </si>
  <si>
    <t>This also ccounts for 1:1 change from cropland to forest</t>
  </si>
  <si>
    <t>Stream miles buffered</t>
  </si>
  <si>
    <t>Note: Assumes buffer is done on one side</t>
  </si>
  <si>
    <t>Buffer acres created</t>
  </si>
  <si>
    <t xml:space="preserve">Stream Bank </t>
  </si>
  <si>
    <t>Floodplain Restoration</t>
  </si>
  <si>
    <t>Part 1: Streambank Load</t>
  </si>
  <si>
    <t>TOTAL</t>
  </si>
  <si>
    <t>Stream Feet Stabilized</t>
  </si>
  <si>
    <t>Tons of Sediment x 2,000 = conversion to pounds</t>
  </si>
  <si>
    <t>Sed Reduction per foot</t>
  </si>
  <si>
    <t>Stream Bank (pounds rounded to 1 decimal)</t>
  </si>
  <si>
    <t>Lbs Streambank Load Reduced</t>
  </si>
  <si>
    <t>LAND USES</t>
  </si>
  <si>
    <t>ACRES</t>
  </si>
  <si>
    <t>Total Undeveloped Land</t>
  </si>
  <si>
    <t>Upland Sed Loading Rate</t>
  </si>
  <si>
    <t>Upland TN Loading Rate</t>
  </si>
  <si>
    <t>Upland TP Loading Rate</t>
  </si>
  <si>
    <t>Part 2: Upland Load</t>
  </si>
  <si>
    <t>Additional % Reduction</t>
  </si>
  <si>
    <t>Lbs upland load reduced</t>
  </si>
  <si>
    <t>Total Floodplain Lbs Reduced</t>
  </si>
  <si>
    <t>Grazing Land Management</t>
  </si>
  <si>
    <t>Sed Reduction Coeff</t>
  </si>
  <si>
    <t>Cropland Retirement</t>
  </si>
  <si>
    <t>Total Stream ft</t>
  </si>
  <si>
    <t>User-supplied</t>
  </si>
  <si>
    <t>Stream ft ag</t>
  </si>
  <si>
    <t>Acres Retired</t>
  </si>
  <si>
    <t>Streambank Stabilization</t>
  </si>
  <si>
    <t>Available Stream Feet</t>
  </si>
  <si>
    <t>Sediment Reduction (lb/ft)</t>
  </si>
  <si>
    <t>Ag E&amp;S</t>
  </si>
  <si>
    <t>Streambank Fencing</t>
  </si>
  <si>
    <t>Stream Feet Fenced</t>
  </si>
  <si>
    <t>Reduction (lb/ft)</t>
  </si>
  <si>
    <t>Nutrient Management</t>
  </si>
  <si>
    <t>Part 1: Surface Runoff</t>
  </si>
  <si>
    <t>Part 2: Subsurface Flow</t>
  </si>
  <si>
    <t>Total Lbs/Yr Reduced</t>
  </si>
  <si>
    <t>AWMS</t>
  </si>
  <si>
    <t>Available Load</t>
  </si>
  <si>
    <t>Pct of Total Animals Covered</t>
  </si>
  <si>
    <t>TOTAL LBS REDUCED</t>
  </si>
  <si>
    <t>Percent of Original Load</t>
  </si>
  <si>
    <t>Entire Watershed</t>
  </si>
  <si>
    <t>Sediment (lbs/yr)</t>
  </si>
  <si>
    <t>TN (lbs/yr)</t>
  </si>
  <si>
    <t>TP (lbs/yr)</t>
  </si>
  <si>
    <t>Initial MMW Loads</t>
  </si>
  <si>
    <t>Loads Removed w/Existing Urban BMPs</t>
  </si>
  <si>
    <t>Loads Removed w/Proposed Urban BMPs</t>
  </si>
  <si>
    <t>Loads Removed w/Existing Agricultural BMPs</t>
  </si>
  <si>
    <t>Loads Removed w/Proposed Agricultural BMPs</t>
  </si>
  <si>
    <t>Total Loads Removed</t>
  </si>
  <si>
    <t>New Reduced Load</t>
  </si>
  <si>
    <t>Percent Reduction</t>
  </si>
  <si>
    <t>Total Baseline Load (1)</t>
  </si>
  <si>
    <t>Total Loads Removed from Baseline (2)</t>
  </si>
  <si>
    <t>Percent Reduction from Baseline Load</t>
  </si>
  <si>
    <t>(1) After existing BMPs have been accounted for</t>
  </si>
  <si>
    <t>(2) After proposed BMPs have been accounted for</t>
  </si>
  <si>
    <t>Chiques1</t>
  </si>
  <si>
    <t>Chiques2</t>
  </si>
  <si>
    <t>Planned1</t>
  </si>
  <si>
    <t>Project Name</t>
  </si>
  <si>
    <t>BMP Name</t>
  </si>
  <si>
    <t>Urban BMP Load Reduction Calculation Table</t>
  </si>
  <si>
    <t>Proposed</t>
  </si>
  <si>
    <t>Column1</t>
  </si>
  <si>
    <t>https://support.office.com/en-us/article/overview-of-excel-tables-7ab0bb7d-3a9e-4b56-a3c9-6c94334e492c</t>
  </si>
  <si>
    <t>NOTE: the above table is an Excel Table, which has special features.</t>
  </si>
  <si>
    <t>ADD ROWS by right-clicking a row number inside the Table, and chosing "Insert". This will automatically copy formulas and update links throughout this workbook.</t>
  </si>
  <si>
    <t>Existing TOTAL LBS REDUCED</t>
  </si>
  <si>
    <t>Proposed TOTAL LBS REDUCED</t>
  </si>
  <si>
    <t>LBS REDUCED</t>
  </si>
  <si>
    <t>Model My Watershed BMP Spreadsheet Tool</t>
  </si>
  <si>
    <r>
      <rPr>
        <b/>
        <sz val="11"/>
        <color theme="1"/>
        <rFont val="Calibri"/>
        <family val="2"/>
        <scheme val="minor"/>
      </rPr>
      <t>Section 3 (MMW Output)</t>
    </r>
    <r>
      <rPr>
        <sz val="12"/>
        <color theme="1"/>
        <rFont val="Calibri"/>
        <family val="2"/>
        <scheme val="minor"/>
      </rPr>
      <t xml:space="preserve"> contains results from the MMW output file data that are used for calculations throughout this workbook. </t>
    </r>
  </si>
  <si>
    <t>Look-up table for impervious cover. Values can be manually modified; however MapShed defaults are suggested.</t>
  </si>
  <si>
    <t>MapShed default Impervious (fraction)</t>
  </si>
  <si>
    <t>Manual Entry Impervious (fraction)</t>
  </si>
  <si>
    <t>Impervious (fraction) to use</t>
  </si>
  <si>
    <t>Md_Mixed - Upland</t>
  </si>
  <si>
    <t>Ld_Residential - Upland</t>
  </si>
  <si>
    <t>Md_Residential - Upland</t>
  </si>
  <si>
    <t>Hd_Residential - Upland</t>
  </si>
  <si>
    <t>impervFraction_defaultMapShed</t>
  </si>
  <si>
    <t>impervFraction_manualEntry</t>
  </si>
  <si>
    <t>impervFraction_toUse</t>
  </si>
  <si>
    <t>Road Width (ft)</t>
  </si>
  <si>
    <t>Average</t>
  </si>
  <si>
    <t>Stream Restoration - Protocol 1</t>
  </si>
  <si>
    <t>TSS (lbs/ft/yr)</t>
  </si>
  <si>
    <t>TP (lbs/ft/yr)</t>
  </si>
  <si>
    <t>TN (lbs/ft/yr)</t>
  </si>
  <si>
    <t>Default</t>
  </si>
  <si>
    <t>BMP Load and Efficiencies used in the Load Reduction Calculations (DO NOT ALTER):</t>
  </si>
  <si>
    <t>area_ac</t>
  </si>
  <si>
    <t>runoff_in</t>
  </si>
  <si>
    <t>erosion_tons</t>
  </si>
  <si>
    <t>sediment_tons</t>
  </si>
  <si>
    <t>DN_lbs</t>
  </si>
  <si>
    <t>TN_lbs</t>
  </si>
  <si>
    <t>DP_lbs</t>
  </si>
  <si>
    <t>TP_lbs</t>
  </si>
  <si>
    <t>TSS_LoadRate_lbPerAcPerY</t>
  </si>
  <si>
    <t>TSS_LoadRateLand_lbPerAcPerY</t>
  </si>
  <si>
    <t>TSS_LoadRateBanks_lbPerAcPerY</t>
  </si>
  <si>
    <t>TN_LoadRateLand_lbPerAcPerY</t>
  </si>
  <si>
    <t>TN_LoadRateBanks_lbPerAcPerY</t>
  </si>
  <si>
    <t>TN_LoadRateAnimal_lbPerAcPerY</t>
  </si>
  <si>
    <t>TN_LoadRate_lbPerAcPerY</t>
  </si>
  <si>
    <t>TP_LoadRateLand_lbPerAcPerY</t>
  </si>
  <si>
    <t>TP_LoadRateBanks_lbPerAcPerY</t>
  </si>
  <si>
    <t>TP_LoadRateAnimal_lbPerAcPerY</t>
  </si>
  <si>
    <t>TP_LoadRate_lbPerAcPerY</t>
  </si>
  <si>
    <t>Column2</t>
  </si>
  <si>
    <t>Column3</t>
  </si>
  <si>
    <t>Column4</t>
  </si>
  <si>
    <t>Column5</t>
  </si>
  <si>
    <t>Column6</t>
  </si>
  <si>
    <t>The examples below show the various options and should be deleted before tallying reductions. Notice one example demonstrates when a drainage area covers two land uses (see row 14 and 15).</t>
  </si>
  <si>
    <t>Urban Area*</t>
  </si>
  <si>
    <t>* Note: This section is only used if information for an "urban" target area has been provided in Lines 70 and higher in the "MMW Output" tab</t>
  </si>
  <si>
    <t>If the "Urban Area" function is used, it is assumed that any BMPs applied in the "Entire Watershed" are first applied in the "Urban Area"</t>
  </si>
  <si>
    <t>AREA (m^2)</t>
  </si>
  <si>
    <t xml:space="preserve"> AREA (acres) </t>
  </si>
  <si>
    <t>TN (lb/yr)</t>
  </si>
  <si>
    <t>TP (lb/yr)</t>
  </si>
  <si>
    <t>Sediment (lb/yr)</t>
  </si>
  <si>
    <t>If % reductions are greater than 100, BMP implementation levels need to be reduced to account for only those applied within the Urban 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</si>
</sst>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
    <numFmt numFmtId="165" formatCode="#,##0.00000"/>
    <numFmt numFmtId="166" formatCode="_(* #,##0.0_);_(* \(#,##0.0\);_(* &quot;-&quot;??_);_(@_)"/>
    <numFmt numFmtId="167" formatCode="_(* #,##0_);_(* \(#,##0\);_(* &quot;-&quot;??_);_(@_)"/>
    <numFmt numFmtId="168" formatCode="0.0%"/>
    <numFmt numFmtId="169" formatCode="0.0"/>
    <numFmt numFmtId="170" formatCode="0.000"/>
    <numFmt numFmtId="171" formatCode="0.0000"/>
  </numFmts>
  <fonts count="66" x14ac:knownFonts="1">
    <font>
      <sz val="12"/>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i/>
      <sz val="11"/>
      <color rgb="FFFF0000"/>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
      <b/>
      <i/>
      <sz val="12"/>
      <color theme="1"/>
      <name val="Calibri"/>
      <family val="2"/>
      <scheme val="minor"/>
    </font>
    <font>
      <b/>
      <u/>
      <sz val="12"/>
      <color theme="1"/>
      <name val="Arial"/>
      <family val="2"/>
    </font>
    <font>
      <b/>
      <i/>
      <sz val="12"/>
      <color theme="1"/>
      <name val="Arial"/>
      <family val="2"/>
    </font>
    <font>
      <b/>
      <sz val="12"/>
      <color theme="1"/>
      <name val="Arial"/>
      <family val="2"/>
    </font>
    <font>
      <sz val="10"/>
      <color theme="1"/>
      <name val="Arial"/>
      <family val="2"/>
    </font>
    <font>
      <sz val="12"/>
      <color theme="1"/>
      <name val="Arial"/>
      <family val="2"/>
    </font>
    <font>
      <b/>
      <sz val="14"/>
      <color theme="1"/>
      <name val="Arial"/>
      <family val="2"/>
    </font>
    <font>
      <b/>
      <sz val="10"/>
      <color theme="1"/>
      <name val="Arial"/>
      <family val="2"/>
    </font>
    <font>
      <i/>
      <sz val="10"/>
      <color theme="1"/>
      <name val="Arial"/>
      <family val="2"/>
    </font>
    <font>
      <sz val="6"/>
      <color theme="1"/>
      <name val="Arial"/>
      <family val="2"/>
    </font>
    <font>
      <sz val="10"/>
      <name val="Arial"/>
      <family val="2"/>
    </font>
    <font>
      <b/>
      <sz val="10"/>
      <name val="Arial"/>
      <family val="2"/>
    </font>
    <font>
      <sz val="14"/>
      <color theme="1"/>
      <name val="Arial"/>
      <family val="2"/>
    </font>
    <font>
      <u/>
      <sz val="10"/>
      <color theme="1"/>
      <name val="Arial"/>
      <family val="2"/>
    </font>
    <font>
      <b/>
      <i/>
      <sz val="10"/>
      <color theme="1"/>
      <name val="Arial"/>
      <family val="2"/>
    </font>
    <font>
      <b/>
      <sz val="11"/>
      <color theme="1"/>
      <name val="Arial"/>
      <family val="2"/>
    </font>
    <font>
      <sz val="8.5"/>
      <color theme="1"/>
      <name val="Arial"/>
      <family val="2"/>
    </font>
    <font>
      <sz val="10"/>
      <color rgb="FFFF0000"/>
      <name val="Arial"/>
      <family val="2"/>
    </font>
    <font>
      <b/>
      <sz val="10"/>
      <color rgb="FFFF0000"/>
      <name val="Arial"/>
      <family val="2"/>
    </font>
    <font>
      <sz val="7.5"/>
      <color theme="1"/>
      <name val="Arial"/>
      <family val="2"/>
    </font>
    <font>
      <sz val="9"/>
      <color theme="1"/>
      <name val="Arial"/>
      <family val="2"/>
    </font>
    <font>
      <sz val="10"/>
      <color rgb="FFC00000"/>
      <name val="Arial"/>
      <family val="2"/>
    </font>
    <font>
      <sz val="8"/>
      <color theme="1"/>
      <name val="Arial"/>
      <family val="2"/>
    </font>
    <font>
      <b/>
      <sz val="9"/>
      <color theme="1"/>
      <name val="Arial"/>
      <family val="2"/>
    </font>
    <font>
      <b/>
      <sz val="9.5"/>
      <name val="Arial"/>
      <family val="2"/>
    </font>
    <font>
      <sz val="9"/>
      <name val="Arial"/>
      <family val="2"/>
    </font>
    <font>
      <sz val="9.5"/>
      <color theme="1"/>
      <name val="Arial"/>
      <family val="2"/>
    </font>
    <font>
      <u/>
      <sz val="12"/>
      <color theme="10"/>
      <name val="Calibri"/>
      <family val="2"/>
      <scheme val="minor"/>
    </font>
    <font>
      <sz val="14"/>
      <color rgb="FF000000"/>
      <name val="Calibri"/>
      <family val="2"/>
    </font>
    <font>
      <sz val="11"/>
      <color theme="1"/>
      <name val="Calibri"/>
      <family val="2"/>
    </font>
    <font>
      <sz val="12"/>
      <color rgb="FF000000"/>
      <name val="Calibri"/>
      <family val="2"/>
    </font>
    <font>
      <b/>
      <sz val="11"/>
      <color rgb="FF000000"/>
      <name val="Calibri"/>
      <family val="2"/>
    </font>
    <font>
      <u/>
      <sz val="11"/>
      <color theme="10"/>
      <name val="Calibri"/>
      <family val="2"/>
      <scheme val="minor"/>
    </font>
    <font>
      <b/>
      <sz val="11"/>
      <color theme="1"/>
      <name val="Calibri"/>
      <family val="2"/>
    </font>
    <font>
      <sz val="11"/>
      <color rgb="FF0070C0"/>
      <name val="Calibri"/>
      <family val="2"/>
      <scheme val="minor"/>
    </font>
    <font>
      <i/>
      <sz val="11"/>
      <color rgb="FF000000"/>
      <name val="Calibri"/>
      <family val="2"/>
    </font>
    <font>
      <b/>
      <sz val="16"/>
      <color theme="1"/>
      <name val="Calibri"/>
      <family val="2"/>
      <scheme val="minor"/>
    </font>
    <font>
      <b/>
      <sz val="11"/>
      <color theme="0"/>
      <name val="Calibri"/>
      <family val="2"/>
      <scheme val="minor"/>
    </font>
    <font>
      <b/>
      <i/>
      <sz val="11"/>
      <color theme="1"/>
      <name val="Calibri"/>
      <family val="2"/>
    </font>
    <font>
      <sz val="11"/>
      <color rgb="FFFF0000"/>
      <name val="Calibri"/>
      <family val="2"/>
    </font>
    <font>
      <sz val="11"/>
      <color rgb="FF000000"/>
      <name val="Calibri"/>
      <family val="2"/>
    </font>
    <font>
      <i/>
      <sz val="11"/>
      <color theme="1"/>
      <name val="Calibri"/>
      <family val="2"/>
    </font>
    <font>
      <i/>
      <sz val="11"/>
      <color theme="3" tint="0.39997558519241921"/>
      <name val="Calibri"/>
      <family val="2"/>
    </font>
    <font>
      <b/>
      <sz val="11"/>
      <name val="Calibri"/>
      <family val="2"/>
    </font>
    <font>
      <sz val="11"/>
      <name val="Calibri"/>
      <family val="2"/>
    </font>
    <font>
      <b/>
      <sz val="11"/>
      <color rgb="FFFF0000"/>
      <name val="Calibri"/>
      <family val="2"/>
    </font>
    <font>
      <b/>
      <sz val="11"/>
      <color rgb="FF008A3E"/>
      <name val="Calibri"/>
      <family val="2"/>
    </font>
    <font>
      <sz val="18"/>
      <color rgb="FFFF0000"/>
      <name val="Calibri"/>
      <family val="2"/>
      <scheme val="minor"/>
    </font>
    <font>
      <b/>
      <sz val="11"/>
      <color rgb="FFFF0000"/>
      <name val="Calibri"/>
      <family val="2"/>
      <scheme val="minor"/>
    </font>
    <font>
      <sz val="16"/>
      <color theme="1"/>
      <name val="Calibri"/>
      <family val="2"/>
      <scheme val="minor"/>
    </font>
    <font>
      <sz val="10"/>
      <color theme="1"/>
      <name val="Calibri"/>
      <family val="2"/>
      <scheme val="minor"/>
    </font>
    <font>
      <sz val="20"/>
      <color theme="1"/>
      <name val="Calibri"/>
      <family val="2"/>
      <scheme val="minor"/>
    </font>
    <font>
      <b/>
      <sz val="20"/>
      <color theme="1"/>
      <name val="Calibri"/>
      <family val="2"/>
      <scheme val="minor"/>
    </font>
    <font>
      <i/>
      <sz val="10"/>
      <color theme="1"/>
      <name val="Calibri"/>
      <family val="2"/>
      <scheme val="minor"/>
    </font>
    <font>
      <b/>
      <i/>
      <sz val="10"/>
      <color theme="0"/>
      <name val="Arial"/>
      <family val="2"/>
    </font>
    <font>
      <b/>
      <i/>
      <sz val="11"/>
      <color rgb="FFFF0000"/>
      <name val="Calibri"/>
      <family val="2"/>
      <scheme val="minor"/>
    </font>
  </fonts>
  <fills count="1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theme="4"/>
      </patternFill>
    </fill>
    <fill>
      <patternFill patternType="solid">
        <fgColor theme="7"/>
        <bgColor indexed="64"/>
      </patternFill>
    </fill>
    <fill>
      <patternFill patternType="solid">
        <fgColor rgb="FFFFC000"/>
        <bgColor indexed="64"/>
      </patternFill>
    </fill>
    <fill>
      <patternFill patternType="solid">
        <fgColor theme="5" tint="0.59999389629810485"/>
        <bgColor indexed="64"/>
      </patternFill>
    </fill>
    <fill>
      <patternFill patternType="solid">
        <fgColor rgb="FF000000"/>
        <bgColor rgb="FF000000"/>
      </patternFill>
    </fill>
    <fill>
      <patternFill patternType="solid">
        <fgColor rgb="FF92D050"/>
        <bgColor rgb="FF000000"/>
      </patternFill>
    </fill>
    <fill>
      <patternFill patternType="solid">
        <fgColor rgb="FF92D050"/>
        <bgColor indexed="64"/>
      </patternFill>
    </fill>
    <fill>
      <patternFill patternType="solid">
        <fgColor rgb="FFDCE6F1"/>
        <bgColor rgb="FF000000"/>
      </patternFill>
    </fill>
  </fills>
  <borders count="83">
    <border>
      <left/>
      <right/>
      <top/>
      <bottom/>
      <diagonal/>
    </border>
    <border>
      <left style="thin">
        <color theme="1" tint="0.24994659260841701"/>
      </left>
      <right style="thin">
        <color theme="1" tint="0.24994659260841701"/>
      </right>
      <top style="thin">
        <color theme="1" tint="0.24994659260841701"/>
      </top>
      <bottom/>
      <diagonal/>
    </border>
    <border>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style="thin">
        <color theme="1" tint="0.24994659260841701"/>
      </top>
      <bottom/>
      <diagonal/>
    </border>
    <border>
      <left style="thin">
        <color theme="1" tint="0.24994659260841701"/>
      </left>
      <right style="thin">
        <color theme="1" tint="0.24994659260841701"/>
      </right>
      <top/>
      <bottom/>
      <diagonal/>
    </border>
    <border>
      <left style="thin">
        <color theme="1" tint="0.24994659260841701"/>
      </left>
      <right/>
      <top/>
      <bottom/>
      <diagonal/>
    </border>
    <border>
      <left style="thin">
        <color theme="1" tint="0.24994659260841701"/>
      </left>
      <right/>
      <top/>
      <bottom style="thin">
        <color theme="1" tint="0.24994659260841701"/>
      </bottom>
      <diagonal/>
    </border>
    <border>
      <left/>
      <right/>
      <top/>
      <bottom style="thin">
        <color theme="1" tint="0.24994659260841701"/>
      </bottom>
      <diagonal/>
    </border>
    <border>
      <left/>
      <right style="thin">
        <color theme="1" tint="0.24994659260841701"/>
      </right>
      <top/>
      <bottom style="thin">
        <color theme="1" tint="0.24994659260841701"/>
      </bottom>
      <diagonal/>
    </border>
    <border>
      <left style="dashDot">
        <color theme="1" tint="0.24994659260841701"/>
      </left>
      <right style="dashDot">
        <color theme="1" tint="0.24994659260841701"/>
      </right>
      <top style="dashDot">
        <color theme="1" tint="0.24994659260841701"/>
      </top>
      <bottom style="thin">
        <color theme="1" tint="0.24994659260841701"/>
      </bottom>
      <diagonal/>
    </border>
    <border>
      <left style="medium">
        <color auto="1"/>
      </left>
      <right style="medium">
        <color auto="1"/>
      </right>
      <top style="medium">
        <color auto="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dashDot">
        <color theme="1" tint="0.24994659260841701"/>
      </left>
      <right style="dashDot">
        <color theme="1" tint="0.24994659260841701"/>
      </right>
      <top style="thin">
        <color theme="1" tint="0.24994659260841701"/>
      </top>
      <bottom style="thin">
        <color theme="1" tint="0.24994659260841701"/>
      </bottom>
      <diagonal/>
    </border>
    <border>
      <left style="medium">
        <color auto="1"/>
      </left>
      <right style="medium">
        <color auto="1"/>
      </right>
      <top style="thin">
        <color theme="1" tint="0.24994659260841701"/>
      </top>
      <bottom style="thin">
        <color theme="1" tint="0.24994659260841701"/>
      </bottom>
      <diagonal/>
    </border>
    <border>
      <left style="medium">
        <color auto="1"/>
      </left>
      <right style="medium">
        <color auto="1"/>
      </right>
      <top/>
      <bottom/>
      <diagonal/>
    </border>
    <border>
      <left style="medium">
        <color auto="1"/>
      </left>
      <right style="medium">
        <color auto="1"/>
      </right>
      <top style="thin">
        <color theme="1" tint="0.24994659260841701"/>
      </top>
      <bottom/>
      <diagonal/>
    </border>
    <border>
      <left/>
      <right style="thin">
        <color theme="1" tint="0.24994659260841701"/>
      </right>
      <top/>
      <bottom/>
      <diagonal/>
    </border>
    <border>
      <left/>
      <right/>
      <top/>
      <bottom style="thin">
        <color auto="1"/>
      </bottom>
      <diagonal/>
    </border>
    <border>
      <left style="medium">
        <color auto="1"/>
      </left>
      <right style="medium">
        <color auto="1"/>
      </right>
      <top/>
      <bottom style="medium">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style="medium">
        <color auto="1"/>
      </left>
      <right/>
      <top style="medium">
        <color auto="1"/>
      </top>
      <bottom/>
      <diagonal/>
    </border>
    <border>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theme="1" tint="0.24994659260841701"/>
      </left>
      <right/>
      <top/>
      <bottom style="thin">
        <color auto="1"/>
      </bottom>
      <diagonal/>
    </border>
    <border>
      <left style="thin">
        <color theme="1" tint="0.24994659260841701"/>
      </left>
      <right style="thin">
        <color auto="1"/>
      </right>
      <top style="thin">
        <color auto="1"/>
      </top>
      <bottom/>
      <diagonal/>
    </border>
    <border>
      <left style="thin">
        <color theme="1" tint="0.24994659260841701"/>
      </left>
      <right style="thin">
        <color auto="1"/>
      </right>
      <top/>
      <bottom/>
      <diagonal/>
    </border>
    <border>
      <left style="thin">
        <color theme="1" tint="0.24994659260841701"/>
      </left>
      <right style="thin">
        <color auto="1"/>
      </right>
      <top/>
      <bottom style="thin">
        <color auto="1"/>
      </bottom>
      <diagonal/>
    </border>
    <border>
      <left/>
      <right style="thin">
        <color theme="1" tint="0.24994659260841701"/>
      </right>
      <top/>
      <bottom style="medium">
        <color auto="1"/>
      </bottom>
      <diagonal/>
    </border>
    <border>
      <left style="thin">
        <color theme="1" tint="0.24994659260841701"/>
      </left>
      <right/>
      <top/>
      <bottom style="medium">
        <color auto="1"/>
      </bottom>
      <diagonal/>
    </border>
    <border>
      <left style="thin">
        <color theme="1" tint="0.24994659260841701"/>
      </left>
      <right style="thin">
        <color theme="1" tint="0.24994659260841701"/>
      </right>
      <top/>
      <bottom style="medium">
        <color auto="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medium">
        <color auto="1"/>
      </left>
      <right style="medium">
        <color auto="1"/>
      </right>
      <top style="thin">
        <color theme="4" tint="0.39997558519241921"/>
      </top>
      <bottom style="medium">
        <color auto="1"/>
      </bottom>
      <diagonal/>
    </border>
    <border>
      <left/>
      <right/>
      <top style="thin">
        <color theme="4" tint="0.39997558519241921"/>
      </top>
      <bottom style="thin">
        <color auto="1"/>
      </bottom>
      <diagonal/>
    </border>
    <border>
      <left style="thin">
        <color theme="1" tint="0.24994659260841701"/>
      </left>
      <right/>
      <top style="thin">
        <color theme="4" tint="0.39997558519241921"/>
      </top>
      <bottom style="thin">
        <color theme="4" tint="0.39997558519241921"/>
      </bottom>
      <diagonal/>
    </border>
    <border>
      <left style="thin">
        <color theme="4" tint="0.39997558519241921"/>
      </left>
      <right/>
      <top style="thin">
        <color theme="1" tint="0.24994659260841701"/>
      </top>
      <bottom/>
      <diagonal/>
    </border>
    <border>
      <left style="dashDot">
        <color theme="1" tint="0.24994659260841701"/>
      </left>
      <right/>
      <top style="thin">
        <color theme="1" tint="0.24994659260841701"/>
      </top>
      <bottom/>
      <diagonal/>
    </border>
    <border>
      <left style="medium">
        <color auto="1"/>
      </left>
      <right/>
      <top style="thin">
        <color theme="1" tint="0.24994659260841701"/>
      </top>
      <bottom/>
      <diagonal/>
    </border>
    <border>
      <left style="thin">
        <color theme="1" tint="0.24994659260841701"/>
      </left>
      <right/>
      <top style="thin">
        <color theme="4" tint="0.39997558519241921"/>
      </top>
      <bottom/>
      <diagonal/>
    </border>
    <border>
      <left style="dashDot">
        <color theme="1" tint="0.24994659260841701"/>
      </left>
      <right/>
      <top style="thin">
        <color theme="4" tint="0.39997558519241921"/>
      </top>
      <bottom/>
      <diagonal/>
    </border>
    <border>
      <left style="medium">
        <color auto="1"/>
      </left>
      <right/>
      <top style="thin">
        <color theme="4" tint="0.39997558519241921"/>
      </top>
      <bottom/>
      <diagonal/>
    </border>
    <border>
      <left style="medium">
        <color auto="1"/>
      </left>
      <right style="medium">
        <color auto="1"/>
      </right>
      <top style="thin">
        <color theme="4" tint="0.39997558519241921"/>
      </top>
      <bottom/>
      <diagonal/>
    </border>
    <border>
      <left style="dashDot">
        <color theme="1" tint="0.24994659260841701"/>
      </left>
      <right/>
      <top style="thin">
        <color theme="4" tint="0.39997558519241921"/>
      </top>
      <bottom style="thin">
        <color theme="4" tint="0.39997558519241921"/>
      </bottom>
      <diagonal/>
    </border>
    <border>
      <left style="medium">
        <color auto="1"/>
      </left>
      <right/>
      <top style="thin">
        <color theme="4" tint="0.39997558519241921"/>
      </top>
      <bottom style="medium">
        <color auto="1"/>
      </bottom>
      <diagonal/>
    </border>
    <border>
      <left style="medium">
        <color auto="1"/>
      </left>
      <right/>
      <top style="thin">
        <color theme="4" tint="0.39997558519241921"/>
      </top>
      <bottom style="thin">
        <color theme="4" tint="0.39997558519241921"/>
      </bottom>
      <diagonal/>
    </border>
  </borders>
  <cellStyleXfs count="7">
    <xf numFmtId="0" fontId="0" fillId="0" borderId="0"/>
    <xf numFmtId="43" fontId="2"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7" fillId="0" borderId="0" applyNumberFormat="0" applyFill="0" applyBorder="0" applyAlignment="0" applyProtection="0"/>
    <xf numFmtId="0" fontId="42" fillId="0" borderId="0" applyNumberFormat="0" applyFill="0" applyBorder="0" applyAlignment="0" applyProtection="0"/>
  </cellStyleXfs>
  <cellXfs count="511">
    <xf numFmtId="0" fontId="0" fillId="0" borderId="0" xfId="0"/>
    <xf numFmtId="0" fontId="3" fillId="0" borderId="0" xfId="2"/>
    <xf numFmtId="0" fontId="5" fillId="0" borderId="0" xfId="2" applyFont="1" applyAlignment="1">
      <alignment horizontal="justify" vertical="center"/>
    </xf>
    <xf numFmtId="0" fontId="3" fillId="0" borderId="0" xfId="2" applyAlignment="1">
      <alignment horizontal="justify" vertical="center"/>
    </xf>
    <xf numFmtId="0" fontId="3" fillId="0" borderId="0" xfId="2" applyAlignment="1">
      <alignment horizontal="center" vertical="center"/>
    </xf>
    <xf numFmtId="0" fontId="3" fillId="0" borderId="0" xfId="2" applyAlignment="1">
      <alignment horizontal="right"/>
    </xf>
    <xf numFmtId="0" fontId="8" fillId="0" borderId="0" xfId="2" applyFont="1" applyAlignment="1">
      <alignment horizontal="center" vertical="center"/>
    </xf>
    <xf numFmtId="0" fontId="9" fillId="0" borderId="0" xfId="2" applyFont="1" applyAlignment="1">
      <alignment horizontal="center" vertical="center"/>
    </xf>
    <xf numFmtId="0" fontId="10" fillId="0" borderId="0" xfId="2" applyFont="1" applyAlignment="1">
      <alignment horizontal="center" vertical="center"/>
    </xf>
    <xf numFmtId="0" fontId="8" fillId="0" borderId="0" xfId="2" applyFont="1" applyAlignment="1">
      <alignment horizontal="center"/>
    </xf>
    <xf numFmtId="0" fontId="10" fillId="0" borderId="0" xfId="2" applyFont="1"/>
    <xf numFmtId="0" fontId="5" fillId="0" borderId="0" xfId="2" applyFont="1" applyAlignment="1"/>
    <xf numFmtId="0" fontId="3" fillId="0" borderId="0" xfId="2" applyAlignment="1">
      <alignment wrapText="1"/>
    </xf>
    <xf numFmtId="0" fontId="11" fillId="0" borderId="0" xfId="2" applyFont="1" applyAlignment="1">
      <alignment vertical="center"/>
    </xf>
    <xf numFmtId="0" fontId="4" fillId="0" borderId="0" xfId="2" applyFont="1" applyAlignment="1">
      <alignment horizontal="left" wrapText="1"/>
    </xf>
    <xf numFmtId="0" fontId="12" fillId="0" borderId="0" xfId="2" applyFont="1" applyAlignment="1">
      <alignment vertical="center"/>
    </xf>
    <xf numFmtId="0" fontId="3" fillId="0" borderId="0" xfId="2" applyAlignment="1">
      <alignment vertical="top" wrapText="1"/>
    </xf>
    <xf numFmtId="0" fontId="3" fillId="0" borderId="0" xfId="2" applyAlignment="1"/>
    <xf numFmtId="0" fontId="5" fillId="0" borderId="0" xfId="2" applyFont="1"/>
    <xf numFmtId="0" fontId="5" fillId="0" borderId="0" xfId="2" applyFont="1" applyAlignment="1">
      <alignment wrapText="1"/>
    </xf>
    <xf numFmtId="0" fontId="13" fillId="0" borderId="0" xfId="0" applyFont="1"/>
    <xf numFmtId="0" fontId="14" fillId="0" borderId="0" xfId="0" applyFont="1"/>
    <xf numFmtId="0" fontId="14" fillId="0" borderId="0" xfId="0" applyFont="1" applyAlignment="1">
      <alignment horizontal="right"/>
    </xf>
    <xf numFmtId="0" fontId="14" fillId="0" borderId="0" xfId="0" applyFont="1" applyFill="1"/>
    <xf numFmtId="0" fontId="14" fillId="0" borderId="0" xfId="0" applyFont="1" applyAlignment="1"/>
    <xf numFmtId="0" fontId="15" fillId="0" borderId="0" xfId="0" applyFont="1"/>
    <xf numFmtId="0" fontId="12" fillId="0" borderId="0" xfId="0" applyFont="1"/>
    <xf numFmtId="0" fontId="16" fillId="0" borderId="0" xfId="0" applyFont="1"/>
    <xf numFmtId="0" fontId="16" fillId="0" borderId="0" xfId="0" applyFont="1" applyFill="1"/>
    <xf numFmtId="0" fontId="17" fillId="0" borderId="0" xfId="0" applyFont="1" applyAlignment="1">
      <alignment horizontal="right"/>
    </xf>
    <xf numFmtId="0" fontId="17" fillId="0" borderId="0" xfId="0" applyFont="1" applyBorder="1" applyAlignment="1">
      <alignment horizontal="center"/>
    </xf>
    <xf numFmtId="0" fontId="14" fillId="0" borderId="1" xfId="0" applyFont="1" applyBorder="1"/>
    <xf numFmtId="0" fontId="14" fillId="0" borderId="2" xfId="0" applyFont="1" applyBorder="1"/>
    <xf numFmtId="0" fontId="14" fillId="0" borderId="3" xfId="0" applyFont="1" applyBorder="1"/>
    <xf numFmtId="0" fontId="14" fillId="0" borderId="5" xfId="0" applyFont="1" applyFill="1" applyBorder="1"/>
    <xf numFmtId="0" fontId="17" fillId="0" borderId="6" xfId="0" applyFont="1" applyFill="1" applyBorder="1" applyAlignment="1">
      <alignment wrapText="1"/>
    </xf>
    <xf numFmtId="0" fontId="17" fillId="0" borderId="7" xfId="0" applyFont="1" applyFill="1" applyBorder="1" applyAlignment="1">
      <alignment horizontal="center" wrapText="1"/>
    </xf>
    <xf numFmtId="0" fontId="17" fillId="0" borderId="8" xfId="0" applyFont="1" applyFill="1" applyBorder="1" applyAlignment="1">
      <alignment horizontal="center" wrapText="1"/>
    </xf>
    <xf numFmtId="0" fontId="17" fillId="0" borderId="9" xfId="0" applyFont="1" applyFill="1" applyBorder="1" applyAlignment="1">
      <alignment horizontal="center" wrapText="1"/>
    </xf>
    <xf numFmtId="0" fontId="14" fillId="0" borderId="10" xfId="0" applyFont="1" applyBorder="1" applyAlignment="1">
      <alignment horizontal="center" wrapText="1"/>
    </xf>
    <xf numFmtId="0" fontId="14" fillId="0" borderId="8" xfId="0" applyFont="1" applyBorder="1" applyAlignment="1">
      <alignment horizontal="center" wrapText="1"/>
    </xf>
    <xf numFmtId="0" fontId="17" fillId="0" borderId="11" xfId="0" applyFont="1" applyBorder="1" applyAlignment="1">
      <alignment horizontal="center" wrapText="1"/>
    </xf>
    <xf numFmtId="0" fontId="14" fillId="0" borderId="0" xfId="0" applyFont="1" applyFill="1" applyBorder="1" applyAlignment="1">
      <alignment horizontal="center" wrapText="1"/>
    </xf>
    <xf numFmtId="0" fontId="18" fillId="0" borderId="12" xfId="0" applyFont="1" applyFill="1" applyBorder="1" applyAlignment="1">
      <alignment vertical="center" wrapText="1"/>
    </xf>
    <xf numFmtId="0" fontId="18" fillId="0" borderId="13"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5" xfId="0" applyFont="1" applyFill="1" applyBorder="1" applyAlignment="1">
      <alignment horizontal="center" vertical="center" wrapText="1"/>
    </xf>
    <xf numFmtId="0" fontId="14" fillId="0" borderId="16" xfId="0" applyFont="1" applyBorder="1" applyAlignment="1">
      <alignment horizontal="center"/>
    </xf>
    <xf numFmtId="0" fontId="14" fillId="0" borderId="14" xfId="0" applyFont="1" applyBorder="1" applyAlignment="1">
      <alignment horizontal="center"/>
    </xf>
    <xf numFmtId="0" fontId="14" fillId="0" borderId="17" xfId="0" applyFont="1" applyBorder="1" applyAlignment="1">
      <alignment horizontal="center"/>
    </xf>
    <xf numFmtId="0" fontId="14" fillId="0" borderId="0" xfId="0" applyFont="1" applyFill="1" applyBorder="1" applyAlignment="1">
      <alignment horizontal="center"/>
    </xf>
    <xf numFmtId="0" fontId="14" fillId="0" borderId="0" xfId="0" applyFont="1" applyFill="1" applyBorder="1"/>
    <xf numFmtId="0" fontId="14" fillId="0" borderId="14" xfId="0" applyFont="1" applyBorder="1"/>
    <xf numFmtId="4" fontId="21" fillId="2" borderId="19" xfId="0" applyNumberFormat="1" applyFont="1" applyFill="1" applyBorder="1" applyAlignment="1">
      <alignment horizontal="right" indent="3"/>
    </xf>
    <xf numFmtId="4" fontId="20" fillId="2" borderId="3" xfId="0" applyNumberFormat="1" applyFont="1" applyFill="1" applyBorder="1"/>
    <xf numFmtId="4" fontId="20" fillId="0" borderId="20" xfId="0" applyNumberFormat="1" applyFont="1" applyBorder="1"/>
    <xf numFmtId="4" fontId="20" fillId="2" borderId="20" xfId="0" applyNumberFormat="1" applyFont="1" applyFill="1" applyBorder="1"/>
    <xf numFmtId="4" fontId="20" fillId="0" borderId="9" xfId="0" applyNumberFormat="1" applyFont="1" applyBorder="1"/>
    <xf numFmtId="0" fontId="17" fillId="0" borderId="12" xfId="0" applyFont="1" applyFill="1" applyBorder="1" applyAlignment="1">
      <alignment wrapText="1"/>
    </xf>
    <xf numFmtId="164" fontId="14" fillId="0" borderId="13" xfId="0" applyNumberFormat="1" applyFont="1" applyFill="1" applyBorder="1"/>
    <xf numFmtId="164" fontId="14" fillId="0" borderId="14" xfId="0" applyNumberFormat="1" applyFont="1" applyFill="1" applyBorder="1"/>
    <xf numFmtId="0" fontId="17" fillId="0" borderId="14" xfId="0" applyFont="1" applyFill="1" applyBorder="1" applyAlignment="1">
      <alignment horizontal="center" wrapText="1"/>
    </xf>
    <xf numFmtId="0" fontId="17" fillId="0" borderId="15" xfId="0" applyFont="1" applyFill="1" applyBorder="1" applyAlignment="1">
      <alignment horizontal="center" wrapText="1"/>
    </xf>
    <xf numFmtId="0" fontId="18" fillId="0" borderId="6" xfId="0" applyFont="1" applyFill="1" applyBorder="1" applyAlignment="1">
      <alignment vertical="center" wrapText="1"/>
    </xf>
    <xf numFmtId="0" fontId="18" fillId="0" borderId="4" xfId="0" applyFont="1" applyFill="1" applyBorder="1" applyAlignment="1">
      <alignment horizontal="center" vertical="center" wrapText="1"/>
    </xf>
    <xf numFmtId="0" fontId="18" fillId="0" borderId="2" xfId="0" applyFont="1" applyFill="1" applyBorder="1" applyAlignment="1">
      <alignment horizontal="center" vertical="center" wrapText="1"/>
    </xf>
    <xf numFmtId="164" fontId="14" fillId="0" borderId="2" xfId="0" applyNumberFormat="1" applyFont="1" applyFill="1" applyBorder="1" applyAlignment="1">
      <alignment vertical="center"/>
    </xf>
    <xf numFmtId="0" fontId="18" fillId="0" borderId="3" xfId="0" applyFont="1" applyFill="1" applyBorder="1" applyAlignment="1">
      <alignment horizontal="center" vertical="center" wrapText="1"/>
    </xf>
    <xf numFmtId="4" fontId="20" fillId="2" borderId="1" xfId="0" applyNumberFormat="1" applyFont="1" applyFill="1" applyBorder="1" applyAlignment="1">
      <alignment vertical="center"/>
    </xf>
    <xf numFmtId="164" fontId="20" fillId="2" borderId="2" xfId="0" applyNumberFormat="1" applyFont="1" applyFill="1" applyBorder="1" applyAlignment="1">
      <alignment horizontal="right" vertical="center"/>
    </xf>
    <xf numFmtId="4" fontId="20" fillId="2" borderId="2" xfId="0" applyNumberFormat="1" applyFont="1" applyFill="1" applyBorder="1" applyAlignment="1">
      <alignment horizontal="right" vertical="center"/>
    </xf>
    <xf numFmtId="4" fontId="20" fillId="2" borderId="3" xfId="0" applyNumberFormat="1" applyFont="1" applyFill="1" applyBorder="1" applyAlignment="1">
      <alignment horizontal="right" vertical="center"/>
    </xf>
    <xf numFmtId="4" fontId="20" fillId="0" borderId="5" xfId="0" applyNumberFormat="1" applyFont="1" applyBorder="1" applyAlignment="1">
      <alignment vertical="center"/>
    </xf>
    <xf numFmtId="164" fontId="20" fillId="0" borderId="0" xfId="0" applyNumberFormat="1" applyFont="1" applyBorder="1" applyAlignment="1">
      <alignment horizontal="right" vertical="center"/>
    </xf>
    <xf numFmtId="4" fontId="20" fillId="0" borderId="0" xfId="0" applyNumberFormat="1" applyFont="1" applyBorder="1" applyAlignment="1">
      <alignment horizontal="right" vertical="center"/>
    </xf>
    <xf numFmtId="4" fontId="20" fillId="0" borderId="20" xfId="0" applyNumberFormat="1" applyFont="1" applyBorder="1" applyAlignment="1">
      <alignment horizontal="right" vertical="center"/>
    </xf>
    <xf numFmtId="4" fontId="20" fillId="2" borderId="0" xfId="0" applyNumberFormat="1" applyFont="1" applyFill="1" applyBorder="1" applyAlignment="1">
      <alignment vertical="center"/>
    </xf>
    <xf numFmtId="164" fontId="20" fillId="2" borderId="23" xfId="0" applyNumberFormat="1" applyFont="1" applyFill="1" applyBorder="1" applyAlignment="1">
      <alignment horizontal="right" vertical="center"/>
    </xf>
    <xf numFmtId="164" fontId="20" fillId="2" borderId="0" xfId="0" applyNumberFormat="1" applyFont="1" applyFill="1" applyBorder="1" applyAlignment="1">
      <alignment horizontal="right" vertical="center"/>
    </xf>
    <xf numFmtId="4" fontId="20" fillId="2" borderId="0" xfId="0" applyNumberFormat="1" applyFont="1" applyFill="1" applyBorder="1" applyAlignment="1">
      <alignment horizontal="right" vertical="center"/>
    </xf>
    <xf numFmtId="4" fontId="20" fillId="2" borderId="24" xfId="0" applyNumberFormat="1" applyFont="1" applyFill="1" applyBorder="1" applyAlignment="1">
      <alignment horizontal="right" vertical="center"/>
    </xf>
    <xf numFmtId="4" fontId="14" fillId="0" borderId="0" xfId="0" applyNumberFormat="1" applyFont="1"/>
    <xf numFmtId="0" fontId="17" fillId="0" borderId="0" xfId="0" applyFont="1" applyBorder="1" applyAlignment="1">
      <alignment horizontal="center" vertical="center" textRotation="90"/>
    </xf>
    <xf numFmtId="4" fontId="20" fillId="0" borderId="23" xfId="0" applyNumberFormat="1" applyFont="1" applyFill="1" applyBorder="1" applyAlignment="1">
      <alignment vertical="center"/>
    </xf>
    <xf numFmtId="164" fontId="20" fillId="0" borderId="23" xfId="0" applyNumberFormat="1" applyFont="1" applyFill="1" applyBorder="1" applyAlignment="1">
      <alignment horizontal="right" vertical="center"/>
    </xf>
    <xf numFmtId="164" fontId="20" fillId="0" borderId="0" xfId="0" applyNumberFormat="1" applyFont="1" applyFill="1" applyBorder="1" applyAlignment="1">
      <alignment horizontal="right" vertical="center"/>
    </xf>
    <xf numFmtId="4" fontId="20" fillId="0" borderId="0" xfId="0" applyNumberFormat="1" applyFont="1" applyFill="1" applyBorder="1" applyAlignment="1">
      <alignment horizontal="right" vertical="center"/>
    </xf>
    <xf numFmtId="4" fontId="20" fillId="0" borderId="24" xfId="0" applyNumberFormat="1" applyFont="1" applyFill="1" applyBorder="1" applyAlignment="1">
      <alignment horizontal="right" vertical="center"/>
    </xf>
    <xf numFmtId="0" fontId="17" fillId="0" borderId="0" xfId="0" applyFont="1" applyFill="1" applyBorder="1" applyAlignment="1">
      <alignment horizontal="center" vertical="center" textRotation="90"/>
    </xf>
    <xf numFmtId="4" fontId="20" fillId="3" borderId="23" xfId="0" applyNumberFormat="1" applyFont="1" applyFill="1" applyBorder="1" applyAlignment="1">
      <alignment vertical="center"/>
    </xf>
    <xf numFmtId="164" fontId="20" fillId="3" borderId="23" xfId="0" applyNumberFormat="1" applyFont="1" applyFill="1" applyBorder="1" applyAlignment="1">
      <alignment horizontal="right" vertical="center"/>
    </xf>
    <xf numFmtId="164" fontId="20" fillId="3" borderId="0" xfId="0" applyNumberFormat="1" applyFont="1" applyFill="1" applyBorder="1" applyAlignment="1">
      <alignment horizontal="right" vertical="center"/>
    </xf>
    <xf numFmtId="4" fontId="20" fillId="3" borderId="0" xfId="0" applyNumberFormat="1" applyFont="1" applyFill="1" applyBorder="1" applyAlignment="1">
      <alignment horizontal="right" vertical="center"/>
    </xf>
    <xf numFmtId="4" fontId="20" fillId="0" borderId="25" xfId="0" applyNumberFormat="1" applyFont="1" applyFill="1" applyBorder="1" applyAlignment="1">
      <alignment vertical="center"/>
    </xf>
    <xf numFmtId="164" fontId="20" fillId="0" borderId="25" xfId="0" applyNumberFormat="1" applyFont="1" applyFill="1" applyBorder="1" applyAlignment="1">
      <alignment horizontal="right" vertical="center"/>
    </xf>
    <xf numFmtId="164" fontId="20" fillId="0" borderId="21" xfId="0" applyNumberFormat="1" applyFont="1" applyFill="1" applyBorder="1" applyAlignment="1">
      <alignment horizontal="right" vertical="center"/>
    </xf>
    <xf numFmtId="4" fontId="20" fillId="0" borderId="21" xfId="0" applyNumberFormat="1" applyFont="1" applyFill="1" applyBorder="1" applyAlignment="1">
      <alignment horizontal="right" vertical="center"/>
    </xf>
    <xf numFmtId="4" fontId="20" fillId="0" borderId="26" xfId="0" applyNumberFormat="1" applyFont="1" applyFill="1" applyBorder="1" applyAlignment="1">
      <alignment horizontal="right" vertical="center"/>
    </xf>
    <xf numFmtId="4" fontId="20" fillId="0" borderId="0" xfId="0" applyNumberFormat="1" applyFont="1" applyFill="1" applyBorder="1" applyAlignment="1">
      <alignment vertical="center"/>
    </xf>
    <xf numFmtId="0" fontId="14" fillId="0" borderId="0" xfId="0" applyFont="1" applyAlignment="1">
      <alignment vertical="center"/>
    </xf>
    <xf numFmtId="4" fontId="14" fillId="0" borderId="18" xfId="0" applyNumberFormat="1" applyFont="1" applyFill="1" applyBorder="1"/>
    <xf numFmtId="164" fontId="14" fillId="0" borderId="0" xfId="0" applyNumberFormat="1" applyFont="1" applyFill="1" applyBorder="1"/>
    <xf numFmtId="4" fontId="14" fillId="0" borderId="22" xfId="0" applyNumberFormat="1" applyFont="1" applyFill="1" applyBorder="1"/>
    <xf numFmtId="0" fontId="22" fillId="0" borderId="0" xfId="0" applyFont="1"/>
    <xf numFmtId="0" fontId="14" fillId="0" borderId="0" xfId="0" applyFont="1" applyAlignment="1">
      <alignment horizontal="left"/>
    </xf>
    <xf numFmtId="0" fontId="14" fillId="0" borderId="0" xfId="2" applyFont="1"/>
    <xf numFmtId="0" fontId="13" fillId="0" borderId="0" xfId="2" applyFont="1"/>
    <xf numFmtId="0" fontId="23" fillId="0" borderId="0" xfId="2" applyFont="1"/>
    <xf numFmtId="0" fontId="24" fillId="0" borderId="0" xfId="2" applyFont="1"/>
    <xf numFmtId="0" fontId="25" fillId="0" borderId="0" xfId="2" quotePrefix="1" applyFont="1"/>
    <xf numFmtId="0" fontId="17" fillId="0" borderId="0" xfId="2" applyFont="1"/>
    <xf numFmtId="0" fontId="17" fillId="0" borderId="0" xfId="2" applyFont="1" applyAlignment="1">
      <alignment horizontal="right"/>
    </xf>
    <xf numFmtId="0" fontId="18" fillId="4" borderId="0" xfId="2" applyFont="1" applyFill="1"/>
    <xf numFmtId="14" fontId="18" fillId="4" borderId="0" xfId="2" applyNumberFormat="1" applyFont="1" applyFill="1" applyAlignment="1">
      <alignment horizontal="left"/>
    </xf>
    <xf numFmtId="2" fontId="14" fillId="0" borderId="0" xfId="2" applyNumberFormat="1" applyFont="1"/>
    <xf numFmtId="0" fontId="17" fillId="0" borderId="0" xfId="2" applyFont="1" applyFill="1" applyAlignment="1">
      <alignment horizontal="right"/>
    </xf>
    <xf numFmtId="0" fontId="14" fillId="0" borderId="0" xfId="2" applyFont="1" applyFill="1"/>
    <xf numFmtId="0" fontId="18" fillId="4" borderId="0" xfId="2" applyFont="1" applyFill="1" applyAlignment="1">
      <alignment horizontal="left"/>
    </xf>
    <xf numFmtId="0" fontId="17" fillId="0" borderId="28" xfId="2" applyFont="1" applyFill="1" applyBorder="1" applyAlignment="1">
      <alignment horizontal="left" vertical="center" wrapText="1" indent="1"/>
    </xf>
    <xf numFmtId="0" fontId="17" fillId="0" borderId="29" xfId="2" applyFont="1" applyFill="1" applyBorder="1" applyAlignment="1">
      <alignment vertical="center" wrapText="1"/>
    </xf>
    <xf numFmtId="0" fontId="17" fillId="0" borderId="30" xfId="2" applyFont="1" applyFill="1" applyBorder="1" applyAlignment="1">
      <alignment horizontal="center" vertical="center" wrapText="1"/>
    </xf>
    <xf numFmtId="0" fontId="17" fillId="0" borderId="31" xfId="2" applyFont="1" applyFill="1" applyBorder="1" applyAlignment="1">
      <alignment horizontal="center" vertical="center" wrapText="1"/>
    </xf>
    <xf numFmtId="0" fontId="18" fillId="0" borderId="32" xfId="2" applyFont="1" applyFill="1" applyBorder="1" applyAlignment="1">
      <alignment horizontal="left" vertical="center" wrapText="1" indent="1"/>
    </xf>
    <xf numFmtId="0" fontId="17" fillId="0" borderId="33" xfId="2" applyFont="1" applyFill="1" applyBorder="1" applyAlignment="1">
      <alignment vertical="center" wrapText="1"/>
    </xf>
    <xf numFmtId="0" fontId="18" fillId="0" borderId="34" xfId="2" applyFont="1" applyFill="1" applyBorder="1" applyAlignment="1">
      <alignment horizontal="center" vertical="center" wrapText="1"/>
    </xf>
    <xf numFmtId="0" fontId="18" fillId="0" borderId="35" xfId="2" applyFont="1" applyFill="1" applyBorder="1" applyAlignment="1">
      <alignment horizontal="center" vertical="center" wrapText="1"/>
    </xf>
    <xf numFmtId="4" fontId="14" fillId="0" borderId="36" xfId="2" applyNumberFormat="1" applyFont="1" applyFill="1" applyBorder="1" applyAlignment="1">
      <alignment horizontal="left" indent="1"/>
    </xf>
    <xf numFmtId="4" fontId="14" fillId="0" borderId="24" xfId="2" applyNumberFormat="1" applyFont="1" applyFill="1" applyBorder="1"/>
    <xf numFmtId="43" fontId="26" fillId="4" borderId="0" xfId="3" applyFont="1" applyFill="1" applyBorder="1"/>
    <xf numFmtId="43" fontId="26" fillId="4" borderId="37" xfId="3" applyFont="1" applyFill="1" applyBorder="1"/>
    <xf numFmtId="0" fontId="27" fillId="0" borderId="0" xfId="2" applyFont="1" applyFill="1"/>
    <xf numFmtId="43" fontId="14" fillId="0" borderId="0" xfId="2" applyNumberFormat="1" applyFont="1"/>
    <xf numFmtId="4" fontId="14" fillId="0" borderId="38" xfId="2" applyNumberFormat="1" applyFont="1" applyFill="1" applyBorder="1" applyAlignment="1">
      <alignment horizontal="left" indent="1"/>
    </xf>
    <xf numFmtId="4" fontId="14" fillId="0" borderId="39" xfId="2" applyNumberFormat="1" applyFont="1" applyFill="1" applyBorder="1"/>
    <xf numFmtId="43" fontId="26" fillId="4" borderId="27" xfId="3" applyFont="1" applyFill="1" applyBorder="1"/>
    <xf numFmtId="43" fontId="26" fillId="4" borderId="40" xfId="3" applyFont="1" applyFill="1" applyBorder="1"/>
    <xf numFmtId="0" fontId="18" fillId="0" borderId="0" xfId="2" applyFont="1" applyFill="1"/>
    <xf numFmtId="43" fontId="18" fillId="0" borderId="0" xfId="2" applyNumberFormat="1" applyFont="1" applyFill="1"/>
    <xf numFmtId="0" fontId="18" fillId="0" borderId="0" xfId="2" applyFont="1"/>
    <xf numFmtId="0" fontId="14" fillId="4" borderId="0" xfId="2" applyFont="1" applyFill="1"/>
    <xf numFmtId="4" fontId="14" fillId="4" borderId="0" xfId="2" applyNumberFormat="1" applyFont="1" applyFill="1"/>
    <xf numFmtId="43" fontId="18" fillId="0" borderId="0" xfId="2" applyNumberFormat="1" applyFont="1"/>
    <xf numFmtId="0" fontId="28" fillId="0" borderId="0" xfId="2" applyFont="1"/>
    <xf numFmtId="0" fontId="13" fillId="0" borderId="0" xfId="2" applyFont="1" applyAlignment="1">
      <alignment horizontal="left"/>
    </xf>
    <xf numFmtId="0" fontId="13" fillId="0" borderId="0" xfId="2" applyFont="1" applyAlignment="1">
      <alignment wrapText="1"/>
    </xf>
    <xf numFmtId="0" fontId="14" fillId="0" borderId="0" xfId="2" applyFont="1" applyAlignment="1">
      <alignment wrapText="1"/>
    </xf>
    <xf numFmtId="0" fontId="17" fillId="0" borderId="0" xfId="2" applyFont="1" applyAlignment="1">
      <alignment vertical="top"/>
    </xf>
    <xf numFmtId="0" fontId="14" fillId="0" borderId="21" xfId="2" applyFont="1" applyBorder="1" applyAlignment="1">
      <alignment wrapText="1"/>
    </xf>
    <xf numFmtId="0" fontId="17" fillId="0" borderId="21" xfId="2" applyFont="1" applyBorder="1" applyAlignment="1">
      <alignment horizontal="center" wrapText="1"/>
    </xf>
    <xf numFmtId="4" fontId="20" fillId="2" borderId="6" xfId="2" applyNumberFormat="1" applyFont="1" applyFill="1" applyBorder="1" applyAlignment="1">
      <alignment vertical="center"/>
    </xf>
    <xf numFmtId="4" fontId="20" fillId="2" borderId="6" xfId="2" applyNumberFormat="1" applyFont="1" applyFill="1" applyBorder="1" applyAlignment="1">
      <alignment horizontal="right" vertical="center" indent="1"/>
    </xf>
    <xf numFmtId="0" fontId="14" fillId="0" borderId="0" xfId="2" applyFont="1" applyAlignment="1">
      <alignment vertical="center" wrapText="1"/>
    </xf>
    <xf numFmtId="0" fontId="14" fillId="0" borderId="0" xfId="2" applyFont="1" applyAlignment="1">
      <alignment vertical="top" wrapText="1"/>
    </xf>
    <xf numFmtId="4" fontId="17" fillId="0" borderId="21" xfId="2" applyNumberFormat="1" applyFont="1" applyBorder="1" applyAlignment="1">
      <alignment wrapText="1"/>
    </xf>
    <xf numFmtId="4" fontId="17" fillId="0" borderId="21" xfId="2" applyNumberFormat="1" applyFont="1" applyBorder="1" applyAlignment="1">
      <alignment horizontal="right" wrapText="1"/>
    </xf>
    <xf numFmtId="0" fontId="30" fillId="0" borderId="43" xfId="2" applyFont="1" applyBorder="1" applyAlignment="1">
      <alignment vertical="top" wrapText="1"/>
    </xf>
    <xf numFmtId="0" fontId="17" fillId="0" borderId="20" xfId="2" applyFont="1" applyBorder="1" applyAlignment="1">
      <alignment vertical="center" textRotation="90"/>
    </xf>
    <xf numFmtId="0" fontId="30" fillId="0" borderId="0" xfId="2" applyFont="1" applyBorder="1" applyAlignment="1">
      <alignment vertical="top" wrapText="1"/>
    </xf>
    <xf numFmtId="4" fontId="20" fillId="0" borderId="44" xfId="2" applyNumberFormat="1" applyFont="1" applyBorder="1" applyAlignment="1">
      <alignment vertical="center"/>
    </xf>
    <xf numFmtId="4" fontId="20" fillId="0" borderId="44" xfId="2" applyNumberFormat="1" applyFont="1" applyBorder="1" applyAlignment="1">
      <alignment horizontal="right" vertical="center" indent="1"/>
    </xf>
    <xf numFmtId="3" fontId="14" fillId="0" borderId="0" xfId="2" applyNumberFormat="1" applyFont="1"/>
    <xf numFmtId="4" fontId="31" fillId="0" borderId="0" xfId="2" applyNumberFormat="1" applyFont="1" applyFill="1" applyBorder="1" applyAlignment="1">
      <alignment wrapText="1"/>
    </xf>
    <xf numFmtId="3" fontId="31" fillId="0" borderId="0" xfId="2" applyNumberFormat="1" applyFont="1"/>
    <xf numFmtId="0" fontId="31" fillId="0" borderId="0" xfId="2" applyFont="1"/>
    <xf numFmtId="4" fontId="20" fillId="0" borderId="0" xfId="2" quotePrefix="1" applyNumberFormat="1" applyFont="1" applyFill="1" applyBorder="1" applyAlignment="1">
      <alignment wrapText="1"/>
    </xf>
    <xf numFmtId="4" fontId="20" fillId="0" borderId="0" xfId="2" applyNumberFormat="1" applyFont="1"/>
    <xf numFmtId="0" fontId="20" fillId="0" borderId="0" xfId="2" quotePrefix="1" applyFont="1"/>
    <xf numFmtId="4" fontId="17" fillId="0" borderId="0" xfId="2" applyNumberFormat="1" applyFont="1" applyFill="1" applyBorder="1" applyAlignment="1">
      <alignment wrapText="1"/>
    </xf>
    <xf numFmtId="4" fontId="20" fillId="2" borderId="20" xfId="2" applyNumberFormat="1" applyFont="1" applyFill="1" applyBorder="1" applyAlignment="1">
      <alignment horizontal="left" vertical="center"/>
    </xf>
    <xf numFmtId="164" fontId="20" fillId="2" borderId="6" xfId="2" quotePrefix="1" applyNumberFormat="1" applyFont="1" applyFill="1" applyBorder="1" applyAlignment="1">
      <alignment horizontal="left" vertical="center"/>
    </xf>
    <xf numFmtId="4" fontId="20" fillId="2" borderId="6" xfId="2" applyNumberFormat="1" applyFont="1" applyFill="1" applyBorder="1" applyAlignment="1">
      <alignment horizontal="center"/>
    </xf>
    <xf numFmtId="164" fontId="20" fillId="0" borderId="0" xfId="2" applyNumberFormat="1" applyFont="1" applyFill="1" applyBorder="1"/>
    <xf numFmtId="4" fontId="20" fillId="0" borderId="0" xfId="2" quotePrefix="1" applyNumberFormat="1" applyFont="1" applyFill="1" applyBorder="1" applyAlignment="1">
      <alignment horizontal="left" vertical="center" wrapText="1"/>
    </xf>
    <xf numFmtId="4" fontId="20" fillId="0" borderId="6" xfId="2" applyNumberFormat="1" applyFont="1" applyBorder="1" applyAlignment="1">
      <alignment horizontal="right" vertical="center" indent="1"/>
    </xf>
    <xf numFmtId="164" fontId="20" fillId="0" borderId="6" xfId="2" quotePrefix="1" applyNumberFormat="1" applyFont="1" applyBorder="1" applyAlignment="1">
      <alignment horizontal="left" vertical="center"/>
    </xf>
    <xf numFmtId="4" fontId="20" fillId="0" borderId="6" xfId="2" applyNumberFormat="1" applyFont="1" applyBorder="1" applyAlignment="1">
      <alignment horizontal="center"/>
    </xf>
    <xf numFmtId="164" fontId="20" fillId="0" borderId="6" xfId="2" applyNumberFormat="1" applyFont="1" applyBorder="1" applyAlignment="1">
      <alignment horizontal="right" vertical="center" indent="1"/>
    </xf>
    <xf numFmtId="164" fontId="20" fillId="0" borderId="6" xfId="2" applyNumberFormat="1" applyFont="1" applyBorder="1" applyAlignment="1">
      <alignment horizontal="left" vertical="center"/>
    </xf>
    <xf numFmtId="4" fontId="20" fillId="0" borderId="0" xfId="2" applyNumberFormat="1" applyFont="1" applyBorder="1" applyAlignment="1">
      <alignment horizontal="center"/>
    </xf>
    <xf numFmtId="4" fontId="21" fillId="2" borderId="6" xfId="2" applyNumberFormat="1" applyFont="1" applyFill="1" applyBorder="1" applyAlignment="1">
      <alignment horizontal="right" vertical="center" indent="1"/>
    </xf>
    <xf numFmtId="164" fontId="21" fillId="2" borderId="6" xfId="2" applyNumberFormat="1" applyFont="1" applyFill="1" applyBorder="1" applyAlignment="1">
      <alignment horizontal="left" vertical="center"/>
    </xf>
    <xf numFmtId="0" fontId="20" fillId="0" borderId="0" xfId="2" applyFont="1"/>
    <xf numFmtId="3" fontId="20" fillId="0" borderId="0" xfId="2" applyNumberFormat="1" applyFont="1" applyAlignment="1">
      <alignment horizontal="right" indent="2"/>
    </xf>
    <xf numFmtId="9" fontId="14" fillId="0" borderId="0" xfId="4" applyFont="1" applyAlignment="1">
      <alignment horizontal="right" indent="1"/>
    </xf>
    <xf numFmtId="0" fontId="14" fillId="0" borderId="0" xfId="2" quotePrefix="1" applyFont="1"/>
    <xf numFmtId="0" fontId="30" fillId="0" borderId="0" xfId="2" applyFont="1"/>
    <xf numFmtId="0" fontId="14" fillId="0" borderId="21" xfId="2" applyFont="1" applyBorder="1"/>
    <xf numFmtId="0" fontId="17" fillId="0" borderId="21" xfId="2" applyFont="1" applyBorder="1"/>
    <xf numFmtId="4" fontId="20" fillId="2" borderId="6" xfId="2" applyNumberFormat="1" applyFont="1" applyFill="1" applyBorder="1"/>
    <xf numFmtId="4" fontId="20" fillId="2" borderId="6" xfId="2" applyNumberFormat="1" applyFont="1" applyFill="1" applyBorder="1" applyAlignment="1">
      <alignment horizontal="right" indent="1"/>
    </xf>
    <xf numFmtId="165" fontId="14" fillId="0" borderId="0" xfId="2" applyNumberFormat="1" applyFont="1"/>
    <xf numFmtId="4" fontId="20" fillId="2" borderId="41" xfId="2" applyNumberFormat="1" applyFont="1" applyFill="1" applyBorder="1"/>
    <xf numFmtId="4" fontId="20" fillId="2" borderId="45" xfId="2" applyNumberFormat="1" applyFont="1" applyFill="1" applyBorder="1" applyAlignment="1">
      <alignment horizontal="right" indent="1"/>
    </xf>
    <xf numFmtId="4" fontId="20" fillId="0" borderId="23" xfId="2" applyNumberFormat="1" applyFont="1" applyBorder="1"/>
    <xf numFmtId="4" fontId="20" fillId="0" borderId="46" xfId="2" applyNumberFormat="1" applyFont="1" applyBorder="1" applyAlignment="1">
      <alignment horizontal="right" indent="1"/>
    </xf>
    <xf numFmtId="4" fontId="20" fillId="2" borderId="23" xfId="2" applyNumberFormat="1" applyFont="1" applyFill="1" applyBorder="1"/>
    <xf numFmtId="4" fontId="20" fillId="2" borderId="46" xfId="2" applyNumberFormat="1" applyFont="1" applyFill="1" applyBorder="1" applyAlignment="1">
      <alignment horizontal="right" indent="1"/>
    </xf>
    <xf numFmtId="4" fontId="20" fillId="0" borderId="25" xfId="2" applyNumberFormat="1" applyFont="1" applyBorder="1"/>
    <xf numFmtId="4" fontId="20" fillId="0" borderId="47" xfId="2" applyNumberFormat="1" applyFont="1" applyBorder="1" applyAlignment="1">
      <alignment horizontal="right" indent="1"/>
    </xf>
    <xf numFmtId="3" fontId="14" fillId="0" borderId="0" xfId="2" applyNumberFormat="1" applyFont="1" applyAlignment="1">
      <alignment horizontal="right" indent="1"/>
    </xf>
    <xf numFmtId="4" fontId="17" fillId="0" borderId="0" xfId="2" applyNumberFormat="1" applyFont="1" applyAlignment="1">
      <alignment horizontal="right" indent="1"/>
    </xf>
    <xf numFmtId="0" fontId="14" fillId="0" borderId="0" xfId="2" applyFont="1" applyAlignment="1">
      <alignment horizontal="left" wrapText="1"/>
    </xf>
    <xf numFmtId="4" fontId="20" fillId="0" borderId="0" xfId="2" applyNumberFormat="1" applyFont="1" applyFill="1" applyBorder="1" applyAlignment="1">
      <alignment wrapText="1"/>
    </xf>
    <xf numFmtId="0" fontId="18" fillId="0" borderId="21" xfId="2" applyFont="1" applyBorder="1" applyAlignment="1">
      <alignment horizontal="center"/>
    </xf>
    <xf numFmtId="4" fontId="20" fillId="2" borderId="20" xfId="2" applyNumberFormat="1" applyFont="1" applyFill="1" applyBorder="1"/>
    <xf numFmtId="4" fontId="20" fillId="2" borderId="6" xfId="2" applyNumberFormat="1" applyFont="1" applyFill="1" applyBorder="1" applyAlignment="1">
      <alignment horizontal="right" indent="2"/>
    </xf>
    <xf numFmtId="9" fontId="20" fillId="2" borderId="6" xfId="4" applyFont="1" applyFill="1" applyBorder="1" applyAlignment="1">
      <alignment horizontal="right" indent="2"/>
    </xf>
    <xf numFmtId="164" fontId="20" fillId="2" borderId="6" xfId="2" quotePrefix="1" applyNumberFormat="1" applyFont="1" applyFill="1" applyBorder="1"/>
    <xf numFmtId="164" fontId="20" fillId="2" borderId="6" xfId="2" applyNumberFormat="1" applyFont="1" applyFill="1" applyBorder="1"/>
    <xf numFmtId="4" fontId="20" fillId="0" borderId="20" xfId="2" applyNumberFormat="1" applyFont="1" applyBorder="1"/>
    <xf numFmtId="4" fontId="20" fillId="0" borderId="6" xfId="2" applyNumberFormat="1" applyFont="1" applyBorder="1" applyAlignment="1">
      <alignment horizontal="right" indent="2"/>
    </xf>
    <xf numFmtId="9" fontId="20" fillId="0" borderId="6" xfId="4" applyFont="1" applyBorder="1" applyAlignment="1">
      <alignment horizontal="right" indent="2"/>
    </xf>
    <xf numFmtId="164" fontId="20" fillId="0" borderId="6" xfId="2" quotePrefix="1" applyNumberFormat="1" applyFont="1" applyBorder="1"/>
    <xf numFmtId="4" fontId="20" fillId="0" borderId="6" xfId="2" applyNumberFormat="1" applyFont="1" applyBorder="1"/>
    <xf numFmtId="164" fontId="20" fillId="0" borderId="6" xfId="2" applyNumberFormat="1" applyFont="1" applyBorder="1"/>
    <xf numFmtId="4" fontId="20" fillId="2" borderId="48" xfId="2" applyNumberFormat="1" applyFont="1" applyFill="1" applyBorder="1"/>
    <xf numFmtId="4" fontId="20" fillId="2" borderId="49" xfId="2" applyNumberFormat="1" applyFont="1" applyFill="1" applyBorder="1" applyAlignment="1">
      <alignment horizontal="right" indent="2"/>
    </xf>
    <xf numFmtId="9" fontId="20" fillId="2" borderId="50" xfId="4" applyFont="1" applyFill="1" applyBorder="1" applyAlignment="1">
      <alignment horizontal="right" indent="2"/>
    </xf>
    <xf numFmtId="4" fontId="20" fillId="0" borderId="0" xfId="2" applyNumberFormat="1" applyFont="1" applyAlignment="1">
      <alignment horizontal="right" indent="2"/>
    </xf>
    <xf numFmtId="9" fontId="14" fillId="0" borderId="0" xfId="4" applyFont="1" applyAlignment="1">
      <alignment horizontal="right" indent="2"/>
    </xf>
    <xf numFmtId="43" fontId="14" fillId="0" borderId="0" xfId="3" applyNumberFormat="1" applyFont="1" applyAlignment="1">
      <alignment horizontal="right"/>
    </xf>
    <xf numFmtId="166" fontId="14" fillId="0" borderId="0" xfId="2" applyNumberFormat="1" applyFont="1"/>
    <xf numFmtId="0" fontId="14" fillId="0" borderId="0" xfId="2" quotePrefix="1" applyFont="1" applyAlignment="1">
      <alignment wrapText="1"/>
    </xf>
    <xf numFmtId="9" fontId="14" fillId="0" borderId="0" xfId="4" applyFont="1"/>
    <xf numFmtId="0" fontId="14" fillId="0" borderId="0" xfId="2" applyFont="1" applyAlignment="1">
      <alignment horizontal="left" indent="1"/>
    </xf>
    <xf numFmtId="43" fontId="14" fillId="0" borderId="0" xfId="3" applyNumberFormat="1" applyFont="1"/>
    <xf numFmtId="0" fontId="14" fillId="0" borderId="27" xfId="2" applyFont="1" applyBorder="1" applyAlignment="1">
      <alignment wrapText="1"/>
    </xf>
    <xf numFmtId="43" fontId="14" fillId="0" borderId="27" xfId="3" applyNumberFormat="1" applyFont="1" applyBorder="1"/>
    <xf numFmtId="0" fontId="14" fillId="0" borderId="27" xfId="2" applyFont="1" applyBorder="1"/>
    <xf numFmtId="0" fontId="20" fillId="0" borderId="0" xfId="2" applyFont="1" applyAlignment="1">
      <alignment wrapText="1"/>
    </xf>
    <xf numFmtId="43" fontId="20" fillId="0" borderId="0" xfId="3" applyNumberFormat="1" applyFont="1"/>
    <xf numFmtId="0" fontId="20" fillId="0" borderId="0" xfId="2" applyFont="1" applyFill="1" applyBorder="1"/>
    <xf numFmtId="9" fontId="20" fillId="2" borderId="6" xfId="4" applyFont="1" applyFill="1" applyBorder="1" applyAlignment="1">
      <alignment horizontal="right" indent="4"/>
    </xf>
    <xf numFmtId="9" fontId="20" fillId="0" borderId="6" xfId="4" applyFont="1" applyBorder="1" applyAlignment="1">
      <alignment horizontal="right" indent="4"/>
    </xf>
    <xf numFmtId="4" fontId="20" fillId="2" borderId="0" xfId="2" applyNumberFormat="1" applyFont="1" applyFill="1" applyBorder="1"/>
    <xf numFmtId="164" fontId="20" fillId="2" borderId="0" xfId="2" applyNumberFormat="1" applyFont="1" applyFill="1" applyBorder="1"/>
    <xf numFmtId="4" fontId="20" fillId="0" borderId="0" xfId="2" applyNumberFormat="1" applyFont="1" applyBorder="1"/>
    <xf numFmtId="164" fontId="20" fillId="0" borderId="0" xfId="2" applyNumberFormat="1" applyFont="1" applyBorder="1"/>
    <xf numFmtId="4" fontId="20" fillId="2" borderId="27" xfId="2" applyNumberFormat="1" applyFont="1" applyFill="1" applyBorder="1"/>
    <xf numFmtId="4" fontId="20" fillId="2" borderId="49" xfId="2" applyNumberFormat="1" applyFont="1" applyFill="1" applyBorder="1"/>
    <xf numFmtId="0" fontId="14" fillId="0" borderId="0" xfId="2" applyFont="1" applyBorder="1" applyAlignment="1">
      <alignment wrapText="1"/>
    </xf>
    <xf numFmtId="4" fontId="14" fillId="0" borderId="0" xfId="2" applyNumberFormat="1" applyFont="1" applyAlignment="1">
      <alignment horizontal="right" indent="2"/>
    </xf>
    <xf numFmtId="4" fontId="20" fillId="2" borderId="6" xfId="2" quotePrefix="1" applyNumberFormat="1" applyFont="1" applyFill="1" applyBorder="1"/>
    <xf numFmtId="4" fontId="20" fillId="0" borderId="6" xfId="2" quotePrefix="1" applyNumberFormat="1" applyFont="1" applyBorder="1"/>
    <xf numFmtId="9" fontId="20" fillId="2" borderId="50" xfId="4" applyFont="1" applyFill="1" applyBorder="1" applyAlignment="1">
      <alignment horizontal="right" indent="4"/>
    </xf>
    <xf numFmtId="9" fontId="14" fillId="0" borderId="0" xfId="2" applyNumberFormat="1" applyFont="1" applyAlignment="1">
      <alignment horizontal="right" indent="4"/>
    </xf>
    <xf numFmtId="0" fontId="20" fillId="0" borderId="0" xfId="2" applyFont="1" applyAlignment="1">
      <alignment horizontal="left" wrapText="1"/>
    </xf>
    <xf numFmtId="4" fontId="20" fillId="0" borderId="6" xfId="2" applyNumberFormat="1" applyFont="1" applyBorder="1" applyAlignment="1">
      <alignment horizontal="right" indent="1"/>
    </xf>
    <xf numFmtId="167" fontId="14" fillId="0" borderId="0" xfId="2" applyNumberFormat="1" applyFont="1"/>
    <xf numFmtId="0" fontId="20" fillId="0" borderId="0" xfId="2" applyFont="1" applyBorder="1" applyAlignment="1">
      <alignment wrapText="1"/>
    </xf>
    <xf numFmtId="0" fontId="14" fillId="0" borderId="0" xfId="2" applyFont="1" applyBorder="1"/>
    <xf numFmtId="0" fontId="31" fillId="0" borderId="0" xfId="2" applyFont="1" applyBorder="1" applyAlignment="1">
      <alignment wrapText="1"/>
    </xf>
    <xf numFmtId="9" fontId="14" fillId="0" borderId="0" xfId="2" applyNumberFormat="1" applyFont="1"/>
    <xf numFmtId="167" fontId="14" fillId="0" borderId="0" xfId="3" applyNumberFormat="1" applyFont="1"/>
    <xf numFmtId="167" fontId="31" fillId="0" borderId="0" xfId="2" applyNumberFormat="1" applyFont="1"/>
    <xf numFmtId="0" fontId="14" fillId="0" borderId="21" xfId="2" applyFont="1" applyBorder="1" applyAlignment="1">
      <alignment horizontal="center"/>
    </xf>
    <xf numFmtId="0" fontId="14" fillId="0" borderId="21" xfId="2" applyFont="1" applyBorder="1" applyAlignment="1">
      <alignment horizontal="center" wrapText="1"/>
    </xf>
    <xf numFmtId="4" fontId="34" fillId="2" borderId="20" xfId="2" applyNumberFormat="1" applyFont="1" applyFill="1" applyBorder="1"/>
    <xf numFmtId="4" fontId="21" fillId="2" borderId="6" xfId="2" applyNumberFormat="1" applyFont="1" applyFill="1" applyBorder="1"/>
    <xf numFmtId="4" fontId="35" fillId="2" borderId="0" xfId="2" applyNumberFormat="1" applyFont="1" applyFill="1" applyBorder="1"/>
    <xf numFmtId="4" fontId="34" fillId="0" borderId="20" xfId="2" applyNumberFormat="1" applyFont="1" applyBorder="1"/>
    <xf numFmtId="4" fontId="21" fillId="0" borderId="6" xfId="2" applyNumberFormat="1" applyFont="1" applyBorder="1"/>
    <xf numFmtId="4" fontId="35" fillId="0" borderId="0" xfId="2" applyNumberFormat="1" applyFont="1" applyBorder="1"/>
    <xf numFmtId="0" fontId="20" fillId="0" borderId="21" xfId="2" applyFont="1" applyBorder="1"/>
    <xf numFmtId="43" fontId="14" fillId="0" borderId="21" xfId="2" applyNumberFormat="1" applyFont="1" applyBorder="1"/>
    <xf numFmtId="0" fontId="36" fillId="0" borderId="0" xfId="2" applyFont="1"/>
    <xf numFmtId="4" fontId="14" fillId="0" borderId="0" xfId="2" applyNumberFormat="1" applyFont="1"/>
    <xf numFmtId="0" fontId="17" fillId="0" borderId="0" xfId="2" applyFont="1" applyAlignment="1">
      <alignment wrapText="1"/>
    </xf>
    <xf numFmtId="2" fontId="17" fillId="0" borderId="0" xfId="2" applyNumberFormat="1" applyFont="1"/>
    <xf numFmtId="0" fontId="32" fillId="0" borderId="0" xfId="2" applyFont="1" applyBorder="1" applyAlignment="1">
      <alignment vertical="top" wrapText="1"/>
    </xf>
    <xf numFmtId="0" fontId="20" fillId="0" borderId="21" xfId="2" applyFont="1" applyBorder="1" applyAlignment="1">
      <alignment wrapText="1"/>
    </xf>
    <xf numFmtId="0" fontId="38" fillId="0" borderId="0" xfId="2" applyFont="1" applyFill="1" applyBorder="1"/>
    <xf numFmtId="0" fontId="39" fillId="0" borderId="0" xfId="2" applyFont="1" applyFill="1" applyBorder="1"/>
    <xf numFmtId="0" fontId="5" fillId="0" borderId="0" xfId="2" applyFont="1" applyFill="1"/>
    <xf numFmtId="0" fontId="41" fillId="0" borderId="0" xfId="2" applyFont="1" applyFill="1" applyBorder="1"/>
    <xf numFmtId="0" fontId="40" fillId="0" borderId="0" xfId="2" applyFont="1" applyFill="1" applyBorder="1"/>
    <xf numFmtId="0" fontId="3" fillId="0" borderId="0" xfId="2" applyFill="1"/>
    <xf numFmtId="0" fontId="3" fillId="0" borderId="0" xfId="2" applyFont="1"/>
    <xf numFmtId="0" fontId="42" fillId="0" borderId="0" xfId="6"/>
    <xf numFmtId="0" fontId="8" fillId="0" borderId="0" xfId="2" applyFont="1"/>
    <xf numFmtId="0" fontId="43" fillId="0" borderId="0" xfId="2" applyFont="1" applyFill="1" applyBorder="1"/>
    <xf numFmtId="2" fontId="3" fillId="0" borderId="0" xfId="2" applyNumberFormat="1"/>
    <xf numFmtId="168" fontId="44" fillId="0" borderId="0" xfId="4" applyNumberFormat="1" applyFont="1"/>
    <xf numFmtId="169" fontId="3" fillId="0" borderId="0" xfId="2" applyNumberFormat="1"/>
    <xf numFmtId="0" fontId="45" fillId="0" borderId="0" xfId="2" applyFont="1" applyFill="1" applyBorder="1"/>
    <xf numFmtId="0" fontId="46" fillId="0" borderId="0" xfId="2" applyFont="1"/>
    <xf numFmtId="0" fontId="3" fillId="5" borderId="51" xfId="2" applyFont="1" applyFill="1" applyBorder="1" applyAlignment="1">
      <alignment horizontal="center"/>
    </xf>
    <xf numFmtId="0" fontId="3" fillId="0" borderId="0" xfId="2" applyAlignment="1">
      <alignment horizontal="left"/>
    </xf>
    <xf numFmtId="0" fontId="3" fillId="5" borderId="52" xfId="2" applyFont="1" applyFill="1" applyBorder="1" applyAlignment="1">
      <alignment horizontal="center"/>
    </xf>
    <xf numFmtId="0" fontId="3" fillId="7" borderId="51" xfId="2" applyNumberFormat="1" applyFont="1" applyFill="1" applyBorder="1" applyAlignment="1">
      <alignment horizontal="center"/>
    </xf>
    <xf numFmtId="0" fontId="3" fillId="7" borderId="51" xfId="2" applyFont="1" applyFill="1" applyBorder="1" applyAlignment="1">
      <alignment horizontal="center"/>
    </xf>
    <xf numFmtId="0" fontId="3" fillId="8" borderId="51" xfId="2" applyFont="1" applyFill="1" applyBorder="1" applyAlignment="1">
      <alignment horizontal="center"/>
    </xf>
    <xf numFmtId="2" fontId="3" fillId="8" borderId="51" xfId="2" applyNumberFormat="1" applyFont="1" applyFill="1" applyBorder="1" applyAlignment="1">
      <alignment horizontal="center"/>
    </xf>
    <xf numFmtId="1" fontId="3" fillId="9" borderId="51" xfId="2" applyNumberFormat="1" applyFont="1" applyFill="1" applyBorder="1" applyAlignment="1">
      <alignment horizontal="center"/>
    </xf>
    <xf numFmtId="2" fontId="3" fillId="2" borderId="51" xfId="2" applyNumberFormat="1" applyFont="1" applyFill="1" applyBorder="1" applyAlignment="1">
      <alignment horizontal="center"/>
    </xf>
    <xf numFmtId="168" fontId="3" fillId="2" borderId="51" xfId="2" applyNumberFormat="1" applyFont="1" applyFill="1" applyBorder="1" applyAlignment="1">
      <alignment horizontal="center"/>
    </xf>
    <xf numFmtId="4" fontId="3" fillId="2" borderId="51" xfId="2" applyNumberFormat="1" applyFont="1" applyFill="1" applyBorder="1" applyAlignment="1">
      <alignment horizontal="center"/>
    </xf>
    <xf numFmtId="2" fontId="3" fillId="0" borderId="51" xfId="2" applyNumberFormat="1" applyFont="1" applyBorder="1" applyAlignment="1">
      <alignment horizontal="center"/>
    </xf>
    <xf numFmtId="4" fontId="3" fillId="0" borderId="51" xfId="2" applyNumberFormat="1" applyFont="1" applyBorder="1" applyAlignment="1">
      <alignment horizontal="center"/>
    </xf>
    <xf numFmtId="0" fontId="47" fillId="6" borderId="52" xfId="2" applyFont="1" applyFill="1" applyBorder="1" applyAlignment="1">
      <alignment horizontal="left" vertical="top"/>
    </xf>
    <xf numFmtId="0" fontId="47" fillId="6" borderId="51" xfId="2" applyFont="1" applyFill="1" applyBorder="1" applyAlignment="1">
      <alignment horizontal="left" vertical="top" wrapText="1"/>
    </xf>
    <xf numFmtId="0" fontId="47" fillId="6" borderId="51" xfId="2" applyFont="1" applyFill="1" applyBorder="1" applyAlignment="1">
      <alignment horizontal="left" vertical="top"/>
    </xf>
    <xf numFmtId="0" fontId="47" fillId="6" borderId="53" xfId="2" applyFont="1" applyFill="1" applyBorder="1" applyAlignment="1">
      <alignment horizontal="left" vertical="top" wrapText="1"/>
    </xf>
    <xf numFmtId="0" fontId="3" fillId="0" borderId="0" xfId="2" applyAlignment="1">
      <alignment horizontal="left" vertical="top"/>
    </xf>
    <xf numFmtId="4" fontId="39" fillId="0" borderId="0" xfId="2" applyNumberFormat="1" applyFont="1" applyFill="1" applyBorder="1" applyAlignment="1">
      <alignment wrapText="1"/>
    </xf>
    <xf numFmtId="4" fontId="39" fillId="0" borderId="0" xfId="2" applyNumberFormat="1" applyFont="1" applyFill="1" applyBorder="1" applyAlignment="1">
      <alignment horizontal="right" wrapText="1"/>
    </xf>
    <xf numFmtId="4" fontId="39" fillId="10" borderId="0" xfId="2" applyNumberFormat="1" applyFont="1" applyFill="1" applyBorder="1" applyAlignment="1">
      <alignment wrapText="1"/>
    </xf>
    <xf numFmtId="4" fontId="41" fillId="11" borderId="0" xfId="2" applyNumberFormat="1" applyFont="1" applyFill="1" applyBorder="1" applyAlignment="1">
      <alignment wrapText="1"/>
    </xf>
    <xf numFmtId="4" fontId="39" fillId="12" borderId="0" xfId="2" applyNumberFormat="1" applyFont="1" applyFill="1" applyBorder="1" applyAlignment="1">
      <alignment wrapText="1"/>
    </xf>
    <xf numFmtId="4" fontId="41" fillId="0" borderId="36" xfId="2" applyNumberFormat="1" applyFont="1" applyFill="1" applyBorder="1" applyAlignment="1">
      <alignment wrapText="1"/>
    </xf>
    <xf numFmtId="4" fontId="41" fillId="0" borderId="0" xfId="2" applyNumberFormat="1" applyFont="1" applyFill="1" applyBorder="1" applyAlignment="1">
      <alignment horizontal="right" wrapText="1"/>
    </xf>
    <xf numFmtId="4" fontId="41" fillId="0" borderId="21" xfId="2" applyNumberFormat="1" applyFont="1" applyFill="1" applyBorder="1" applyAlignment="1">
      <alignment horizontal="right" wrapText="1"/>
    </xf>
    <xf numFmtId="4" fontId="41" fillId="0" borderId="54" xfId="2" applyNumberFormat="1" applyFont="1" applyFill="1" applyBorder="1" applyAlignment="1">
      <alignment horizontal="right" wrapText="1"/>
    </xf>
    <xf numFmtId="4" fontId="41" fillId="0" borderId="55" xfId="2" applyNumberFormat="1" applyFont="1" applyFill="1" applyBorder="1" applyAlignment="1">
      <alignment horizontal="center" wrapText="1"/>
    </xf>
    <xf numFmtId="4" fontId="49" fillId="0" borderId="0" xfId="2" applyNumberFormat="1" applyFont="1" applyFill="1" applyBorder="1" applyAlignment="1">
      <alignment wrapText="1"/>
    </xf>
    <xf numFmtId="4" fontId="39" fillId="0" borderId="56" xfId="2" applyNumberFormat="1" applyFont="1" applyFill="1" applyBorder="1" applyAlignment="1">
      <alignment wrapText="1"/>
    </xf>
    <xf numFmtId="164" fontId="39" fillId="0" borderId="43" xfId="2" applyNumberFormat="1" applyFont="1" applyFill="1" applyBorder="1" applyAlignment="1">
      <alignment wrapText="1"/>
    </xf>
    <xf numFmtId="164" fontId="39" fillId="0" borderId="42" xfId="2" applyNumberFormat="1" applyFont="1" applyFill="1" applyBorder="1" applyAlignment="1">
      <alignment wrapText="1"/>
    </xf>
    <xf numFmtId="4" fontId="39" fillId="0" borderId="43" xfId="2" applyNumberFormat="1" applyFont="1" applyFill="1" applyBorder="1" applyAlignment="1">
      <alignment wrapText="1"/>
    </xf>
    <xf numFmtId="164" fontId="39" fillId="0" borderId="57" xfId="2" applyNumberFormat="1" applyFont="1" applyFill="1" applyBorder="1" applyAlignment="1">
      <alignment horizontal="right" wrapText="1"/>
    </xf>
    <xf numFmtId="4" fontId="39" fillId="0" borderId="36" xfId="2" applyNumberFormat="1" applyFont="1" applyFill="1" applyBorder="1" applyAlignment="1">
      <alignment wrapText="1"/>
    </xf>
    <xf numFmtId="164" fontId="39" fillId="0" borderId="0" xfId="2" applyNumberFormat="1" applyFont="1" applyFill="1" applyBorder="1" applyAlignment="1">
      <alignment wrapText="1"/>
    </xf>
    <xf numFmtId="164" fontId="39" fillId="0" borderId="24" xfId="2" applyNumberFormat="1" applyFont="1" applyFill="1" applyBorder="1" applyAlignment="1">
      <alignment wrapText="1"/>
    </xf>
    <xf numFmtId="164" fontId="39" fillId="0" borderId="18" xfId="2" applyNumberFormat="1" applyFont="1" applyFill="1" applyBorder="1" applyAlignment="1">
      <alignment horizontal="right" wrapText="1"/>
    </xf>
    <xf numFmtId="4" fontId="39" fillId="0" borderId="58" xfId="2" applyNumberFormat="1" applyFont="1" applyFill="1" applyBorder="1" applyAlignment="1">
      <alignment wrapText="1"/>
    </xf>
    <xf numFmtId="164" fontId="39" fillId="0" borderId="26" xfId="2" applyNumberFormat="1" applyFont="1" applyFill="1" applyBorder="1" applyAlignment="1">
      <alignment wrapText="1"/>
    </xf>
    <xf numFmtId="4" fontId="39" fillId="0" borderId="21" xfId="2" applyNumberFormat="1" applyFont="1" applyFill="1" applyBorder="1" applyAlignment="1">
      <alignment wrapText="1"/>
    </xf>
    <xf numFmtId="164" fontId="39" fillId="0" borderId="59" xfId="2" applyNumberFormat="1" applyFont="1" applyFill="1" applyBorder="1" applyAlignment="1">
      <alignment horizontal="right" wrapText="1"/>
    </xf>
    <xf numFmtId="164" fontId="39" fillId="0" borderId="43" xfId="2" applyNumberFormat="1" applyFont="1" applyFill="1" applyBorder="1" applyAlignment="1">
      <alignment horizontal="right" wrapText="1"/>
    </xf>
    <xf numFmtId="164" fontId="39" fillId="0" borderId="0" xfId="2" applyNumberFormat="1" applyFont="1" applyFill="1" applyBorder="1" applyAlignment="1">
      <alignment horizontal="right" wrapText="1"/>
    </xf>
    <xf numFmtId="4" fontId="50" fillId="0" borderId="36" xfId="2" applyNumberFormat="1" applyFont="1" applyFill="1" applyBorder="1" applyAlignment="1">
      <alignment vertical="center" wrapText="1"/>
    </xf>
    <xf numFmtId="164" fontId="39" fillId="0" borderId="0" xfId="2" applyNumberFormat="1" applyFont="1" applyFill="1" applyBorder="1" applyAlignment="1">
      <alignment horizontal="right" vertical="center" wrapText="1"/>
    </xf>
    <xf numFmtId="4" fontId="39" fillId="0" borderId="0" xfId="2" applyNumberFormat="1" applyFont="1" applyFill="1" applyBorder="1" applyAlignment="1">
      <alignment vertical="center" wrapText="1"/>
    </xf>
    <xf numFmtId="164" fontId="39" fillId="0" borderId="18" xfId="2" applyNumberFormat="1" applyFont="1" applyFill="1" applyBorder="1" applyAlignment="1">
      <alignment horizontal="right" vertical="center" wrapText="1"/>
    </xf>
    <xf numFmtId="4" fontId="39" fillId="10" borderId="0" xfId="2" applyNumberFormat="1" applyFont="1" applyFill="1" applyBorder="1" applyAlignment="1">
      <alignment vertical="center" wrapText="1"/>
    </xf>
    <xf numFmtId="4" fontId="41" fillId="11" borderId="0" xfId="2" applyNumberFormat="1" applyFont="1" applyFill="1" applyBorder="1" applyAlignment="1">
      <alignment vertical="center" wrapText="1"/>
    </xf>
    <xf numFmtId="4" fontId="45" fillId="0" borderId="0" xfId="2" applyNumberFormat="1" applyFont="1" applyFill="1" applyBorder="1" applyAlignment="1">
      <alignment wrapText="1"/>
    </xf>
    <xf numFmtId="2" fontId="39" fillId="0" borderId="0" xfId="2" applyNumberFormat="1" applyFont="1" applyFill="1" applyBorder="1" applyAlignment="1">
      <alignment wrapText="1"/>
    </xf>
    <xf numFmtId="4" fontId="41" fillId="0" borderId="60" xfId="2" applyNumberFormat="1" applyFont="1" applyFill="1" applyBorder="1" applyAlignment="1">
      <alignment vertical="center" wrapText="1"/>
    </xf>
    <xf numFmtId="164" fontId="41" fillId="0" borderId="61" xfId="2" applyNumberFormat="1" applyFont="1" applyFill="1" applyBorder="1" applyAlignment="1">
      <alignment horizontal="right" vertical="center" wrapText="1"/>
    </xf>
    <xf numFmtId="164" fontId="41" fillId="0" borderId="62" xfId="2" applyNumberFormat="1" applyFont="1" applyFill="1" applyBorder="1" applyAlignment="1">
      <alignment horizontal="right" vertical="center" wrapText="1"/>
    </xf>
    <xf numFmtId="4" fontId="41" fillId="0" borderId="63" xfId="2" applyNumberFormat="1" applyFont="1" applyFill="1" applyBorder="1" applyAlignment="1">
      <alignment vertical="center" wrapText="1"/>
    </xf>
    <xf numFmtId="164" fontId="41" fillId="0" borderId="64" xfId="2" applyNumberFormat="1" applyFont="1" applyFill="1" applyBorder="1" applyAlignment="1">
      <alignment horizontal="right" vertical="center" wrapText="1"/>
    </xf>
    <xf numFmtId="170" fontId="39" fillId="0" borderId="0" xfId="2" applyNumberFormat="1" applyFont="1" applyFill="1" applyBorder="1" applyAlignment="1">
      <alignment wrapText="1"/>
    </xf>
    <xf numFmtId="4" fontId="39" fillId="0" borderId="0" xfId="2" applyNumberFormat="1" applyFont="1" applyFill="1" applyBorder="1" applyAlignment="1">
      <alignment horizontal="right" vertical="center" wrapText="1"/>
    </xf>
    <xf numFmtId="4" fontId="39" fillId="0" borderId="0" xfId="2" applyNumberFormat="1" applyFont="1" applyFill="1" applyBorder="1" applyAlignment="1">
      <alignment horizontal="center" vertical="center" wrapText="1"/>
    </xf>
    <xf numFmtId="4" fontId="39" fillId="13" borderId="64" xfId="2" applyNumberFormat="1" applyFont="1" applyFill="1" applyBorder="1" applyAlignment="1">
      <alignment vertical="center" wrapText="1"/>
    </xf>
    <xf numFmtId="4" fontId="39" fillId="13" borderId="65" xfId="2" applyNumberFormat="1" applyFont="1" applyFill="1" applyBorder="1" applyAlignment="1">
      <alignment vertical="center" wrapText="1"/>
    </xf>
    <xf numFmtId="4" fontId="49" fillId="0" borderId="0" xfId="2" applyNumberFormat="1" applyFont="1" applyFill="1" applyBorder="1" applyAlignment="1">
      <alignment horizontal="right" vertical="center" wrapText="1"/>
    </xf>
    <xf numFmtId="4" fontId="49" fillId="0" borderId="0" xfId="2" applyNumberFormat="1" applyFont="1" applyFill="1" applyBorder="1" applyAlignment="1">
      <alignment vertical="center" wrapText="1"/>
    </xf>
    <xf numFmtId="4" fontId="51" fillId="0" borderId="0" xfId="2" applyNumberFormat="1" applyFont="1" applyFill="1" applyBorder="1" applyAlignment="1">
      <alignment vertical="center" wrapText="1"/>
    </xf>
    <xf numFmtId="4" fontId="39" fillId="13" borderId="18" xfId="2" applyNumberFormat="1" applyFont="1" applyFill="1" applyBorder="1" applyAlignment="1">
      <alignment wrapText="1"/>
    </xf>
    <xf numFmtId="4" fontId="39" fillId="13" borderId="37" xfId="2" applyNumberFormat="1" applyFont="1" applyFill="1" applyBorder="1" applyAlignment="1">
      <alignment wrapText="1"/>
    </xf>
    <xf numFmtId="2" fontId="49" fillId="0" borderId="0" xfId="2" applyNumberFormat="1" applyFont="1" applyFill="1" applyBorder="1" applyAlignment="1">
      <alignment wrapText="1"/>
    </xf>
    <xf numFmtId="4" fontId="39" fillId="13" borderId="59" xfId="2" applyNumberFormat="1" applyFont="1" applyFill="1" applyBorder="1" applyAlignment="1">
      <alignment wrapText="1"/>
    </xf>
    <xf numFmtId="4" fontId="39" fillId="0" borderId="28" xfId="2" applyNumberFormat="1" applyFont="1" applyFill="1" applyBorder="1" applyAlignment="1">
      <alignment vertical="center" wrapText="1"/>
    </xf>
    <xf numFmtId="4" fontId="52" fillId="0" borderId="0" xfId="2" applyNumberFormat="1" applyFont="1" applyFill="1" applyBorder="1" applyAlignment="1">
      <alignment horizontal="right" wrapText="1"/>
    </xf>
    <xf numFmtId="4" fontId="53" fillId="11" borderId="0" xfId="2" applyNumberFormat="1" applyFont="1" applyFill="1" applyBorder="1" applyAlignment="1">
      <alignment wrapText="1"/>
    </xf>
    <xf numFmtId="4" fontId="54" fillId="0" borderId="0" xfId="2" applyNumberFormat="1" applyFont="1" applyFill="1" applyBorder="1" applyAlignment="1">
      <alignment wrapText="1"/>
    </xf>
    <xf numFmtId="2" fontId="54" fillId="0" borderId="0" xfId="2" applyNumberFormat="1" applyFont="1" applyFill="1" applyBorder="1" applyAlignment="1">
      <alignment wrapText="1"/>
    </xf>
    <xf numFmtId="4" fontId="55" fillId="0" borderId="0" xfId="2" applyNumberFormat="1" applyFont="1" applyFill="1" applyBorder="1" applyAlignment="1">
      <alignment wrapText="1"/>
    </xf>
    <xf numFmtId="171" fontId="54" fillId="0" borderId="0" xfId="2" applyNumberFormat="1" applyFont="1" applyFill="1" applyBorder="1" applyAlignment="1">
      <alignment wrapText="1"/>
    </xf>
    <xf numFmtId="4" fontId="50" fillId="0" borderId="0" xfId="2" applyNumberFormat="1" applyFont="1" applyFill="1" applyBorder="1" applyAlignment="1">
      <alignment wrapText="1"/>
    </xf>
    <xf numFmtId="4" fontId="41" fillId="0" borderId="0" xfId="2" applyNumberFormat="1" applyFont="1" applyFill="1" applyBorder="1" applyAlignment="1">
      <alignment wrapText="1"/>
    </xf>
    <xf numFmtId="2" fontId="55" fillId="0" borderId="0" xfId="2" applyNumberFormat="1" applyFont="1" applyFill="1" applyBorder="1" applyAlignment="1">
      <alignment wrapText="1"/>
    </xf>
    <xf numFmtId="4" fontId="51" fillId="0" borderId="0" xfId="2" applyNumberFormat="1" applyFont="1" applyFill="1" applyBorder="1" applyAlignment="1">
      <alignment wrapText="1"/>
    </xf>
    <xf numFmtId="4" fontId="56" fillId="0" borderId="0" xfId="2" applyNumberFormat="1" applyFont="1" applyFill="1" applyBorder="1" applyAlignment="1">
      <alignment wrapText="1"/>
    </xf>
    <xf numFmtId="0" fontId="7" fillId="0" borderId="0" xfId="2" applyFont="1"/>
    <xf numFmtId="0" fontId="5" fillId="12" borderId="0" xfId="2" applyFont="1" applyFill="1" applyAlignment="1">
      <alignment horizontal="center"/>
    </xf>
    <xf numFmtId="0" fontId="5" fillId="0" borderId="0" xfId="2" applyFont="1" applyFill="1" applyAlignment="1">
      <alignment horizontal="center"/>
    </xf>
    <xf numFmtId="1" fontId="3" fillId="0" borderId="0" xfId="2" applyNumberFormat="1"/>
    <xf numFmtId="0" fontId="58" fillId="0" borderId="0" xfId="2" applyFont="1"/>
    <xf numFmtId="0" fontId="47" fillId="6" borderId="66" xfId="2" applyFont="1" applyFill="1" applyBorder="1" applyAlignment="1">
      <alignment horizontal="left"/>
    </xf>
    <xf numFmtId="0" fontId="47" fillId="6" borderId="67" xfId="2" applyFont="1" applyFill="1" applyBorder="1" applyAlignment="1">
      <alignment horizontal="left"/>
    </xf>
    <xf numFmtId="0" fontId="3" fillId="5" borderId="68" xfId="2" applyFont="1" applyFill="1" applyBorder="1" applyAlignment="1">
      <alignment horizontal="center"/>
    </xf>
    <xf numFmtId="0" fontId="3" fillId="5" borderId="69" xfId="2" applyFont="1" applyFill="1" applyBorder="1" applyAlignment="1">
      <alignment horizontal="center"/>
    </xf>
    <xf numFmtId="0" fontId="3" fillId="7" borderId="68" xfId="2" applyNumberFormat="1" applyFont="1" applyFill="1" applyBorder="1" applyAlignment="1">
      <alignment horizontal="center"/>
    </xf>
    <xf numFmtId="0" fontId="3" fillId="7" borderId="68" xfId="2" applyFont="1" applyFill="1" applyBorder="1" applyAlignment="1">
      <alignment horizontal="center"/>
    </xf>
    <xf numFmtId="0" fontId="3" fillId="8" borderId="68" xfId="2" applyFont="1" applyFill="1" applyBorder="1" applyAlignment="1">
      <alignment horizontal="center"/>
    </xf>
    <xf numFmtId="2" fontId="3" fillId="8" borderId="68" xfId="2" applyNumberFormat="1" applyFont="1" applyFill="1" applyBorder="1" applyAlignment="1">
      <alignment horizontal="center"/>
    </xf>
    <xf numFmtId="1" fontId="3" fillId="9" borderId="68" xfId="2" applyNumberFormat="1" applyFont="1" applyFill="1" applyBorder="1" applyAlignment="1">
      <alignment horizontal="center"/>
    </xf>
    <xf numFmtId="0" fontId="37" fillId="0" borderId="0" xfId="5"/>
    <xf numFmtId="4" fontId="55" fillId="0" borderId="0" xfId="2" applyNumberFormat="1" applyFont="1" applyFill="1" applyBorder="1" applyAlignment="1">
      <alignment horizontal="right"/>
    </xf>
    <xf numFmtId="43" fontId="55" fillId="0" borderId="0" xfId="1" applyFont="1" applyFill="1" applyBorder="1" applyAlignment="1">
      <alignment wrapText="1"/>
    </xf>
    <xf numFmtId="0" fontId="59" fillId="0" borderId="0" xfId="2" applyFont="1"/>
    <xf numFmtId="0" fontId="46" fillId="0" borderId="0" xfId="2" applyFont="1" applyAlignment="1">
      <alignment horizontal="center" vertical="center"/>
    </xf>
    <xf numFmtId="0" fontId="46" fillId="0" borderId="0" xfId="2" applyFont="1" applyAlignment="1">
      <alignment horizontal="justify" vertical="center"/>
    </xf>
    <xf numFmtId="0" fontId="61" fillId="0" borderId="0" xfId="2" applyFont="1"/>
    <xf numFmtId="0" fontId="62" fillId="0" borderId="0" xfId="2" applyFont="1" applyAlignment="1">
      <alignment horizontal="center" vertical="center"/>
    </xf>
    <xf numFmtId="0" fontId="62" fillId="0" borderId="0" xfId="2" applyFont="1" applyAlignment="1">
      <alignment horizontal="justify" vertical="center"/>
    </xf>
    <xf numFmtId="0" fontId="47" fillId="6" borderId="51" xfId="0" applyFont="1" applyFill="1" applyBorder="1"/>
    <xf numFmtId="0" fontId="0" fillId="0" borderId="0" xfId="0" applyAlignment="1">
      <alignment wrapText="1"/>
    </xf>
    <xf numFmtId="0" fontId="0" fillId="0" borderId="51" xfId="0" applyFont="1" applyBorder="1"/>
    <xf numFmtId="0" fontId="0" fillId="2" borderId="51" xfId="0" applyFont="1" applyFill="1" applyBorder="1"/>
    <xf numFmtId="0" fontId="0" fillId="0" borderId="0" xfId="0" applyNumberFormat="1"/>
    <xf numFmtId="0" fontId="47" fillId="6" borderId="51" xfId="0" applyFont="1" applyFill="1" applyBorder="1" applyAlignment="1">
      <alignment wrapText="1"/>
    </xf>
    <xf numFmtId="0" fontId="60" fillId="0" borderId="0" xfId="0" applyFont="1"/>
    <xf numFmtId="3" fontId="0" fillId="0" borderId="0" xfId="0" applyNumberFormat="1"/>
    <xf numFmtId="168" fontId="0" fillId="0" borderId="0" xfId="0" applyNumberFormat="1"/>
    <xf numFmtId="0" fontId="19" fillId="0" borderId="0" xfId="0" quotePrefix="1" applyFont="1" applyBorder="1" applyAlignment="1">
      <alignment vertical="center" wrapText="1"/>
    </xf>
    <xf numFmtId="0" fontId="14" fillId="0" borderId="0" xfId="0" applyFont="1" applyBorder="1" applyAlignment="1">
      <alignment horizontal="right"/>
    </xf>
    <xf numFmtId="0" fontId="14" fillId="0" borderId="0" xfId="0" applyFont="1" applyBorder="1"/>
    <xf numFmtId="4" fontId="20" fillId="0" borderId="51" xfId="0" applyNumberFormat="1" applyFont="1" applyBorder="1"/>
    <xf numFmtId="0" fontId="14" fillId="0" borderId="51" xfId="0" applyFont="1" applyBorder="1"/>
    <xf numFmtId="4" fontId="20" fillId="0" borderId="71" xfId="0" applyNumberFormat="1" applyFont="1" applyBorder="1" applyAlignment="1">
      <alignment horizontal="right" indent="2"/>
    </xf>
    <xf numFmtId="4" fontId="20" fillId="0" borderId="72" xfId="0" applyNumberFormat="1" applyFont="1" applyBorder="1"/>
    <xf numFmtId="4" fontId="20" fillId="0" borderId="52" xfId="0" applyNumberFormat="1" applyFont="1" applyBorder="1"/>
    <xf numFmtId="4" fontId="21" fillId="0" borderId="70" xfId="0" applyNumberFormat="1" applyFont="1" applyBorder="1" applyAlignment="1">
      <alignment horizontal="right" indent="3"/>
    </xf>
    <xf numFmtId="0" fontId="14" fillId="0" borderId="0" xfId="0" applyFont="1" applyFill="1" applyAlignment="1">
      <alignment vertical="center"/>
    </xf>
    <xf numFmtId="49" fontId="18" fillId="0" borderId="0" xfId="0" applyNumberFormat="1" applyFont="1" applyAlignment="1">
      <alignment horizontal="left"/>
    </xf>
    <xf numFmtId="49" fontId="63" fillId="0" borderId="0" xfId="0" applyNumberFormat="1" applyFont="1" applyAlignment="1">
      <alignment horizontal="left"/>
    </xf>
    <xf numFmtId="4" fontId="20" fillId="2" borderId="73" xfId="0" applyNumberFormat="1" applyFont="1" applyFill="1" applyBorder="1"/>
    <xf numFmtId="4" fontId="20" fillId="2" borderId="4" xfId="0" applyNumberFormat="1" applyFont="1" applyFill="1" applyBorder="1"/>
    <xf numFmtId="4" fontId="20" fillId="2" borderId="2" xfId="0" applyNumberFormat="1" applyFont="1" applyFill="1" applyBorder="1"/>
    <xf numFmtId="0" fontId="14" fillId="2" borderId="2" xfId="0" applyFont="1" applyFill="1" applyBorder="1"/>
    <xf numFmtId="4" fontId="20" fillId="2" borderId="74" xfId="0" applyNumberFormat="1" applyFont="1" applyFill="1" applyBorder="1" applyAlignment="1">
      <alignment horizontal="right" indent="1"/>
    </xf>
    <xf numFmtId="4" fontId="21" fillId="2" borderId="75" xfId="0" applyNumberFormat="1" applyFont="1" applyFill="1" applyBorder="1" applyAlignment="1">
      <alignment horizontal="right" indent="1"/>
    </xf>
    <xf numFmtId="164" fontId="20" fillId="2" borderId="75" xfId="0" applyNumberFormat="1" applyFont="1" applyFill="1" applyBorder="1"/>
    <xf numFmtId="4" fontId="20" fillId="2" borderId="74" xfId="0" applyNumberFormat="1" applyFont="1" applyFill="1" applyBorder="1" applyAlignment="1">
      <alignment horizontal="right" indent="2"/>
    </xf>
    <xf numFmtId="4" fontId="20" fillId="2" borderId="2" xfId="0" applyNumberFormat="1" applyFont="1" applyFill="1" applyBorder="1" applyAlignment="1">
      <alignment horizontal="right" indent="2"/>
    </xf>
    <xf numFmtId="4" fontId="21" fillId="2" borderId="75" xfId="0" applyNumberFormat="1" applyFont="1" applyFill="1" applyBorder="1" applyAlignment="1">
      <alignment horizontal="right" indent="2"/>
    </xf>
    <xf numFmtId="4" fontId="20" fillId="0" borderId="69" xfId="0" applyNumberFormat="1" applyFont="1" applyBorder="1"/>
    <xf numFmtId="4" fontId="20" fillId="0" borderId="76" xfId="0" applyNumberFormat="1" applyFont="1" applyBorder="1"/>
    <xf numFmtId="4" fontId="20" fillId="0" borderId="68" xfId="0" applyNumberFormat="1" applyFont="1" applyBorder="1"/>
    <xf numFmtId="0" fontId="14" fillId="0" borderId="68" xfId="0" applyFont="1" applyBorder="1"/>
    <xf numFmtId="4" fontId="20" fillId="2" borderId="77" xfId="0" applyNumberFormat="1" applyFont="1" applyFill="1" applyBorder="1" applyAlignment="1">
      <alignment horizontal="right" indent="1"/>
    </xf>
    <xf numFmtId="4" fontId="21" fillId="0" borderId="78" xfId="0" applyNumberFormat="1" applyFont="1" applyBorder="1" applyAlignment="1">
      <alignment horizontal="right" indent="1"/>
    </xf>
    <xf numFmtId="164" fontId="20" fillId="0" borderId="78" xfId="0" applyNumberFormat="1" applyFont="1" applyBorder="1"/>
    <xf numFmtId="4" fontId="20" fillId="2" borderId="77" xfId="0" applyNumberFormat="1" applyFont="1" applyFill="1" applyBorder="1" applyAlignment="1">
      <alignment horizontal="right" indent="2"/>
    </xf>
    <xf numFmtId="4" fontId="20" fillId="2" borderId="68" xfId="0" applyNumberFormat="1" applyFont="1" applyFill="1" applyBorder="1" applyAlignment="1">
      <alignment horizontal="right" indent="2"/>
    </xf>
    <xf numFmtId="4" fontId="21" fillId="0" borderId="78" xfId="0" applyNumberFormat="1" applyFont="1" applyBorder="1" applyAlignment="1">
      <alignment horizontal="right" indent="2"/>
    </xf>
    <xf numFmtId="4" fontId="21" fillId="0" borderId="79" xfId="0" applyNumberFormat="1" applyFont="1" applyBorder="1" applyAlignment="1">
      <alignment horizontal="right" indent="3"/>
    </xf>
    <xf numFmtId="4" fontId="20" fillId="2" borderId="69" xfId="0" applyNumberFormat="1" applyFont="1" applyFill="1" applyBorder="1"/>
    <xf numFmtId="4" fontId="20" fillId="2" borderId="76" xfId="0" applyNumberFormat="1" applyFont="1" applyFill="1" applyBorder="1"/>
    <xf numFmtId="4" fontId="20" fillId="2" borderId="68" xfId="0" applyNumberFormat="1" applyFont="1" applyFill="1" applyBorder="1"/>
    <xf numFmtId="0" fontId="14" fillId="2" borderId="68" xfId="0" applyFont="1" applyFill="1" applyBorder="1"/>
    <xf numFmtId="4" fontId="21" fillId="2" borderId="78" xfId="0" applyNumberFormat="1" applyFont="1" applyFill="1" applyBorder="1" applyAlignment="1">
      <alignment horizontal="right" indent="1"/>
    </xf>
    <xf numFmtId="164" fontId="20" fillId="2" borderId="78" xfId="0" applyNumberFormat="1" applyFont="1" applyFill="1" applyBorder="1"/>
    <xf numFmtId="4" fontId="21" fillId="2" borderId="78" xfId="0" applyNumberFormat="1" applyFont="1" applyFill="1" applyBorder="1" applyAlignment="1">
      <alignment horizontal="right" indent="2"/>
    </xf>
    <xf numFmtId="4" fontId="21" fillId="2" borderId="79" xfId="0" applyNumberFormat="1" applyFont="1" applyFill="1" applyBorder="1" applyAlignment="1">
      <alignment horizontal="right" indent="3"/>
    </xf>
    <xf numFmtId="4" fontId="20" fillId="0" borderId="68" xfId="0" applyNumberFormat="1" applyFont="1" applyBorder="1" applyAlignment="1">
      <alignment horizontal="right" indent="2"/>
    </xf>
    <xf numFmtId="4" fontId="20" fillId="2" borderId="80" xfId="0" applyNumberFormat="1" applyFont="1" applyFill="1" applyBorder="1" applyAlignment="1">
      <alignment horizontal="right" indent="1"/>
    </xf>
    <xf numFmtId="4" fontId="21" fillId="0" borderId="81" xfId="0" applyNumberFormat="1" applyFont="1" applyBorder="1" applyAlignment="1">
      <alignment horizontal="right" indent="1"/>
    </xf>
    <xf numFmtId="164" fontId="20" fillId="0" borderId="82" xfId="0" applyNumberFormat="1" applyFont="1" applyBorder="1"/>
    <xf numFmtId="4" fontId="20" fillId="2" borderId="80" xfId="0" applyNumberFormat="1" applyFont="1" applyFill="1" applyBorder="1" applyAlignment="1">
      <alignment horizontal="right" indent="2"/>
    </xf>
    <xf numFmtId="4" fontId="21" fillId="0" borderId="81" xfId="0" applyNumberFormat="1" applyFont="1" applyBorder="1" applyAlignment="1">
      <alignment horizontal="right" indent="2"/>
    </xf>
    <xf numFmtId="49" fontId="64" fillId="6" borderId="6" xfId="0" applyNumberFormat="1" applyFont="1" applyFill="1" applyBorder="1" applyAlignment="1">
      <alignment horizontal="left"/>
    </xf>
    <xf numFmtId="49" fontId="64" fillId="6" borderId="0" xfId="0" applyNumberFormat="1" applyFont="1" applyFill="1" applyBorder="1" applyAlignment="1">
      <alignment horizontal="left"/>
    </xf>
    <xf numFmtId="49" fontId="64" fillId="6" borderId="5" xfId="0" applyNumberFormat="1" applyFont="1" applyFill="1" applyBorder="1" applyAlignment="1">
      <alignment horizontal="left"/>
    </xf>
    <xf numFmtId="0" fontId="3" fillId="0" borderId="0" xfId="2" applyAlignment="1">
      <alignment wrapText="1"/>
    </xf>
    <xf numFmtId="0" fontId="11" fillId="0" borderId="0" xfId="2" applyFont="1" applyAlignment="1"/>
    <xf numFmtId="0" fontId="3" fillId="0" borderId="0" xfId="2" applyAlignment="1"/>
    <xf numFmtId="0" fontId="17" fillId="0" borderId="4" xfId="0" applyFont="1" applyBorder="1" applyAlignment="1">
      <alignment horizontal="center" vertical="center" textRotation="90"/>
    </xf>
    <xf numFmtId="0" fontId="17" fillId="0" borderId="6" xfId="0" applyFont="1" applyBorder="1" applyAlignment="1">
      <alignment horizontal="center" vertical="center" textRotation="90"/>
    </xf>
    <xf numFmtId="0" fontId="17" fillId="0" borderId="7" xfId="0" applyFont="1" applyBorder="1" applyAlignment="1">
      <alignment horizontal="center" vertical="center" textRotation="90"/>
    </xf>
    <xf numFmtId="0" fontId="17" fillId="0" borderId="1" xfId="0" applyFont="1" applyBorder="1" applyAlignment="1">
      <alignment horizontal="center" vertical="center" textRotation="90"/>
    </xf>
    <xf numFmtId="0" fontId="17" fillId="0" borderId="5" xfId="0" applyFont="1" applyBorder="1" applyAlignment="1">
      <alignment horizontal="center" vertical="center" textRotation="90"/>
    </xf>
    <xf numFmtId="0" fontId="14" fillId="0" borderId="0" xfId="0" applyFont="1" applyAlignment="1">
      <alignment horizontal="left" wrapText="1"/>
    </xf>
    <xf numFmtId="0" fontId="13" fillId="0" borderId="0" xfId="0" applyFont="1" applyFill="1" applyBorder="1" applyAlignment="1">
      <alignment horizontal="center" wrapText="1"/>
    </xf>
    <xf numFmtId="0" fontId="13" fillId="0" borderId="0" xfId="0" applyFont="1" applyAlignment="1">
      <alignment horizontal="center" wrapText="1"/>
    </xf>
    <xf numFmtId="0" fontId="13" fillId="0" borderId="0" xfId="0" applyFont="1" applyAlignment="1">
      <alignment horizontal="center"/>
    </xf>
    <xf numFmtId="0" fontId="17" fillId="0" borderId="4" xfId="0" applyFont="1" applyBorder="1" applyAlignment="1">
      <alignment horizontal="center"/>
    </xf>
    <xf numFmtId="0" fontId="17" fillId="0" borderId="2" xfId="0" applyFont="1" applyBorder="1" applyAlignment="1">
      <alignment horizontal="center"/>
    </xf>
    <xf numFmtId="0" fontId="17" fillId="0" borderId="3" xfId="0" applyFont="1" applyBorder="1" applyAlignment="1">
      <alignment horizontal="center"/>
    </xf>
    <xf numFmtId="0" fontId="14" fillId="0" borderId="0" xfId="2" applyFont="1" applyAlignment="1">
      <alignment horizontal="left"/>
    </xf>
    <xf numFmtId="0" fontId="14" fillId="0" borderId="0" xfId="2" applyFont="1" applyAlignment="1">
      <alignment horizontal="left" vertical="top" wrapText="1"/>
    </xf>
    <xf numFmtId="0" fontId="17" fillId="0" borderId="27" xfId="2" applyFont="1" applyBorder="1" applyAlignment="1">
      <alignment horizontal="center"/>
    </xf>
    <xf numFmtId="0" fontId="14" fillId="0" borderId="0" xfId="2" applyFont="1" applyAlignment="1">
      <alignment horizontal="left" wrapText="1"/>
    </xf>
    <xf numFmtId="0" fontId="12" fillId="0" borderId="0" xfId="2" applyFont="1" applyAlignment="1">
      <alignment horizontal="left" wrapText="1"/>
    </xf>
    <xf numFmtId="0" fontId="29" fillId="0" borderId="41" xfId="2" applyFont="1" applyBorder="1" applyAlignment="1">
      <alignment horizontal="left" vertical="top" wrapText="1"/>
    </xf>
    <xf numFmtId="0" fontId="29" fillId="0" borderId="42" xfId="2" applyFont="1" applyBorder="1" applyAlignment="1">
      <alignment horizontal="left" vertical="top" wrapText="1"/>
    </xf>
    <xf numFmtId="0" fontId="29" fillId="0" borderId="23" xfId="2" applyFont="1" applyBorder="1" applyAlignment="1">
      <alignment horizontal="left" vertical="top" wrapText="1"/>
    </xf>
    <xf numFmtId="0" fontId="29" fillId="0" borderId="24" xfId="2" applyFont="1" applyBorder="1" applyAlignment="1">
      <alignment horizontal="left" vertical="top" wrapText="1"/>
    </xf>
    <xf numFmtId="0" fontId="29" fillId="0" borderId="25" xfId="2" applyFont="1" applyBorder="1" applyAlignment="1">
      <alignment horizontal="left" vertical="top" wrapText="1"/>
    </xf>
    <xf numFmtId="0" fontId="29" fillId="0" borderId="26" xfId="2" applyFont="1" applyBorder="1" applyAlignment="1">
      <alignment horizontal="left" vertical="top" wrapText="1"/>
    </xf>
    <xf numFmtId="0" fontId="14" fillId="0" borderId="0" xfId="2" applyFont="1" applyBorder="1" applyAlignment="1">
      <alignment horizontal="left" vertical="center" wrapText="1" indent="2"/>
    </xf>
    <xf numFmtId="0" fontId="32" fillId="0" borderId="41" xfId="2" applyFont="1" applyBorder="1" applyAlignment="1">
      <alignment horizontal="left" vertical="top" wrapText="1"/>
    </xf>
    <xf numFmtId="0" fontId="32" fillId="0" borderId="43" xfId="2" applyFont="1" applyBorder="1" applyAlignment="1">
      <alignment horizontal="left" vertical="top" wrapText="1"/>
    </xf>
    <xf numFmtId="0" fontId="32" fillId="0" borderId="42" xfId="2" applyFont="1" applyBorder="1" applyAlignment="1">
      <alignment horizontal="left" vertical="top" wrapText="1"/>
    </xf>
    <xf numFmtId="0" fontId="32" fillId="0" borderId="23" xfId="2" applyFont="1" applyBorder="1" applyAlignment="1">
      <alignment horizontal="left" vertical="top" wrapText="1"/>
    </xf>
    <xf numFmtId="0" fontId="32" fillId="0" borderId="0" xfId="2" applyFont="1" applyBorder="1" applyAlignment="1">
      <alignment horizontal="left" vertical="top" wrapText="1"/>
    </xf>
    <xf numFmtId="0" fontId="32" fillId="0" borderId="24" xfId="2" applyFont="1" applyBorder="1" applyAlignment="1">
      <alignment horizontal="left" vertical="top" wrapText="1"/>
    </xf>
    <xf numFmtId="0" fontId="32" fillId="0" borderId="25" xfId="2" applyFont="1" applyBorder="1" applyAlignment="1">
      <alignment horizontal="left" vertical="top" wrapText="1"/>
    </xf>
    <xf numFmtId="0" fontId="32" fillId="0" borderId="21" xfId="2" applyFont="1" applyBorder="1" applyAlignment="1">
      <alignment horizontal="left" vertical="top" wrapText="1"/>
    </xf>
    <xf numFmtId="0" fontId="32" fillId="0" borderId="26" xfId="2" applyFont="1" applyBorder="1" applyAlignment="1">
      <alignment horizontal="left" vertical="top" wrapText="1"/>
    </xf>
    <xf numFmtId="0" fontId="33" fillId="0" borderId="4" xfId="2" applyFont="1" applyBorder="1" applyAlignment="1">
      <alignment horizontal="center" vertical="center" textRotation="90"/>
    </xf>
    <xf numFmtId="0" fontId="33" fillId="0" borderId="6" xfId="2" applyFont="1" applyBorder="1" applyAlignment="1">
      <alignment horizontal="center" vertical="center" textRotation="90"/>
    </xf>
    <xf numFmtId="0" fontId="33" fillId="0" borderId="7" xfId="2" applyFont="1" applyBorder="1" applyAlignment="1">
      <alignment horizontal="center" vertical="center" textRotation="90"/>
    </xf>
    <xf numFmtId="4" fontId="20" fillId="2" borderId="6" xfId="2" applyNumberFormat="1" applyFont="1" applyFill="1" applyBorder="1" applyAlignment="1">
      <alignment horizontal="center"/>
    </xf>
    <xf numFmtId="4" fontId="20" fillId="2" borderId="0" xfId="2" applyNumberFormat="1" applyFont="1" applyFill="1" applyBorder="1" applyAlignment="1">
      <alignment horizontal="center"/>
    </xf>
    <xf numFmtId="4" fontId="20" fillId="0" borderId="6" xfId="2" applyNumberFormat="1" applyFont="1" applyBorder="1" applyAlignment="1">
      <alignment horizontal="center"/>
    </xf>
    <xf numFmtId="4" fontId="20" fillId="0" borderId="0" xfId="2" applyNumberFormat="1" applyFont="1" applyBorder="1" applyAlignment="1">
      <alignment horizontal="center"/>
    </xf>
    <xf numFmtId="0" fontId="17" fillId="0" borderId="0" xfId="2" applyFont="1" applyAlignment="1">
      <alignment horizontal="left" wrapText="1"/>
    </xf>
    <xf numFmtId="0" fontId="21" fillId="0" borderId="0" xfId="2" applyFont="1" applyBorder="1" applyAlignment="1">
      <alignment horizontal="center" wrapText="1"/>
    </xf>
    <xf numFmtId="0" fontId="40" fillId="0" borderId="0" xfId="2" applyFont="1" applyFill="1" applyBorder="1" applyAlignment="1">
      <alignment wrapText="1"/>
    </xf>
    <xf numFmtId="4" fontId="48" fillId="0" borderId="28" xfId="2" applyNumberFormat="1" applyFont="1" applyFill="1" applyBorder="1" applyAlignment="1">
      <alignment wrapText="1"/>
    </xf>
    <xf numFmtId="0" fontId="48" fillId="0" borderId="30" xfId="2" applyFont="1" applyFill="1" applyBorder="1" applyAlignment="1">
      <alignment wrapText="1"/>
    </xf>
    <xf numFmtId="0" fontId="48" fillId="0" borderId="31" xfId="2" applyFont="1" applyFill="1" applyBorder="1" applyAlignment="1">
      <alignment wrapText="1"/>
    </xf>
    <xf numFmtId="4" fontId="39" fillId="0" borderId="0" xfId="2" applyNumberFormat="1" applyFont="1" applyFill="1" applyBorder="1" applyAlignment="1">
      <alignment wrapText="1"/>
    </xf>
    <xf numFmtId="0" fontId="39" fillId="0" borderId="0" xfId="2" applyFont="1" applyFill="1" applyBorder="1" applyAlignment="1">
      <alignment wrapText="1"/>
    </xf>
    <xf numFmtId="4" fontId="39" fillId="0" borderId="0" xfId="2" applyNumberFormat="1" applyFont="1" applyFill="1" applyBorder="1" applyAlignment="1">
      <alignment vertical="center" wrapText="1"/>
    </xf>
    <xf numFmtId="0" fontId="39" fillId="0" borderId="0" xfId="2" applyFont="1" applyFill="1" applyBorder="1" applyAlignment="1">
      <alignment vertical="center" wrapText="1"/>
    </xf>
    <xf numFmtId="0" fontId="57" fillId="0" borderId="0" xfId="2" applyFont="1" applyAlignment="1">
      <alignment horizontal="center"/>
    </xf>
    <xf numFmtId="0" fontId="1" fillId="0" borderId="0" xfId="2" applyFont="1"/>
    <xf numFmtId="43" fontId="3" fillId="0" borderId="0" xfId="2" applyNumberFormat="1"/>
    <xf numFmtId="1" fontId="3" fillId="0" borderId="0" xfId="2" applyNumberFormat="1" applyFill="1"/>
    <xf numFmtId="0" fontId="65" fillId="0" borderId="0" xfId="2" applyFont="1"/>
    <xf numFmtId="0" fontId="6" fillId="0" borderId="0" xfId="2" applyFont="1"/>
    <xf numFmtId="2" fontId="6" fillId="0" borderId="0" xfId="2" applyNumberFormat="1" applyFont="1"/>
    <xf numFmtId="2" fontId="6" fillId="0" borderId="0" xfId="2" applyNumberFormat="1" applyFont="1" applyFill="1"/>
    <xf numFmtId="2" fontId="18" fillId="0" borderId="0" xfId="2" applyNumberFormat="1" applyFont="1"/>
  </cellXfs>
  <cellStyles count="7">
    <cellStyle name="Comma" xfId="1" builtinId="3"/>
    <cellStyle name="Comma 2" xfId="3"/>
    <cellStyle name="Hyperlink" xfId="5" builtinId="8"/>
    <cellStyle name="Hyperlink 2" xfId="6"/>
    <cellStyle name="Normal" xfId="0" builtinId="0"/>
    <cellStyle name="Normal 2" xfId="2"/>
    <cellStyle name="Percent 2" xfId="4"/>
  </cellStyles>
  <dxfs count="80">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rgb="FFFFC000"/>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5"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5"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rgb="FFFFC000"/>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rgb="FFFFC000"/>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7"/>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7"/>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bottom"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alignment horizontal="right" vertical="bottom" textRotation="0" wrapText="0" indent="3" justifyLastLine="0" shrinkToFit="0" readingOrder="0"/>
      <border diagonalUp="0" diagonalDown="0">
        <left style="medium">
          <color auto="1"/>
        </left>
        <right style="medium">
          <color auto="1"/>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2"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1"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4" tint="0.39997558519241921"/>
        </left>
        <right/>
        <top style="thin">
          <color theme="4" tint="0.39997558519241921"/>
        </top>
        <bottom/>
        <vertical/>
        <horizontal/>
      </border>
    </dxf>
    <dxf>
      <border outline="0">
        <top style="thin">
          <color theme="1" tint="0.24994659260841701"/>
        </top>
      </border>
    </dxf>
    <dxf>
      <font>
        <b/>
        <i/>
        <strike val="0"/>
        <condense val="0"/>
        <extend val="0"/>
        <outline val="0"/>
        <shadow val="0"/>
        <u val="none"/>
        <vertAlign val="baseline"/>
        <sz val="10"/>
        <color theme="0"/>
        <name val="Arial"/>
        <scheme val="none"/>
      </font>
      <numFmt numFmtId="30" formatCode="@"/>
      <fill>
        <patternFill patternType="solid">
          <fgColor theme="4"/>
          <bgColor theme="4"/>
        </patternFill>
      </fill>
      <alignment horizontal="left" vertical="bottom" textRotation="0" wrapText="0" indent="0" justifyLastLine="0" shrinkToFit="0" readingOrder="0"/>
    </dxf>
    <dxf>
      <numFmt numFmtId="0" formatCode="General"/>
    </dxf>
    <dxf>
      <numFmt numFmtId="168" formatCode="0.0%"/>
    </dxf>
    <dxf>
      <numFmt numFmtId="168" formatCode="0.0%"/>
    </dxf>
    <dxf>
      <numFmt numFmtId="168" formatCode="0.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4</xdr:row>
      <xdr:rowOff>19051</xdr:rowOff>
    </xdr:from>
    <xdr:to>
      <xdr:col>10</xdr:col>
      <xdr:colOff>22730</xdr:colOff>
      <xdr:row>36</xdr:row>
      <xdr:rowOff>516454</xdr:rowOff>
    </xdr:to>
    <xdr:pic>
      <xdr:nvPicPr>
        <xdr:cNvPr id="2" name="Picture 1" descr="Screen Clipping">
          <a:extLst>
            <a:ext uri="{FF2B5EF4-FFF2-40B4-BE49-F238E27FC236}">
              <a16:creationId xmlns:a16="http://schemas.microsoft.com/office/drawing/2014/main" xmlns="" id="{AEAAA406-213A-4A42-87E0-CB2557E0EF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87451"/>
          <a:ext cx="6848980" cy="6987103"/>
        </a:xfrm>
        <a:prstGeom prst="rect">
          <a:avLst/>
        </a:prstGeom>
      </xdr:spPr>
    </xdr:pic>
    <xdr:clientData/>
  </xdr:twoCellAnchor>
  <xdr:twoCellAnchor editAs="oneCell">
    <xdr:from>
      <xdr:col>0</xdr:col>
      <xdr:colOff>450850</xdr:colOff>
      <xdr:row>45</xdr:row>
      <xdr:rowOff>22225</xdr:rowOff>
    </xdr:from>
    <xdr:to>
      <xdr:col>10</xdr:col>
      <xdr:colOff>513773</xdr:colOff>
      <xdr:row>65</xdr:row>
      <xdr:rowOff>54294</xdr:rowOff>
    </xdr:to>
    <xdr:pic>
      <xdr:nvPicPr>
        <xdr:cNvPr id="3" name="Picture 2" descr="Screen Clipping">
          <a:extLst>
            <a:ext uri="{FF2B5EF4-FFF2-40B4-BE49-F238E27FC236}">
              <a16:creationId xmlns:a16="http://schemas.microsoft.com/office/drawing/2014/main" xmlns="" id="{2DB99A05-7646-5844-8BE5-A43BDD4635D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80625"/>
          <a:ext cx="7047923" cy="4223069"/>
        </a:xfrm>
        <a:prstGeom prst="rect">
          <a:avLst/>
        </a:prstGeom>
      </xdr:spPr>
    </xdr:pic>
    <xdr:clientData/>
  </xdr:twoCellAnchor>
  <xdr:twoCellAnchor editAs="oneCell">
    <xdr:from>
      <xdr:col>0</xdr:col>
      <xdr:colOff>523875</xdr:colOff>
      <xdr:row>63</xdr:row>
      <xdr:rowOff>79375</xdr:rowOff>
    </xdr:from>
    <xdr:to>
      <xdr:col>10</xdr:col>
      <xdr:colOff>434398</xdr:colOff>
      <xdr:row>106</xdr:row>
      <xdr:rowOff>91994</xdr:rowOff>
    </xdr:to>
    <xdr:pic>
      <xdr:nvPicPr>
        <xdr:cNvPr id="4" name="Picture 3" descr="Screen Clipping">
          <a:extLst>
            <a:ext uri="{FF2B5EF4-FFF2-40B4-BE49-F238E27FC236}">
              <a16:creationId xmlns:a16="http://schemas.microsoft.com/office/drawing/2014/main" xmlns="" id="{B33C440A-29AF-0B40-ABEE-6A5F66F3E30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947775"/>
          <a:ext cx="6895523" cy="8204119"/>
        </a:xfrm>
        <a:prstGeom prst="rect">
          <a:avLst/>
        </a:prstGeom>
      </xdr:spPr>
    </xdr:pic>
    <xdr:clientData/>
  </xdr:twoCellAnchor>
  <xdr:twoCellAnchor editAs="oneCell">
    <xdr:from>
      <xdr:col>12</xdr:col>
      <xdr:colOff>692727</xdr:colOff>
      <xdr:row>35</xdr:row>
      <xdr:rowOff>433986</xdr:rowOff>
    </xdr:from>
    <xdr:to>
      <xdr:col>19</xdr:col>
      <xdr:colOff>346823</xdr:colOff>
      <xdr:row>42</xdr:row>
      <xdr:rowOff>161470</xdr:rowOff>
    </xdr:to>
    <xdr:pic>
      <xdr:nvPicPr>
        <xdr:cNvPr id="5" name="Picture 4">
          <a:extLst>
            <a:ext uri="{FF2B5EF4-FFF2-40B4-BE49-F238E27FC236}">
              <a16:creationId xmlns:a16="http://schemas.microsoft.com/office/drawing/2014/main" xmlns="" id="{D8DFD4EF-32EF-E14F-A20E-7F9DA6E133B3}"/>
            </a:ext>
          </a:extLst>
        </xdr:cNvPr>
        <xdr:cNvPicPr>
          <a:picLocks noChangeAspect="1"/>
        </xdr:cNvPicPr>
      </xdr:nvPicPr>
      <xdr:blipFill>
        <a:blip xmlns:r="http://schemas.openxmlformats.org/officeDocument/2006/relationships" r:embed="rId4"/>
        <a:stretch>
          <a:fillRect/>
        </a:stretch>
      </xdr:blipFill>
      <xdr:spPr>
        <a:xfrm>
          <a:off x="9074727" y="7507886"/>
          <a:ext cx="5013496" cy="214048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ufdenkampe/Google%20Drive/WikiWatershed/ModelMyWatershed2-WPF-Project/MMW-BMPs/Barry/Chiques_Creek_Urban_BMPCalculatorVer3+A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READ ME! INSTRUCTIONS"/>
      <sheetName val="PerformStdApproach"/>
      <sheetName val="Loading"/>
      <sheetName val="ExistingBMPs"/>
      <sheetName val="ProposedBMPs"/>
      <sheetName val="Chiques_Creek_Urban_BMPCalculat"/>
    </sheetNames>
    <sheetDataSet>
      <sheetData sheetId="0"/>
      <sheetData sheetId="1"/>
      <sheetData sheetId="2"/>
      <sheetData sheetId="3"/>
      <sheetData sheetId="4"/>
      <sheetData sheetId="5"/>
      <sheetData sheetId="6" refreshError="1"/>
    </sheetDataSet>
  </externalBook>
</externalLink>
</file>

<file path=xl/tables/table1.xml><?xml version="1.0" encoding="utf-8"?>
<table xmlns="http://schemas.openxmlformats.org/spreadsheetml/2006/main" id="4" name="Impervious" displayName="Impervious" ref="B17:E39" totalsRowShown="0" headerRowDxfId="79" tableBorderDxfId="78">
  <autoFilter ref="B17:E39"/>
  <tableColumns count="4">
    <tableColumn id="1" name="Source" dataDxfId="77"/>
    <tableColumn id="2" name="impervFraction_defaultMapShed"/>
    <tableColumn id="3" name="impervFraction_manualEntry"/>
    <tableColumn id="4" name="impervFraction_toUse" dataDxfId="76">
      <calculatedColumnFormula>IF(ISNUMBER(Impervious[[#This Row],[impervFraction_manualEntry]]),Impervious[[#This Row],[impervFraction_manualEntry]],Impervious[[#This Row],[impervFraction_defaultMapShed]])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5" name="Street_Sweeping" displayName="Street_Sweeping" ref="B42:F43" totalsRowShown="0">
  <autoFilter ref="B42:F43"/>
  <tableColumns count="5">
    <tableColumn id="1" name="Street Sweeping"/>
    <tableColumn id="2" name="TSS Reduction (%)" dataDxfId="75">
      <calculatedColumnFormula>0.1</calculatedColumnFormula>
    </tableColumn>
    <tableColumn id="3" name="TP Reduction (%)" dataDxfId="74">
      <calculatedColumnFormula>0.1</calculatedColumnFormula>
    </tableColumn>
    <tableColumn id="4" name="TN Reduction (%)" dataDxfId="73">
      <calculatedColumnFormula>0.1</calculatedColumnFormula>
    </tableColumn>
    <tableColumn id="5" name="Road Width (ft)" dataDxfId="72"/>
  </tableColumns>
  <tableStyleInfo name="TableStyleMedium2" showFirstColumn="0" showLastColumn="0" showRowStripes="1" showColumnStripes="0"/>
</table>
</file>

<file path=xl/tables/table3.xml><?xml version="1.0" encoding="utf-8"?>
<table xmlns="http://schemas.openxmlformats.org/spreadsheetml/2006/main" id="6" name="Stream_Nutrients" displayName="Stream_Nutrients" ref="B45:E46" totalsRowShown="0">
  <autoFilter ref="B45:E46"/>
  <tableColumns count="4">
    <tableColumn id="1" name="Stream Restoration - Protocol 1"/>
    <tableColumn id="4" name="TSS (lbs/ft/yr)"/>
    <tableColumn id="2" name="TP (lbs/ft/yr)"/>
    <tableColumn id="3" name="TN (lbs/ft/yr)"/>
  </tableColumns>
  <tableStyleInfo name="TableStyleMedium2" showFirstColumn="0" showLastColumn="0" showRowStripes="1" showColumnStripes="0"/>
</table>
</file>

<file path=xl/tables/table4.xml><?xml version="1.0" encoding="utf-8"?>
<table xmlns="http://schemas.openxmlformats.org/spreadsheetml/2006/main" id="9" name="LoadRates" displayName="LoadRates" ref="B16:AA32" totalsRowShown="0" headerRowDxfId="71" tableBorderDxfId="70">
  <autoFilter ref="B16:AA32"/>
  <tableColumns count="26">
    <tableColumn id="1" name="Source" dataDxfId="69"/>
    <tableColumn id="2" name="area_ac" dataDxfId="68">
      <calculatedColumnFormula>+'MMW Output'!C22</calculatedColumnFormula>
    </tableColumn>
    <tableColumn id="3" name="runoff_in" dataDxfId="67"/>
    <tableColumn id="4" name="erosion_tons" dataDxfId="66"/>
    <tableColumn id="5" name="Column1" dataDxfId="65"/>
    <tableColumn id="6" name="sediment_tons" dataDxfId="64">
      <calculatedColumnFormula>+'MMW Output'!D22</calculatedColumnFormula>
    </tableColumn>
    <tableColumn id="7" name="DN_lbs" dataDxfId="63"/>
    <tableColumn id="8" name="Column2" dataDxfId="62"/>
    <tableColumn id="9" name="TN_lbs" dataDxfId="61">
      <calculatedColumnFormula>+'MMW Output'!E22</calculatedColumnFormula>
    </tableColumn>
    <tableColumn id="10" name="DP_lbs" dataDxfId="60"/>
    <tableColumn id="11" name="Column3" dataDxfId="59"/>
    <tableColumn id="12" name="TP_lbs" dataDxfId="58">
      <calculatedColumnFormula>+'MMW Output'!F22</calculatedColumnFormula>
    </tableColumn>
    <tableColumn id="13" name="Column4" dataDxfId="57"/>
    <tableColumn id="14" name="TSS_LoadRateLand_lbPerAcPerY" dataDxfId="56">
      <calculatedColumnFormula>IF(C17=0,0,(G17*2000/C17))</calculatedColumnFormula>
    </tableColumn>
    <tableColumn id="15" name="TSS_LoadRateBanks_lbPerAcPerY" dataDxfId="55">
      <calculatedColumnFormula>IF(C17=0,0,'Stream Bank SedimentLoadingRate'!E141)</calculatedColumnFormula>
    </tableColumn>
    <tableColumn id="16" name="TSS_LoadRate_lbPerAcPerY" dataDxfId="54">
      <calculatedColumnFormula>SUM(O17:P17)</calculatedColumnFormula>
    </tableColumn>
    <tableColumn id="17" name="Column5" dataDxfId="53"/>
    <tableColumn id="18" name="TN_LoadRateLand_lbPerAcPerY" dataDxfId="52">
      <calculatedColumnFormula>IF(C17=0,0,ROUND((J17/C17),2))</calculatedColumnFormula>
    </tableColumn>
    <tableColumn id="19" name="TN_LoadRateBanks_lbPerAcPerY" dataDxfId="51">
      <calculatedColumnFormula>IF(C17=0,0,ROUND('Stream Bank Nitrogen Loading'!E138,2))</calculatedColumnFormula>
    </tableColumn>
    <tableColumn id="20" name="TN_LoadRateAnimal_lbPerAcPerY" dataDxfId="50"/>
    <tableColumn id="21" name="TN_LoadRate_lbPerAcPerY" dataDxfId="49">
      <calculatedColumnFormula>SUM(S17:U17)</calculatedColumnFormula>
    </tableColumn>
    <tableColumn id="22" name="Column6" dataDxfId="48"/>
    <tableColumn id="23" name="TP_LoadRateLand_lbPerAcPerY" dataDxfId="47">
      <calculatedColumnFormula>IF(C17=0,0,ROUND((M17/C17),2))</calculatedColumnFormula>
    </tableColumn>
    <tableColumn id="24" name="TP_LoadRateBanks_lbPerAcPerY" dataDxfId="46">
      <calculatedColumnFormula>IF(C17=0,0,ROUND('Stream Bank Phosphorus Loading'!E138,2))</calculatedColumnFormula>
    </tableColumn>
    <tableColumn id="25" name="TP_LoadRateAnimal_lbPerAcPerY" dataDxfId="45"/>
    <tableColumn id="26" name="TP_LoadRate_lbPerAcPerY" dataDxfId="44">
      <calculatedColumnFormula>SUM(X17:Z17)</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2" name="UrbanBMPs" displayName="UrbanBMPs" ref="A10:Y23" totalsRowShown="0" headerRowDxfId="43" dataDxfId="41" headerRowBorderDxfId="42" tableBorderDxfId="40" totalsRowBorderDxfId="39" headerRowCellStyle="Normal 2" dataCellStyle="Normal 2">
  <autoFilter ref="A10:Y23"/>
  <tableColumns count="25">
    <tableColumn id="1" name="Project_name" dataDxfId="38" dataCellStyle="Normal 2"/>
    <tableColumn id="2" name="BMP_name" dataDxfId="37" dataCellStyle="Normal 2"/>
    <tableColumn id="3" name="BMP_type" dataDxfId="36" dataCellStyle="Normal 2"/>
    <tableColumn id="4" name="Column1" dataDxfId="35" dataCellStyle="Normal 2"/>
    <tableColumn id="5" name="yearInstalled" dataDxfId="34" dataCellStyle="Normal 2"/>
    <tableColumn id="6" name="drainageLandCoverClass" dataDxfId="33" dataCellStyle="Normal 2"/>
    <tableColumn id="7" name="drainageArea_ac" dataDxfId="32" dataCellStyle="Normal 2"/>
    <tableColumn id="8" name="treatmentDepth_in" dataDxfId="31" dataCellStyle="Normal 2"/>
    <tableColumn id="9" name="lengthTreatedStream_ft" dataDxfId="30" dataCellStyle="Normal 2"/>
    <tableColumn id="10" name="lengthTreatedRoad_ft2" dataDxfId="29" dataCellStyle="Normal 2"/>
    <tableColumn id="11" name="impervArea_ac" dataDxfId="28" dataCellStyle="Normal 2">
      <calculatedColumnFormula>UrbanBMPs[[#This Row],[drainageArea_ac]]*[1]!ExistingBMPs5[[#This Row],[impervFraction_percent]]</calculatedColumnFormula>
    </tableColumn>
    <tableColumn id="12" name="treatmentDepthNormalized_inPerImpervAc" dataDxfId="27" dataCellStyle="Normal 2">
      <calculatedColumnFormula>IFERROR(MIN([1]!ExistingBMPs5[[#This Row],[treatmentDepth_in]]*[1]!ExistingBMPs5[[#This Row],[drainageArea_ac]]/[1]!ExistingBMPs5[[#This Row],[impervArea_ac]],2.5),NA())</calculatedColumnFormula>
    </tableColumn>
    <tableColumn id="13" name="treatmentDepthNormalizedManual_inPerImpervAc" dataDxfId="26" dataCellStyle="Normal 2"/>
    <tableColumn id="14" name="treatmentDepthNormalizedEffective_inPerImpervAc" dataDxfId="25" dataCellStyle="Normal 2">
      <calculatedColumnFormula>IF([1]!ExistingBMPs5[[#This Row],[treatmentDepthNormalizedManual_inPerImpervAc]]&gt;0,[1]!ExistingBMPs5[[#This Row],[treatmentDepthNormalizedManual_inPerImpervAc]],[1]!ExistingBMPs5[[#This Row],[treatmentDepthNormalized_inPerImpervAc]])</calculatedColumnFormula>
    </tableColumn>
    <tableColumn id="15" name="impervFraction_percent" dataDxfId="24" dataCellStyle="Normal 2">
      <calculatedColumnFormula>IF(UrbanBMPs[[#This Row],[BMP_type]]="Stream Restoration",NA(),IFERROR(INDEX(Impervious[#All],MATCH(UrbanBMPs[[#This Row],[drainageLandCoverClass]],Impervious[[#All],[Source]],0),4),0))</calculatedColumnFormula>
    </tableColumn>
    <tableColumn id="16" name="TSS_Load_lbPerY" dataDxfId="23" dataCellStyle="Normal 2">
      <calculatedColumnFormula>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calculatedColumnFormula>
    </tableColumn>
    <tableColumn id="17" name="TP_Load_lbPerY" dataDxfId="22" dataCellStyle="Normal 2">
      <calculatedColumnFormula>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calculatedColumnFormula>
    </tableColumn>
    <tableColumn id="18" name="TN_Load_lbPerY" dataDxfId="21" dataCellStyle="Normal 2">
      <calculatedColumnFormula>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calculatedColumnFormula>
    </tableColumn>
    <tableColumn id="19" name="TSS_ReductionEfficiency_percent" dataDxfId="20" dataCellStyle="Normal 2">
      <calculatedColumnFormula>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calculatedColumnFormula>
    </tableColumn>
    <tableColumn id="20" name="TP_ReductionEfficiency_percent" dataDxfId="19" dataCellStyle="Normal 2">
      <calculatedColumnFormula>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calculatedColumnFormula>
    </tableColumn>
    <tableColumn id="21" name="TN_ReductionEfficiency_percent" dataDxfId="18" dataCellStyle="Normal 2">
      <calculatedColumnFormula>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calculatedColumnFormula>
    </tableColumn>
    <tableColumn id="22" name="TSS_Reduction_lbPerY" dataDxfId="17" dataCellStyle="Normal 2">
      <calculatedColumnFormula>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calculatedColumnFormula>
    </tableColumn>
    <tableColumn id="23" name="TSS_Reduction_tonPerY" dataDxfId="16" dataCellStyle="Normal 2">
      <calculatedColumnFormula>[1]!ExistingBMPs5[[#This Row],[TSS_Reduction_lbPerY]]/2000</calculatedColumnFormula>
    </tableColumn>
    <tableColumn id="24" name="TP_Reduction_lbPerY" dataDxfId="15" dataCellStyle="Normal 2">
      <calculatedColumnFormula>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calculatedColumnFormula>
    </tableColumn>
    <tableColumn id="25" name="TN_Reduction_lbPerY" dataDxfId="14" dataCellStyle="Normal 2">
      <calculatedColumnFormula>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support.office.com/en-us/article/overview-of-excel-tables-7ab0bb7d-3a9e-4b56-a3c9-6c94334e492c"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chesapeakebay.net/channel_files/19172/attach_f--draft_faq_document__template.pdf" TargetMode="External"/><Relationship Id="rId2" Type="http://schemas.openxmlformats.org/officeDocument/2006/relationships/hyperlink" Target="https://www.chesapeakebay.net/documents/Final-CBP-Approved-Expert-Panel-Report-on-Stormwater-Performance-Standards-LONG_012015.pdf" TargetMode="External"/><Relationship Id="rId1" Type="http://schemas.openxmlformats.org/officeDocument/2006/relationships/hyperlink" Target="https://www.chesapeakebay.net/documents/Final-CBP-Approved-Expert-Panel-Report-on-Stormwater-Performance-Standards-LONG_012015.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abSelected="1" zoomScale="80" zoomScaleNormal="80" workbookViewId="0">
      <selection activeCell="G18" sqref="G18"/>
    </sheetView>
  </sheetViews>
  <sheetFormatPr defaultColWidth="9.125" defaultRowHeight="15" x14ac:dyDescent="0.25"/>
  <cols>
    <col min="1" max="1" width="8" style="1" customWidth="1"/>
    <col min="2" max="5" width="9.125" style="1"/>
    <col min="6" max="8" width="9.125" style="2"/>
    <col min="9" max="9" width="12.5" style="2" customWidth="1"/>
    <col min="10" max="16384" width="9.125" style="2"/>
  </cols>
  <sheetData>
    <row r="1" spans="1:9" s="389" customFormat="1" ht="26.25" x14ac:dyDescent="0.4">
      <c r="A1" s="387"/>
      <c r="B1" s="387"/>
      <c r="C1" s="387"/>
      <c r="D1" s="387"/>
      <c r="E1" s="388" t="s">
        <v>466</v>
      </c>
    </row>
    <row r="2" spans="1:9" s="386" customFormat="1" ht="21" x14ac:dyDescent="0.35">
      <c r="A2" s="384"/>
      <c r="B2" s="384"/>
      <c r="C2" s="384"/>
      <c r="D2" s="384"/>
      <c r="E2" s="385" t="s">
        <v>0</v>
      </c>
    </row>
    <row r="3" spans="1:9" ht="144" customHeight="1" x14ac:dyDescent="0.25">
      <c r="A3" s="449" t="s">
        <v>1</v>
      </c>
      <c r="B3" s="449"/>
      <c r="C3" s="449"/>
      <c r="D3" s="449"/>
      <c r="E3" s="449"/>
      <c r="F3" s="449"/>
      <c r="G3" s="449"/>
      <c r="H3" s="449"/>
      <c r="I3" s="449"/>
    </row>
    <row r="4" spans="1:9" x14ac:dyDescent="0.25">
      <c r="E4" s="3"/>
    </row>
    <row r="5" spans="1:9" x14ac:dyDescent="0.25">
      <c r="E5" s="4" t="s">
        <v>2</v>
      </c>
    </row>
    <row r="6" spans="1:9" x14ac:dyDescent="0.25">
      <c r="E6" s="4"/>
    </row>
    <row r="7" spans="1:9" x14ac:dyDescent="0.25">
      <c r="E7" s="3"/>
    </row>
    <row r="8" spans="1:9" x14ac:dyDescent="0.25">
      <c r="A8" s="2"/>
      <c r="B8" s="5" t="s">
        <v>3</v>
      </c>
      <c r="C8" s="1" t="s">
        <v>4</v>
      </c>
      <c r="E8" s="6"/>
      <c r="F8" s="1"/>
      <c r="G8" s="1"/>
      <c r="H8" s="1"/>
      <c r="I8" s="1"/>
    </row>
    <row r="9" spans="1:9" x14ac:dyDescent="0.25">
      <c r="C9" s="1" t="s">
        <v>5</v>
      </c>
      <c r="E9" s="7"/>
      <c r="F9" s="1"/>
      <c r="G9" s="1"/>
      <c r="H9" s="1"/>
      <c r="I9" s="1"/>
    </row>
    <row r="10" spans="1:9" ht="15.75" x14ac:dyDescent="0.25">
      <c r="C10" s="1" t="s">
        <v>6</v>
      </c>
      <c r="E10" s="8"/>
    </row>
    <row r="11" spans="1:9" x14ac:dyDescent="0.25">
      <c r="E11" s="6"/>
      <c r="F11" s="1"/>
      <c r="G11" s="1"/>
      <c r="H11" s="1"/>
      <c r="I11" s="1"/>
    </row>
    <row r="12" spans="1:9" x14ac:dyDescent="0.25">
      <c r="E12" s="6"/>
      <c r="F12" s="1"/>
      <c r="G12" s="1"/>
      <c r="H12" s="1"/>
      <c r="I12" s="1"/>
    </row>
    <row r="13" spans="1:9" ht="15.75" x14ac:dyDescent="0.25">
      <c r="E13" s="8"/>
      <c r="F13" s="1"/>
      <c r="G13" s="1"/>
      <c r="H13" s="1"/>
      <c r="I13" s="1"/>
    </row>
    <row r="14" spans="1:9" x14ac:dyDescent="0.25">
      <c r="E14" s="9"/>
      <c r="F14" s="1"/>
      <c r="G14" s="1"/>
      <c r="H14" s="1"/>
      <c r="I14" s="1"/>
    </row>
    <row r="15" spans="1:9" x14ac:dyDescent="0.25">
      <c r="E15" s="6"/>
      <c r="F15" s="1"/>
      <c r="G15" s="1"/>
      <c r="H15" s="1"/>
      <c r="I15" s="1"/>
    </row>
    <row r="16" spans="1:9" ht="15.75" x14ac:dyDescent="0.25">
      <c r="C16" s="10"/>
      <c r="F16" s="1"/>
      <c r="G16" s="1"/>
      <c r="H16" s="1"/>
      <c r="I16" s="1"/>
    </row>
  </sheetData>
  <mergeCells count="1">
    <mergeCell ref="A3:I3"/>
  </mergeCells>
  <pageMargins left="0.7" right="0.7" top="0.75" bottom="0.75" header="0.3" footer="0.3"/>
  <pageSetup orientation="portrait" r:id="rId1"/>
  <headerFooter>
    <oddFooter>&amp;R&amp;10Christina Basin Loading Rates Tool (May 5, 2017)</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zoomScale="60" zoomScaleNormal="60" workbookViewId="0">
      <pane xSplit="2" ySplit="8" topLeftCell="C10" activePane="bottomRight" state="frozen"/>
      <selection pane="topRight" activeCell="C1" sqref="C1"/>
      <selection pane="bottomLeft" activeCell="A9" sqref="A9"/>
      <selection pane="bottomRight" activeCell="E34" sqref="E34"/>
    </sheetView>
  </sheetViews>
  <sheetFormatPr defaultColWidth="8.875" defaultRowHeight="15" x14ac:dyDescent="0.25"/>
  <cols>
    <col min="1" max="1" width="21.625" style="1" customWidth="1"/>
    <col min="2" max="2" width="29.875" style="1" customWidth="1"/>
    <col min="3" max="3" width="16.625" style="1" customWidth="1"/>
    <col min="4" max="4" width="9.625" style="1" customWidth="1"/>
    <col min="5" max="5" width="12.625" style="1" customWidth="1"/>
    <col min="6" max="6" width="21" style="1" customWidth="1"/>
    <col min="7" max="8" width="12.375" style="1" customWidth="1"/>
    <col min="9" max="9" width="16.5" style="1" customWidth="1"/>
    <col min="10" max="10" width="17.75" style="1" customWidth="1"/>
    <col min="11" max="11" width="18.625" style="1" customWidth="1"/>
    <col min="12" max="12" width="21.625" style="1" customWidth="1"/>
    <col min="13" max="13" width="17.75" style="1" customWidth="1"/>
    <col min="14" max="14" width="16.5" style="1" customWidth="1"/>
    <col min="15" max="21" width="12.375" style="1" customWidth="1"/>
    <col min="22" max="22" width="19.125" style="1" customWidth="1"/>
    <col min="23" max="23" width="17" style="1" customWidth="1"/>
    <col min="24" max="25" width="12.375" style="1" customWidth="1"/>
    <col min="26" max="16384" width="8.875" style="1"/>
  </cols>
  <sheetData>
    <row r="1" spans="1:25" ht="21" x14ac:dyDescent="0.35">
      <c r="A1" s="285" t="s">
        <v>457</v>
      </c>
    </row>
    <row r="2" spans="1:25" x14ac:dyDescent="0.25">
      <c r="A2" s="1" t="s">
        <v>305</v>
      </c>
    </row>
    <row r="3" spans="1:25" x14ac:dyDescent="0.25">
      <c r="A3" s="1" t="s">
        <v>306</v>
      </c>
    </row>
    <row r="4" spans="1:25" x14ac:dyDescent="0.25">
      <c r="A4" s="1" t="s">
        <v>307</v>
      </c>
    </row>
    <row r="5" spans="1:25" x14ac:dyDescent="0.25">
      <c r="A5" s="503" t="s">
        <v>511</v>
      </c>
    </row>
    <row r="8" spans="1:25" s="19" customFormat="1" ht="69" customHeight="1" x14ac:dyDescent="0.25">
      <c r="A8" s="19" t="s">
        <v>308</v>
      </c>
      <c r="B8" s="19" t="s">
        <v>309</v>
      </c>
      <c r="C8" s="19" t="s">
        <v>310</v>
      </c>
      <c r="D8" s="19" t="s">
        <v>311</v>
      </c>
      <c r="E8" s="19" t="s">
        <v>312</v>
      </c>
      <c r="F8" s="19" t="s">
        <v>313</v>
      </c>
      <c r="G8" s="19" t="s">
        <v>314</v>
      </c>
      <c r="H8" s="19" t="s">
        <v>315</v>
      </c>
      <c r="I8" s="19" t="s">
        <v>316</v>
      </c>
      <c r="J8" s="19" t="s">
        <v>317</v>
      </c>
      <c r="K8" s="19" t="s">
        <v>318</v>
      </c>
      <c r="L8" s="19" t="s">
        <v>319</v>
      </c>
      <c r="M8" s="19" t="s">
        <v>320</v>
      </c>
      <c r="N8" s="19" t="s">
        <v>321</v>
      </c>
      <c r="O8" s="19" t="s">
        <v>322</v>
      </c>
      <c r="P8" s="19" t="s">
        <v>323</v>
      </c>
      <c r="Q8" s="19" t="s">
        <v>324</v>
      </c>
      <c r="R8" s="19" t="s">
        <v>325</v>
      </c>
      <c r="S8" s="19" t="s">
        <v>326</v>
      </c>
      <c r="T8" s="19" t="s">
        <v>327</v>
      </c>
      <c r="U8" s="19" t="s">
        <v>328</v>
      </c>
      <c r="V8" s="19" t="s">
        <v>329</v>
      </c>
      <c r="W8" s="19" t="s">
        <v>330</v>
      </c>
      <c r="X8" s="19" t="s">
        <v>331</v>
      </c>
      <c r="Y8" s="19" t="s">
        <v>332</v>
      </c>
    </row>
    <row r="9" spans="1:25" s="303" customFormat="1" ht="105" x14ac:dyDescent="0.25">
      <c r="A9" s="299" t="s">
        <v>455</v>
      </c>
      <c r="B9" s="299" t="s">
        <v>456</v>
      </c>
      <c r="C9" s="300" t="s">
        <v>335</v>
      </c>
      <c r="D9" s="300"/>
      <c r="E9" s="301" t="s">
        <v>336</v>
      </c>
      <c r="F9" s="300" t="s">
        <v>337</v>
      </c>
      <c r="G9" s="300" t="s">
        <v>338</v>
      </c>
      <c r="H9" s="300" t="s">
        <v>339</v>
      </c>
      <c r="I9" s="300" t="s">
        <v>340</v>
      </c>
      <c r="J9" s="300" t="s">
        <v>341</v>
      </c>
      <c r="K9" s="300" t="s">
        <v>342</v>
      </c>
      <c r="L9" s="300" t="s">
        <v>343</v>
      </c>
      <c r="M9" s="300" t="s">
        <v>344</v>
      </c>
      <c r="N9" s="300" t="s">
        <v>345</v>
      </c>
      <c r="O9" s="300" t="s">
        <v>346</v>
      </c>
      <c r="P9" s="300" t="s">
        <v>347</v>
      </c>
      <c r="Q9" s="300" t="s">
        <v>348</v>
      </c>
      <c r="R9" s="300" t="s">
        <v>349</v>
      </c>
      <c r="S9" s="300" t="s">
        <v>350</v>
      </c>
      <c r="T9" s="300" t="s">
        <v>351</v>
      </c>
      <c r="U9" s="300" t="s">
        <v>352</v>
      </c>
      <c r="V9" s="300" t="s">
        <v>353</v>
      </c>
      <c r="W9" s="300" t="s">
        <v>354</v>
      </c>
      <c r="X9" s="300" t="s">
        <v>355</v>
      </c>
      <c r="Y9" s="302" t="s">
        <v>356</v>
      </c>
    </row>
    <row r="10" spans="1:25" s="287" customFormat="1" x14ac:dyDescent="0.25">
      <c r="A10" s="372" t="s">
        <v>308</v>
      </c>
      <c r="B10" s="373" t="s">
        <v>309</v>
      </c>
      <c r="C10" s="372" t="s">
        <v>357</v>
      </c>
      <c r="D10" s="372" t="s">
        <v>459</v>
      </c>
      <c r="E10" s="372" t="s">
        <v>312</v>
      </c>
      <c r="F10" s="372" t="s">
        <v>313</v>
      </c>
      <c r="G10" s="372" t="s">
        <v>314</v>
      </c>
      <c r="H10" s="372" t="s">
        <v>315</v>
      </c>
      <c r="I10" s="372" t="s">
        <v>316</v>
      </c>
      <c r="J10" s="372" t="s">
        <v>358</v>
      </c>
      <c r="K10" s="372" t="s">
        <v>318</v>
      </c>
      <c r="L10" s="372" t="s">
        <v>319</v>
      </c>
      <c r="M10" s="372" t="s">
        <v>320</v>
      </c>
      <c r="N10" s="372" t="s">
        <v>321</v>
      </c>
      <c r="O10" s="372" t="s">
        <v>322</v>
      </c>
      <c r="P10" s="372" t="s">
        <v>323</v>
      </c>
      <c r="Q10" s="372" t="s">
        <v>324</v>
      </c>
      <c r="R10" s="372" t="s">
        <v>325</v>
      </c>
      <c r="S10" s="372" t="s">
        <v>326</v>
      </c>
      <c r="T10" s="372" t="s">
        <v>327</v>
      </c>
      <c r="U10" s="372" t="s">
        <v>328</v>
      </c>
      <c r="V10" s="372" t="s">
        <v>329</v>
      </c>
      <c r="W10" s="372" t="s">
        <v>330</v>
      </c>
      <c r="X10" s="372" t="s">
        <v>331</v>
      </c>
      <c r="Y10" s="372" t="s">
        <v>332</v>
      </c>
    </row>
    <row r="11" spans="1:25" x14ac:dyDescent="0.25">
      <c r="A11" s="286" t="s">
        <v>452</v>
      </c>
      <c r="B11" s="288" t="s">
        <v>359</v>
      </c>
      <c r="C11" s="286" t="s">
        <v>333</v>
      </c>
      <c r="D11" s="286" t="s">
        <v>334</v>
      </c>
      <c r="E11" s="289">
        <v>2009</v>
      </c>
      <c r="F11" s="290" t="s">
        <v>57</v>
      </c>
      <c r="G11" s="291">
        <v>1</v>
      </c>
      <c r="H11" s="292">
        <v>2</v>
      </c>
      <c r="I11" s="293"/>
      <c r="J11" s="293"/>
      <c r="K11" s="294">
        <f>UrbanBMPs[[#This Row],[drainageArea_ac]]*UrbanBMPs[[#This Row],[impervFraction_percent]]</f>
        <v>0.15</v>
      </c>
      <c r="L11" s="294">
        <f>IFERROR(MIN(UrbanBMPs[[#This Row],[treatmentDepth_in]]*UrbanBMPs[[#This Row],[drainageArea_ac]]/UrbanBMPs[[#This Row],[impervArea_ac]],2.5),NA())</f>
        <v>2.5</v>
      </c>
      <c r="M11" s="292"/>
      <c r="N11" s="294">
        <f>IF(UrbanBMPs[[#This Row],[treatmentDepthNormalizedManual_inPerImpervAc]]&gt;0,UrbanBMPs[[#This Row],[treatmentDepthNormalizedManual_inPerImpervAc]],UrbanBMPs[[#This Row],[treatmentDepthNormalized_inPerImpervAc]])</f>
        <v>2.5</v>
      </c>
      <c r="O11" s="295">
        <f>IF(UrbanBMPs[[#This Row],[BMP_type]]="Stream Restoration",NA(),IFERROR(INDEX(Impervious[#All],MATCH(UrbanBMPs[[#This Row],[drainageLandCoverClass]],Impervious[[#All],[Source]],0),4),0))</f>
        <v>0.15</v>
      </c>
      <c r="P11" s="29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1279.9300106661317</v>
      </c>
      <c r="Q11" s="29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0.35</v>
      </c>
      <c r="R11" s="29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1</v>
      </c>
      <c r="S11"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0.84898124999999891</v>
      </c>
      <c r="T11"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0.78811874999999987</v>
      </c>
      <c r="U11"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0.67699999999999949</v>
      </c>
      <c r="V11" s="29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1086.6365803678443</v>
      </c>
      <c r="W11" s="296">
        <f>UrbanBMPs[[#This Row],[TSS_Reduction_lbPerY]]/2000</f>
        <v>0.54331829018392219</v>
      </c>
      <c r="X11" s="29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0.27584156249999991</v>
      </c>
      <c r="Y11" s="29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0.67699999999999949</v>
      </c>
    </row>
    <row r="12" spans="1:25" x14ac:dyDescent="0.25">
      <c r="A12" s="286" t="s">
        <v>452</v>
      </c>
      <c r="B12" s="288" t="s">
        <v>360</v>
      </c>
      <c r="C12" s="286" t="s">
        <v>361</v>
      </c>
      <c r="D12" s="286" t="s">
        <v>334</v>
      </c>
      <c r="E12" s="289">
        <v>2015</v>
      </c>
      <c r="F12" s="290" t="s">
        <v>58</v>
      </c>
      <c r="G12" s="291">
        <v>32</v>
      </c>
      <c r="H12" s="292">
        <v>2</v>
      </c>
      <c r="I12" s="293"/>
      <c r="J12" s="293"/>
      <c r="K12" s="297">
        <f>UrbanBMPs[[#This Row],[drainageArea_ac]]*UrbanBMPs[[#This Row],[impervFraction_percent]]</f>
        <v>16.64</v>
      </c>
      <c r="L12" s="297">
        <f>IFERROR(MIN(UrbanBMPs[[#This Row],[treatmentDepth_in]]*UrbanBMPs[[#This Row],[drainageArea_ac]]/UrbanBMPs[[#This Row],[impervArea_ac]],2.5),NA())</f>
        <v>2.5</v>
      </c>
      <c r="M12" s="292"/>
      <c r="N12" s="297">
        <f>IF(UrbanBMPs[[#This Row],[treatmentDepthNormalizedManual_inPerImpervAc]]&gt;0,UrbanBMPs[[#This Row],[treatmentDepthNormalizedManual_inPerImpervAc]],UrbanBMPs[[#This Row],[treatmentDepthNormalized_inPerImpervAc]])</f>
        <v>2.5</v>
      </c>
      <c r="O12" s="295">
        <f>IF(UrbanBMPs[[#This Row],[BMP_type]]="Stream Restoration",NA(),IFERROR(INDEX(Impervious[#All],MATCH(UrbanBMPs[[#This Row],[drainageLandCoverClass]],Impervious[[#All],[Source]],0),4),0))</f>
        <v>0.52</v>
      </c>
      <c r="P12" s="29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107622.71991802922</v>
      </c>
      <c r="Q12" s="29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30.08</v>
      </c>
      <c r="R12" s="29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72.319999999999993</v>
      </c>
      <c r="S12"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0.78811874999999987</v>
      </c>
      <c r="T12"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0.61997187499999973</v>
      </c>
      <c r="U12"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0.39315000000000072</v>
      </c>
      <c r="V12" s="29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84819.483493397274</v>
      </c>
      <c r="W12" s="298">
        <f>UrbanBMPs[[#This Row],[TSS_Reduction_lbPerY]]/2000</f>
        <v>42.409741746698636</v>
      </c>
      <c r="X12" s="29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18.64875399999999</v>
      </c>
      <c r="Y12" s="29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28.432608000000048</v>
      </c>
    </row>
    <row r="13" spans="1:25" x14ac:dyDescent="0.25">
      <c r="A13" s="286" t="s">
        <v>452</v>
      </c>
      <c r="B13" s="288" t="s">
        <v>362</v>
      </c>
      <c r="C13" s="286" t="s">
        <v>333</v>
      </c>
      <c r="D13" s="286" t="s">
        <v>334</v>
      </c>
      <c r="E13" s="289">
        <v>2010</v>
      </c>
      <c r="F13" s="290" t="s">
        <v>59</v>
      </c>
      <c r="G13" s="291">
        <v>6</v>
      </c>
      <c r="H13" s="292">
        <v>2</v>
      </c>
      <c r="I13" s="293"/>
      <c r="J13" s="293"/>
      <c r="K13" s="294">
        <f>UrbanBMPs[[#This Row],[drainageArea_ac]]*UrbanBMPs[[#This Row],[impervFraction_percent]]</f>
        <v>5.22</v>
      </c>
      <c r="L13" s="294">
        <f>IFERROR(MIN(UrbanBMPs[[#This Row],[treatmentDepth_in]]*UrbanBMPs[[#This Row],[drainageArea_ac]]/UrbanBMPs[[#This Row],[impervArea_ac]],2.5),NA())</f>
        <v>2.298850574712644</v>
      </c>
      <c r="M13" s="292"/>
      <c r="N13" s="294">
        <f>IF(UrbanBMPs[[#This Row],[treatmentDepthNormalizedManual_inPerImpervAc]]&gt;0,UrbanBMPs[[#This Row],[treatmentDepthNormalizedManual_inPerImpervAc]],UrbanBMPs[[#This Row],[treatmentDepthNormalized_inPerImpervAc]])</f>
        <v>2.298850574712644</v>
      </c>
      <c r="O13" s="295">
        <f>IF(UrbanBMPs[[#This Row],[BMP_type]]="Stream Restoration",NA(),IFERROR(INDEX(Impervious[#All],MATCH(UrbanBMPs[[#This Row],[drainageLandCoverClass]],Impervious[[#All],[Source]],0),4),0))</f>
        <v>0.87</v>
      </c>
      <c r="P13" s="29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31758.515029107599</v>
      </c>
      <c r="Q13" s="29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8.5200000000000014</v>
      </c>
      <c r="R13" s="29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16.14</v>
      </c>
      <c r="S13"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0.84374902243371985</v>
      </c>
      <c r="T13"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0.78447887832736918</v>
      </c>
      <c r="U13"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0.67137529215454383</v>
      </c>
      <c r="V13" s="29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26796.216009756135</v>
      </c>
      <c r="W13" s="296">
        <f>UrbanBMPs[[#This Row],[TSS_Reduction_lbPerY]]/2000</f>
        <v>13.398108004878068</v>
      </c>
      <c r="X13" s="29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6.6837600433491868</v>
      </c>
      <c r="Y13" s="29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10.835997215374338</v>
      </c>
    </row>
    <row r="14" spans="1:25" x14ac:dyDescent="0.25">
      <c r="A14" s="286" t="s">
        <v>453</v>
      </c>
      <c r="B14" s="288" t="s">
        <v>363</v>
      </c>
      <c r="C14" s="286" t="s">
        <v>333</v>
      </c>
      <c r="D14" s="286" t="s">
        <v>334</v>
      </c>
      <c r="E14" s="289">
        <v>2010</v>
      </c>
      <c r="F14" s="290" t="s">
        <v>47</v>
      </c>
      <c r="G14" s="291">
        <v>3</v>
      </c>
      <c r="H14" s="292">
        <v>1</v>
      </c>
      <c r="I14" s="293"/>
      <c r="J14" s="293"/>
      <c r="K14" s="297">
        <f>UrbanBMPs[[#This Row],[drainageArea_ac]]*UrbanBMPs[[#This Row],[impervFraction_percent]]</f>
        <v>0</v>
      </c>
      <c r="L14" s="297" t="e">
        <f>IFERROR(MIN(UrbanBMPs[[#This Row],[treatmentDepth_in]]*UrbanBMPs[[#This Row],[drainageArea_ac]]/UrbanBMPs[[#This Row],[impervArea_ac]],2.5),NA())</f>
        <v>#N/A</v>
      </c>
      <c r="M14" s="292"/>
      <c r="N14" s="297" t="e">
        <f>IF(UrbanBMPs[[#This Row],[treatmentDepthNormalizedManual_inPerImpervAc]]&gt;0,UrbanBMPs[[#This Row],[treatmentDepthNormalizedManual_inPerImpervAc]],UrbanBMPs[[#This Row],[treatmentDepthNormalized_inPerImpervAc]])</f>
        <v>#N/A</v>
      </c>
      <c r="O14" s="295">
        <f>IF(UrbanBMPs[[#This Row],[BMP_type]]="Stream Restoration",NA(),IFERROR(INDEX(Impervious[#All],MATCH(UrbanBMPs[[#This Row],[drainageLandCoverClass]],Impervious[[#All],[Source]],0),4),0))</f>
        <v>0</v>
      </c>
      <c r="P14" s="29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4698.8450501066454</v>
      </c>
      <c r="Q14" s="29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11.07</v>
      </c>
      <c r="R14" s="29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40.53</v>
      </c>
      <c r="S14" s="295" t="e">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#N/A</v>
      </c>
      <c r="T14" s="295" t="e">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#N/A</v>
      </c>
      <c r="U14" s="295" t="e">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#N/A</v>
      </c>
      <c r="V14" s="29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4" s="298" t="e">
        <f>UrbanBMPs[[#This Row],[TSS_Reduction_lbPerY]]/2000</f>
        <v>#N/A</v>
      </c>
      <c r="X14" s="29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4" s="29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5" spans="1:25" x14ac:dyDescent="0.25">
      <c r="A15" s="286" t="s">
        <v>453</v>
      </c>
      <c r="B15" s="288" t="s">
        <v>364</v>
      </c>
      <c r="C15" s="286" t="s">
        <v>333</v>
      </c>
      <c r="D15" s="286" t="s">
        <v>334</v>
      </c>
      <c r="E15" s="289">
        <v>2010</v>
      </c>
      <c r="F15" s="290" t="s">
        <v>46</v>
      </c>
      <c r="G15" s="291">
        <v>1.5</v>
      </c>
      <c r="H15" s="292">
        <v>1</v>
      </c>
      <c r="I15" s="293"/>
      <c r="J15" s="293"/>
      <c r="K15" s="294">
        <f>UrbanBMPs[[#This Row],[drainageArea_ac]]*UrbanBMPs[[#This Row],[impervFraction_percent]]</f>
        <v>0</v>
      </c>
      <c r="L15" s="294" t="e">
        <f>IFERROR(MIN(UrbanBMPs[[#This Row],[treatmentDepth_in]]*UrbanBMPs[[#This Row],[drainageArea_ac]]/UrbanBMPs[[#This Row],[impervArea_ac]],2.5),NA())</f>
        <v>#N/A</v>
      </c>
      <c r="M15" s="292">
        <v>1.92</v>
      </c>
      <c r="N15" s="294">
        <f>IF(UrbanBMPs[[#This Row],[treatmentDepthNormalizedManual_inPerImpervAc]]&gt;0,UrbanBMPs[[#This Row],[treatmentDepthNormalizedManual_inPerImpervAc]],UrbanBMPs[[#This Row],[treatmentDepthNormalized_inPerImpervAc]])</f>
        <v>1.92</v>
      </c>
      <c r="O15" s="295">
        <f>IF(UrbanBMPs[[#This Row],[BMP_type]]="Stream Restoration",NA(),IFERROR(INDEX(Impervious[#All],MATCH(UrbanBMPs[[#This Row],[drainageLandCoverClass]],Impervious[[#All],[Source]],0),4),0))</f>
        <v>0</v>
      </c>
      <c r="P15" s="29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790.15165736756239</v>
      </c>
      <c r="Q15" s="29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3.7650000000000006</v>
      </c>
      <c r="R15" s="29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14.189999999999998</v>
      </c>
      <c r="S15"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0.83739238316031916</v>
      </c>
      <c r="T15"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0.78007825200128</v>
      </c>
      <c r="U15"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0.66729601120255999</v>
      </c>
      <c r="V15" s="29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661.66697942109909</v>
      </c>
      <c r="W15" s="296">
        <f>UrbanBMPs[[#This Row],[TSS_Reduction_lbPerY]]/2000</f>
        <v>0.33083348971054954</v>
      </c>
      <c r="X15" s="29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2.9369946187848197</v>
      </c>
      <c r="Y15" s="29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9.468930398964325</v>
      </c>
    </row>
    <row r="16" spans="1:25" x14ac:dyDescent="0.25">
      <c r="A16" s="286" t="s">
        <v>454</v>
      </c>
      <c r="B16" s="288" t="s">
        <v>365</v>
      </c>
      <c r="C16" s="286" t="s">
        <v>366</v>
      </c>
      <c r="D16" s="286" t="s">
        <v>458</v>
      </c>
      <c r="E16" s="289">
        <v>2019</v>
      </c>
      <c r="F16" s="290"/>
      <c r="G16" s="291"/>
      <c r="H16" s="292"/>
      <c r="I16" s="293">
        <v>500</v>
      </c>
      <c r="J16" s="293"/>
      <c r="K16" s="297" t="e">
        <f>UrbanBMPs[[#This Row],[drainageArea_ac]]*UrbanBMPs[[#This Row],[impervFraction_percent]]</f>
        <v>#N/A</v>
      </c>
      <c r="L16" s="297" t="e">
        <f>IFERROR(MIN(UrbanBMPs[[#This Row],[treatmentDepth_in]]*UrbanBMPs[[#This Row],[drainageArea_ac]]/UrbanBMPs[[#This Row],[impervArea_ac]],2.5),NA())</f>
        <v>#N/A</v>
      </c>
      <c r="M16" s="292"/>
      <c r="N16" s="297" t="e">
        <f>IF(UrbanBMPs[[#This Row],[treatmentDepthNormalizedManual_inPerImpervAc]]&gt;0,UrbanBMPs[[#This Row],[treatmentDepthNormalizedManual_inPerImpervAc]],UrbanBMPs[[#This Row],[treatmentDepthNormalized_inPerImpervAc]])</f>
        <v>#N/A</v>
      </c>
      <c r="O16" s="295" t="e">
        <f>IF(UrbanBMPs[[#This Row],[BMP_type]]="Stream Restoration",NA(),IFERROR(INDEX(Impervious[#All],MATCH(UrbanBMPs[[#This Row],[drainageLandCoverClass]],Impervious[[#All],[Source]],0),4),0))</f>
        <v>#N/A</v>
      </c>
      <c r="P16" s="29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6" s="29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6" s="29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6"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v>
      </c>
      <c r="T16"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v>
      </c>
      <c r="U16"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v>
      </c>
      <c r="V16" s="29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57500</v>
      </c>
      <c r="W16" s="298">
        <f>UrbanBMPs[[#This Row],[TSS_Reduction_lbPerY]]/2000</f>
        <v>28.75</v>
      </c>
      <c r="X16" s="29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87</v>
      </c>
      <c r="Y16" s="29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96</v>
      </c>
    </row>
    <row r="17" spans="1:25" x14ac:dyDescent="0.25">
      <c r="A17" s="286" t="s">
        <v>454</v>
      </c>
      <c r="B17" s="288" t="s">
        <v>367</v>
      </c>
      <c r="C17" s="286" t="s">
        <v>368</v>
      </c>
      <c r="D17" s="286" t="s">
        <v>458</v>
      </c>
      <c r="E17" s="289">
        <v>2019</v>
      </c>
      <c r="F17" s="290" t="s">
        <v>57</v>
      </c>
      <c r="G17" s="291"/>
      <c r="H17" s="292"/>
      <c r="I17" s="293"/>
      <c r="J17" s="293">
        <v>2000</v>
      </c>
      <c r="K17" s="297">
        <f>UrbanBMPs[[#This Row],[drainageArea_ac]]*UrbanBMPs[[#This Row],[impervFraction_percent]]</f>
        <v>0</v>
      </c>
      <c r="L17" s="297" t="e">
        <f>IFERROR(MIN(UrbanBMPs[[#This Row],[treatmentDepth_in]]*UrbanBMPs[[#This Row],[drainageArea_ac]]/UrbanBMPs[[#This Row],[impervArea_ac]],2.5),NA())</f>
        <v>#N/A</v>
      </c>
      <c r="M17" s="292"/>
      <c r="N17" s="297" t="e">
        <f>IF(UrbanBMPs[[#This Row],[treatmentDepthNormalizedManual_inPerImpervAc]]&gt;0,UrbanBMPs[[#This Row],[treatmentDepthNormalizedManual_inPerImpervAc]],UrbanBMPs[[#This Row],[treatmentDepthNormalized_inPerImpervAc]])</f>
        <v>#N/A</v>
      </c>
      <c r="O17" s="295">
        <f>IF(UrbanBMPs[[#This Row],[BMP_type]]="Stream Restoration",NA(),IFERROR(INDEX(Impervious[#All],MATCH(UrbanBMPs[[#This Row],[drainageLandCoverClass]],Impervious[[#All],[Source]],0),4),0))</f>
        <v>0.15</v>
      </c>
      <c r="P17" s="29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1.2390261767052255</v>
      </c>
      <c r="Q17" s="29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4.1322314049586769E-3</v>
      </c>
      <c r="R17" s="29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3.4435261707988982E-2</v>
      </c>
      <c r="S17"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0.1</v>
      </c>
      <c r="T17"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0.1</v>
      </c>
      <c r="U17"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0.1</v>
      </c>
      <c r="V17" s="29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0.12390261767052256</v>
      </c>
      <c r="W17" s="298">
        <f>UrbanBMPs[[#This Row],[TSS_Reduction_lbPerY]]/2000</f>
        <v>6.1951308835261283E-5</v>
      </c>
      <c r="X17" s="29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4.132231404958677E-4</v>
      </c>
      <c r="Y17" s="29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3.4435261707988982E-3</v>
      </c>
    </row>
    <row r="18" spans="1:25" x14ac:dyDescent="0.25">
      <c r="A18" s="286" t="s">
        <v>453</v>
      </c>
      <c r="B18" s="288" t="s">
        <v>370</v>
      </c>
      <c r="C18" s="286" t="s">
        <v>368</v>
      </c>
      <c r="D18" s="286" t="s">
        <v>334</v>
      </c>
      <c r="E18" s="289">
        <v>2015</v>
      </c>
      <c r="F18" s="290" t="s">
        <v>59</v>
      </c>
      <c r="G18" s="291"/>
      <c r="H18" s="292"/>
      <c r="I18" s="293"/>
      <c r="J18" s="293">
        <v>20000</v>
      </c>
      <c r="K18" s="297">
        <f>UrbanBMPs[[#This Row],[drainageArea_ac]]*UrbanBMPs[[#This Row],[impervFraction_percent]]</f>
        <v>0</v>
      </c>
      <c r="L18" s="297" t="e">
        <f>IFERROR(MIN(UrbanBMPs[[#This Row],[treatmentDepth_in]]*UrbanBMPs[[#This Row],[drainageArea_ac]]/UrbanBMPs[[#This Row],[impervArea_ac]],2.5),NA())</f>
        <v>#N/A</v>
      </c>
      <c r="M18" s="292"/>
      <c r="N18" s="297" t="e">
        <f>IF(UrbanBMPs[[#This Row],[treatmentDepthNormalizedManual_inPerImpervAc]]&gt;0,UrbanBMPs[[#This Row],[treatmentDepthNormalizedManual_inPerImpervAc]],UrbanBMPs[[#This Row],[treatmentDepthNormalized_inPerImpervAc]])</f>
        <v>#N/A</v>
      </c>
      <c r="O18" s="295">
        <f>IF(UrbanBMPs[[#This Row],[BMP_type]]="Stream Restoration",NA(),IFERROR(INDEX(Impervious[#All],MATCH(UrbanBMPs[[#This Row],[drainageLandCoverClass]],Impervious[[#All],[Source]],0),4),0))</f>
        <v>0.87</v>
      </c>
      <c r="P18" s="29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416.85524140417903</v>
      </c>
      <c r="Q18" s="29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0.87878787878787867</v>
      </c>
      <c r="R18" s="29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8.4683195592286502</v>
      </c>
      <c r="S18"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0.1</v>
      </c>
      <c r="T18"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0.1</v>
      </c>
      <c r="U18"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0.1</v>
      </c>
      <c r="V18" s="29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41.685524140417904</v>
      </c>
      <c r="W18" s="298">
        <f>UrbanBMPs[[#This Row],[TSS_Reduction_lbPerY]]/2000</f>
        <v>2.0842762070208951E-2</v>
      </c>
      <c r="X18" s="29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8.7878787878787876E-2</v>
      </c>
      <c r="Y18" s="29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0.84683195592286509</v>
      </c>
    </row>
    <row r="19" spans="1:25" x14ac:dyDescent="0.25">
      <c r="A19" s="286"/>
      <c r="B19" s="288"/>
      <c r="C19" s="286"/>
      <c r="D19" s="286"/>
      <c r="E19" s="289"/>
      <c r="F19" s="290"/>
      <c r="G19" s="291"/>
      <c r="H19" s="292"/>
      <c r="I19" s="293"/>
      <c r="J19" s="293"/>
      <c r="K19" s="297">
        <f>UrbanBMPs[[#This Row],[drainageArea_ac]]*UrbanBMPs[[#This Row],[impervFraction_percent]]</f>
        <v>0</v>
      </c>
      <c r="L19" s="297" t="e">
        <f>IFERROR(MIN(UrbanBMPs[[#This Row],[treatmentDepth_in]]*UrbanBMPs[[#This Row],[drainageArea_ac]]/UrbanBMPs[[#This Row],[impervArea_ac]],2.5),NA())</f>
        <v>#N/A</v>
      </c>
      <c r="M19" s="292"/>
      <c r="N19" s="297" t="e">
        <f>IF(UrbanBMPs[[#This Row],[treatmentDepthNormalizedManual_inPerImpervAc]]&gt;0,UrbanBMPs[[#This Row],[treatmentDepthNormalizedManual_inPerImpervAc]],UrbanBMPs[[#This Row],[treatmentDepthNormalized_inPerImpervAc]])</f>
        <v>#N/A</v>
      </c>
      <c r="O19" s="295">
        <f>IF(UrbanBMPs[[#This Row],[BMP_type]]="Stream Restoration",NA(),IFERROR(INDEX(Impervious[#All],MATCH(UrbanBMPs[[#This Row],[drainageLandCoverClass]],Impervious[[#All],[Source]],0),4),0))</f>
        <v>0</v>
      </c>
      <c r="P19" s="29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9" s="29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9" s="29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9"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9"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9"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9" s="29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9" s="298" t="e">
        <f>UrbanBMPs[[#This Row],[TSS_Reduction_lbPerY]]/2000</f>
        <v>#N/A</v>
      </c>
      <c r="X19" s="29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9" s="29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0" spans="1:25" x14ac:dyDescent="0.25">
      <c r="A20" s="286"/>
      <c r="B20" s="288"/>
      <c r="C20" s="286"/>
      <c r="D20" s="286"/>
      <c r="E20" s="289"/>
      <c r="F20" s="290"/>
      <c r="G20" s="291"/>
      <c r="H20" s="292"/>
      <c r="I20" s="293"/>
      <c r="J20" s="293"/>
      <c r="K20" s="297">
        <f>UrbanBMPs[[#This Row],[drainageArea_ac]]*UrbanBMPs[[#This Row],[impervFraction_percent]]</f>
        <v>0</v>
      </c>
      <c r="L20" s="297" t="e">
        <f>IFERROR(MIN(UrbanBMPs[[#This Row],[treatmentDepth_in]]*UrbanBMPs[[#This Row],[drainageArea_ac]]/UrbanBMPs[[#This Row],[impervArea_ac]],2.5),NA())</f>
        <v>#N/A</v>
      </c>
      <c r="M20" s="292"/>
      <c r="N20" s="297" t="e">
        <f>IF(UrbanBMPs[[#This Row],[treatmentDepthNormalizedManual_inPerImpervAc]]&gt;0,UrbanBMPs[[#This Row],[treatmentDepthNormalizedManual_inPerImpervAc]],UrbanBMPs[[#This Row],[treatmentDepthNormalized_inPerImpervAc]])</f>
        <v>#N/A</v>
      </c>
      <c r="O20" s="295">
        <f>IF(UrbanBMPs[[#This Row],[BMP_type]]="Stream Restoration",NA(),IFERROR(INDEX(Impervious[#All],MATCH(UrbanBMPs[[#This Row],[drainageLandCoverClass]],Impervious[[#All],[Source]],0),4),0))</f>
        <v>0</v>
      </c>
      <c r="P20" s="29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0" s="29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0" s="29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0"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0"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0"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0" s="29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0" s="298" t="e">
        <f>UrbanBMPs[[#This Row],[TSS_Reduction_lbPerY]]/2000</f>
        <v>#N/A</v>
      </c>
      <c r="X20" s="29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0" s="29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1" spans="1:25" x14ac:dyDescent="0.25">
      <c r="A21" s="286"/>
      <c r="B21" s="288"/>
      <c r="C21" s="286"/>
      <c r="D21" s="286"/>
      <c r="E21" s="289"/>
      <c r="F21" s="290"/>
      <c r="G21" s="291"/>
      <c r="H21" s="292"/>
      <c r="I21" s="293"/>
      <c r="J21" s="293"/>
      <c r="K21" s="297">
        <f>UrbanBMPs[[#This Row],[drainageArea_ac]]*UrbanBMPs[[#This Row],[impervFraction_percent]]</f>
        <v>0</v>
      </c>
      <c r="L21" s="297" t="e">
        <f>IFERROR(MIN(UrbanBMPs[[#This Row],[treatmentDepth_in]]*UrbanBMPs[[#This Row],[drainageArea_ac]]/UrbanBMPs[[#This Row],[impervArea_ac]],2.5),NA())</f>
        <v>#N/A</v>
      </c>
      <c r="M21" s="292"/>
      <c r="N21" s="297" t="e">
        <f>IF(UrbanBMPs[[#This Row],[treatmentDepthNormalizedManual_inPerImpervAc]]&gt;0,UrbanBMPs[[#This Row],[treatmentDepthNormalizedManual_inPerImpervAc]],UrbanBMPs[[#This Row],[treatmentDepthNormalized_inPerImpervAc]])</f>
        <v>#N/A</v>
      </c>
      <c r="O21" s="295">
        <f>IF(UrbanBMPs[[#This Row],[BMP_type]]="Stream Restoration",NA(),IFERROR(INDEX(Impervious[#All],MATCH(UrbanBMPs[[#This Row],[drainageLandCoverClass]],Impervious[[#All],[Source]],0),4),0))</f>
        <v>0</v>
      </c>
      <c r="P21" s="29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1" s="29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1" s="29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1"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1"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1"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1" s="29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1" s="298" t="e">
        <f>UrbanBMPs[[#This Row],[TSS_Reduction_lbPerY]]/2000</f>
        <v>#N/A</v>
      </c>
      <c r="X21" s="29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1" s="29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2" spans="1:25" x14ac:dyDescent="0.25">
      <c r="A22" s="286"/>
      <c r="B22" s="288"/>
      <c r="C22" s="286"/>
      <c r="D22" s="286"/>
      <c r="E22" s="289"/>
      <c r="F22" s="290"/>
      <c r="G22" s="291"/>
      <c r="H22" s="292"/>
      <c r="I22" s="293"/>
      <c r="J22" s="293"/>
      <c r="K22" s="297">
        <f>UrbanBMPs[[#This Row],[drainageArea_ac]]*UrbanBMPs[[#This Row],[impervFraction_percent]]</f>
        <v>0</v>
      </c>
      <c r="L22" s="297" t="e">
        <f>IFERROR(MIN(UrbanBMPs[[#This Row],[treatmentDepth_in]]*UrbanBMPs[[#This Row],[drainageArea_ac]]/UrbanBMPs[[#This Row],[impervArea_ac]],2.5),NA())</f>
        <v>#N/A</v>
      </c>
      <c r="M22" s="292"/>
      <c r="N22" s="297" t="e">
        <f>IF(UrbanBMPs[[#This Row],[treatmentDepthNormalizedManual_inPerImpervAc]]&gt;0,UrbanBMPs[[#This Row],[treatmentDepthNormalizedManual_inPerImpervAc]],UrbanBMPs[[#This Row],[treatmentDepthNormalized_inPerImpervAc]])</f>
        <v>#N/A</v>
      </c>
      <c r="O22" s="295">
        <f>IF(UrbanBMPs[[#This Row],[BMP_type]]="Stream Restoration",NA(),IFERROR(INDEX(Impervious[#All],MATCH(UrbanBMPs[[#This Row],[drainageLandCoverClass]],Impervious[[#All],[Source]],0),4),0))</f>
        <v>0</v>
      </c>
      <c r="P22" s="29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2" s="29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2" s="29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2"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2"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2"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2" s="29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2" s="298" t="e">
        <f>UrbanBMPs[[#This Row],[TSS_Reduction_lbPerY]]/2000</f>
        <v>#N/A</v>
      </c>
      <c r="X22" s="29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2" s="29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3" spans="1:25" x14ac:dyDescent="0.25">
      <c r="A23" s="374"/>
      <c r="B23" s="375"/>
      <c r="C23" s="374"/>
      <c r="D23" s="374"/>
      <c r="E23" s="376"/>
      <c r="F23" s="377"/>
      <c r="G23" s="378"/>
      <c r="H23" s="379"/>
      <c r="I23" s="380"/>
      <c r="J23" s="380"/>
      <c r="K23" s="297">
        <f>UrbanBMPs[[#This Row],[drainageArea_ac]]*UrbanBMPs[[#This Row],[impervFraction_percent]]</f>
        <v>0</v>
      </c>
      <c r="L23" s="297" t="e">
        <f>IFERROR(MIN(UrbanBMPs[[#This Row],[treatmentDepth_in]]*UrbanBMPs[[#This Row],[drainageArea_ac]]/UrbanBMPs[[#This Row],[impervArea_ac]],2.5),NA())</f>
        <v>#N/A</v>
      </c>
      <c r="M23" s="292"/>
      <c r="N23" s="297" t="e">
        <f>IF(UrbanBMPs[[#This Row],[treatmentDepthNormalizedManual_inPerImpervAc]]&gt;0,UrbanBMPs[[#This Row],[treatmentDepthNormalizedManual_inPerImpervAc]],UrbanBMPs[[#This Row],[treatmentDepthNormalized_inPerImpervAc]])</f>
        <v>#N/A</v>
      </c>
      <c r="O23" s="295">
        <f>IF(UrbanBMPs[[#This Row],[BMP_type]]="Stream Restoration",NA(),IFERROR(INDEX(Impervious[#All],MATCH(UrbanBMPs[[#This Row],[drainageLandCoverClass]],Impervious[[#All],[Source]],0),4),0))</f>
        <v>0</v>
      </c>
      <c r="P23" s="29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3" s="29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3" s="29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3"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3"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3"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3" s="29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3" s="298" t="e">
        <f>UrbanBMPs[[#This Row],[TSS_Reduction_lbPerY]]/2000</f>
        <v>#N/A</v>
      </c>
      <c r="X23" s="29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3" s="29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5" spans="1:25" ht="15.75" x14ac:dyDescent="0.25">
      <c r="A25" s="1" t="s">
        <v>461</v>
      </c>
      <c r="C25" s="381" t="s">
        <v>460</v>
      </c>
    </row>
    <row r="26" spans="1:25" x14ac:dyDescent="0.25">
      <c r="A26" s="1" t="s">
        <v>462</v>
      </c>
      <c r="U26" s="382" t="s">
        <v>433</v>
      </c>
      <c r="V26" s="383">
        <f>SUMIF(V$11:V$23, "&lt;&gt;#N/A")</f>
        <v>170905.81248970045</v>
      </c>
      <c r="W26" s="383">
        <f t="shared" ref="W26:Y26" si="0">SUMIF(W$11:W$23, "&lt;&gt;#N/A")</f>
        <v>85.452906244850212</v>
      </c>
      <c r="X26" s="383">
        <f t="shared" si="0"/>
        <v>115.63364223565328</v>
      </c>
      <c r="Y26" s="383">
        <f t="shared" si="0"/>
        <v>146.26481109643237</v>
      </c>
    </row>
    <row r="28" spans="1:25" x14ac:dyDescent="0.25">
      <c r="U28" s="382" t="s">
        <v>463</v>
      </c>
      <c r="V28" s="383">
        <f>SUMIFS(V$11:V$23, V$11:V$23, "&lt;&gt;#N/A", $D$11:$D$23, "Existing")</f>
        <v>113405.68858708277</v>
      </c>
      <c r="W28" s="383">
        <f>SUMIFS(W$11:W$23, W$11:W$23, "&lt;&gt;#N/A", $D$11:$D$23, "Existing")</f>
        <v>56.702844293541382</v>
      </c>
      <c r="X28" s="383">
        <f>SUMIFS(X$11:X$23, X$11:X$23, "&lt;&gt;#N/A", $D$11:$D$23, "Existing")</f>
        <v>28.633229012512782</v>
      </c>
      <c r="Y28" s="383">
        <f>SUMIFS(Y$11:Y$23, Y$11:Y$23, "&lt;&gt;#N/A", $D$11:$D$23, "Existing")</f>
        <v>50.261367570261577</v>
      </c>
    </row>
    <row r="30" spans="1:25" x14ac:dyDescent="0.25">
      <c r="U30" s="382" t="s">
        <v>464</v>
      </c>
      <c r="V30" s="383">
        <f>SUMIFS(V$11:V$23, V$11:V$23, "&lt;&gt;#N/A", $D$11:$D$23, "Proposed")</f>
        <v>57500.12390261767</v>
      </c>
      <c r="W30" s="383">
        <f>SUMIFS(W$11:W$23, W$11:W$23, "&lt;&gt;#N/A", $D$11:$D$23, "Proposed")</f>
        <v>28.750061951308837</v>
      </c>
      <c r="X30" s="383">
        <f>SUMIFS(X$11:X$23, X$11:X$23, "&lt;&gt;#N/A", $D$11:$D$23, "Proposed")</f>
        <v>87.000413223140498</v>
      </c>
      <c r="Y30" s="383">
        <f>SUMIFS(Y$11:Y$23, Y$11:Y$23, "&lt;&gt;#N/A", $D$11:$D$23, "Proposed")</f>
        <v>96.003443526170798</v>
      </c>
    </row>
    <row r="32" spans="1:25" x14ac:dyDescent="0.25">
      <c r="T32" s="1" t="s">
        <v>455</v>
      </c>
    </row>
    <row r="33" spans="20:25" x14ac:dyDescent="0.25">
      <c r="T33" s="1" t="s">
        <v>452</v>
      </c>
      <c r="U33" s="382" t="s">
        <v>465</v>
      </c>
      <c r="V33" s="383">
        <f t="shared" ref="V33:Y35" si="1">SUMIFS(V$11:V$23, V$11:V$23, "&lt;&gt;#N/A", $A$11:$A$23, $T33)</f>
        <v>112702.33608352125</v>
      </c>
      <c r="W33" s="383">
        <f t="shared" si="1"/>
        <v>56.351168041760623</v>
      </c>
      <c r="X33" s="383">
        <f t="shared" si="1"/>
        <v>25.608355605849177</v>
      </c>
      <c r="Y33" s="383">
        <f t="shared" si="1"/>
        <v>39.945605215374385</v>
      </c>
    </row>
    <row r="34" spans="20:25" x14ac:dyDescent="0.25">
      <c r="T34" s="1" t="s">
        <v>453</v>
      </c>
      <c r="U34" s="382" t="s">
        <v>465</v>
      </c>
      <c r="V34" s="383">
        <f t="shared" si="1"/>
        <v>703.35250356151698</v>
      </c>
      <c r="W34" s="383">
        <f t="shared" si="1"/>
        <v>0.35167625178075851</v>
      </c>
      <c r="X34" s="383">
        <f t="shared" si="1"/>
        <v>3.0248734066636076</v>
      </c>
      <c r="Y34" s="383">
        <f t="shared" si="1"/>
        <v>10.315762354887189</v>
      </c>
    </row>
    <row r="35" spans="20:25" x14ac:dyDescent="0.25">
      <c r="T35" s="1" t="s">
        <v>454</v>
      </c>
      <c r="U35" s="382" t="s">
        <v>465</v>
      </c>
      <c r="V35" s="383">
        <f t="shared" si="1"/>
        <v>57500.12390261767</v>
      </c>
      <c r="W35" s="383">
        <f t="shared" si="1"/>
        <v>28.750061951308837</v>
      </c>
      <c r="X35" s="383">
        <f t="shared" si="1"/>
        <v>87.000413223140498</v>
      </c>
      <c r="Y35" s="383">
        <f t="shared" si="1"/>
        <v>96.003443526170798</v>
      </c>
    </row>
  </sheetData>
  <conditionalFormatting sqref="F11:F17">
    <cfRule type="expression" dxfId="13" priority="13">
      <formula>OR($B11="Stream Restoration")</formula>
    </cfRule>
  </conditionalFormatting>
  <conditionalFormatting sqref="G11:H17 M11:M23">
    <cfRule type="expression" dxfId="12" priority="16">
      <formula>OR($B11="Stream Restoration",$B11="Street Sweeping")</formula>
    </cfRule>
  </conditionalFormatting>
  <conditionalFormatting sqref="I11:I17">
    <cfRule type="expression" dxfId="11" priority="15">
      <formula>OR($B11="RR",$B11="ST",$B11="Street Sweeping")</formula>
    </cfRule>
  </conditionalFormatting>
  <conditionalFormatting sqref="J11:J17">
    <cfRule type="expression" dxfId="10" priority="14">
      <formula>OR($B11="RR",$B11="ST",$B11="Stream Restoration")</formula>
    </cfRule>
  </conditionalFormatting>
  <conditionalFormatting sqref="G18:H18">
    <cfRule type="expression" dxfId="9" priority="12">
      <formula>OR($B18="Stream Restoration",$B18="Street Sweeping")</formula>
    </cfRule>
  </conditionalFormatting>
  <conditionalFormatting sqref="I18">
    <cfRule type="expression" dxfId="8" priority="11">
      <formula>OR($B18="RR",$B18="ST",$B18="Street Sweeping")</formula>
    </cfRule>
  </conditionalFormatting>
  <conditionalFormatting sqref="J18">
    <cfRule type="expression" dxfId="7" priority="10">
      <formula>OR($B18="RR",$B18="ST",$B18="Stream Restoration")</formula>
    </cfRule>
  </conditionalFormatting>
  <conditionalFormatting sqref="F19:F21 F23">
    <cfRule type="expression" dxfId="6" priority="5">
      <formula>OR($B19="Stream Restoration")</formula>
    </cfRule>
  </conditionalFormatting>
  <conditionalFormatting sqref="G19:H21 G23:H23">
    <cfRule type="expression" dxfId="5" priority="8">
      <formula>OR($B19="Stream Restoration",$B19="Street Sweeping")</formula>
    </cfRule>
  </conditionalFormatting>
  <conditionalFormatting sqref="I19:I23">
    <cfRule type="expression" dxfId="4" priority="7">
      <formula>OR($B19="RR",$B19="ST",$B19="Street Sweeping")</formula>
    </cfRule>
  </conditionalFormatting>
  <conditionalFormatting sqref="J19:J23">
    <cfRule type="expression" dxfId="3" priority="6">
      <formula>OR($B19="RR",$B19="ST",$B19="Stream Restoration")</formula>
    </cfRule>
  </conditionalFormatting>
  <conditionalFormatting sqref="F18">
    <cfRule type="expression" dxfId="2" priority="1">
      <formula>OR($B18="Stream Restoration")</formula>
    </cfRule>
  </conditionalFormatting>
  <conditionalFormatting sqref="F22">
    <cfRule type="expression" dxfId="1" priority="2">
      <formula>OR($B22="Stream Restoration")</formula>
    </cfRule>
  </conditionalFormatting>
  <conditionalFormatting sqref="G22:H22">
    <cfRule type="expression" dxfId="0" priority="3">
      <formula>OR($B22="Stream Restoration",$B22="Street Sweeping")</formula>
    </cfRule>
  </conditionalFormatting>
  <dataValidations count="3">
    <dataValidation type="list" allowBlank="1" showInputMessage="1" showErrorMessage="1" sqref="D11:D23">
      <formula1>"Existing,Proposed"</formula1>
    </dataValidation>
    <dataValidation type="list" allowBlank="1" showInputMessage="1" showErrorMessage="1" sqref="C11:C23">
      <formula1>"RR,ST,Street Sweeping,Stream Restoration"</formula1>
    </dataValidation>
    <dataValidation type="list" allowBlank="1" showInputMessage="1" showErrorMessage="1" sqref="T33:T41">
      <formula1>$A$11:$A$23</formula1>
    </dataValidation>
  </dataValidations>
  <hyperlinks>
    <hyperlink ref="C25" r:id="rId1"/>
  </hyperlinks>
  <pageMargins left="0.7" right="0.7" top="0.75" bottom="0.75" header="0.3" footer="0.3"/>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[1]Loading!#REF!</xm:f>
          </x14:formula1>
          <xm:sqref>F11:F23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7"/>
  <sheetViews>
    <sheetView zoomScale="70" zoomScaleNormal="70" workbookViewId="0">
      <selection activeCell="C30" sqref="C30"/>
    </sheetView>
  </sheetViews>
  <sheetFormatPr defaultColWidth="9.125" defaultRowHeight="15" x14ac:dyDescent="0.25"/>
  <cols>
    <col min="1" max="1" width="20.5" style="304" customWidth="1"/>
    <col min="2" max="2" width="13" style="305" customWidth="1"/>
    <col min="3" max="3" width="16" style="305" customWidth="1"/>
    <col min="4" max="4" width="13.875" style="305" customWidth="1"/>
    <col min="5" max="5" width="14.875" style="305" customWidth="1"/>
    <col min="6" max="6" width="4.125" style="304" customWidth="1"/>
    <col min="7" max="7" width="18.5" style="305" customWidth="1"/>
    <col min="8" max="8" width="1.625" style="304" customWidth="1"/>
    <col min="9" max="9" width="31.875" style="304" customWidth="1"/>
    <col min="10" max="12" width="12.5" style="304" customWidth="1"/>
    <col min="13" max="13" width="10" style="304" customWidth="1"/>
    <col min="14" max="14" width="60.5" style="304" customWidth="1"/>
    <col min="15" max="15" width="12.875" style="304" customWidth="1"/>
    <col min="16" max="16384" width="9.125" style="304"/>
  </cols>
  <sheetData>
    <row r="1" spans="1:14" ht="15.75" customHeight="1" thickBot="1" x14ac:dyDescent="0.3">
      <c r="A1" s="495" t="s">
        <v>372</v>
      </c>
      <c r="B1" s="496"/>
      <c r="C1" s="496"/>
      <c r="D1" s="496"/>
      <c r="E1" s="497"/>
      <c r="H1" s="306"/>
      <c r="I1" s="307" t="s">
        <v>373</v>
      </c>
      <c r="J1" s="308" t="s">
        <v>28</v>
      </c>
      <c r="K1" s="308" t="s">
        <v>374</v>
      </c>
      <c r="L1" s="308" t="s">
        <v>375</v>
      </c>
    </row>
    <row r="2" spans="1:14" ht="21.75" customHeight="1" x14ac:dyDescent="0.25">
      <c r="A2" s="309" t="s">
        <v>24</v>
      </c>
      <c r="B2" s="310" t="s">
        <v>150</v>
      </c>
      <c r="C2" s="311" t="s">
        <v>376</v>
      </c>
      <c r="D2" s="310" t="s">
        <v>377</v>
      </c>
      <c r="E2" s="312" t="s">
        <v>378</v>
      </c>
      <c r="G2" s="313" t="s">
        <v>379</v>
      </c>
      <c r="H2" s="306"/>
      <c r="I2" s="304" t="s">
        <v>380</v>
      </c>
      <c r="J2" s="304">
        <f>B4</f>
        <v>34311.111111111109</v>
      </c>
      <c r="N2" s="314" t="s">
        <v>381</v>
      </c>
    </row>
    <row r="3" spans="1:14" ht="17.25" customHeight="1" x14ac:dyDescent="0.25">
      <c r="A3" s="315" t="s">
        <v>46</v>
      </c>
      <c r="B3" s="316">
        <f>+'MMW Output'!C22</f>
        <v>23560.493827160491</v>
      </c>
      <c r="C3" s="316">
        <f>+'MMW Output'!D22</f>
        <v>976.70816775000003</v>
      </c>
      <c r="D3" s="316">
        <f>+'MMW Output'!E22</f>
        <v>12210.1875</v>
      </c>
      <c r="E3" s="317">
        <f>+'MMW Output'!F22</f>
        <v>5079.4380000000001</v>
      </c>
      <c r="F3" s="318"/>
      <c r="G3" s="319">
        <f t="shared" ref="G3:G18" si="0">C3*2000</f>
        <v>1953416.3355</v>
      </c>
      <c r="H3" s="306"/>
      <c r="I3" s="304" t="s">
        <v>382</v>
      </c>
      <c r="J3" s="304">
        <v>10000</v>
      </c>
    </row>
    <row r="4" spans="1:14" x14ac:dyDescent="0.25">
      <c r="A4" s="320" t="s">
        <v>47</v>
      </c>
      <c r="B4" s="321">
        <f>+'MMW Output'!C23</f>
        <v>34311.111111111109</v>
      </c>
      <c r="C4" s="321">
        <f>+'MMW Output'!D23</f>
        <v>19255.817274749999</v>
      </c>
      <c r="D4" s="321">
        <f>+'MMW Output'!E23</f>
        <v>156649.37400000001</v>
      </c>
      <c r="E4" s="322">
        <f>+'MMW Output'!F23</f>
        <v>48194.243999999999</v>
      </c>
      <c r="G4" s="323">
        <f t="shared" si="0"/>
        <v>38511634.549499996</v>
      </c>
      <c r="H4" s="306"/>
      <c r="I4" s="304" t="s">
        <v>383</v>
      </c>
      <c r="J4" s="304">
        <v>0.35</v>
      </c>
      <c r="K4" s="304">
        <v>0.28999999999999998</v>
      </c>
      <c r="L4" s="304">
        <v>0.5</v>
      </c>
    </row>
    <row r="5" spans="1:14" x14ac:dyDescent="0.25">
      <c r="A5" s="320" t="s">
        <v>48</v>
      </c>
      <c r="B5" s="321">
        <f>+'MMW Output'!C24</f>
        <v>26165.432098765428</v>
      </c>
      <c r="C5" s="321">
        <f>+'MMW Output'!D24</f>
        <v>22.606101000000002</v>
      </c>
      <c r="D5" s="321">
        <f>+'MMW Output'!E24</f>
        <v>1606.1220000000001</v>
      </c>
      <c r="E5" s="322">
        <f>+'MMW Output'!F24</f>
        <v>124.80300000000001</v>
      </c>
      <c r="G5" s="323">
        <f t="shared" si="0"/>
        <v>45212.202000000005</v>
      </c>
      <c r="H5" s="306"/>
      <c r="I5" s="314" t="s">
        <v>384</v>
      </c>
      <c r="J5" s="314">
        <f>(J3/J2)*G4*J4</f>
        <v>3928486.0372708873</v>
      </c>
      <c r="K5" s="314">
        <f>(J3/J2)*D4*K4</f>
        <v>13240.118722150261</v>
      </c>
      <c r="L5" s="314">
        <f>(J3/J2)*E4*L4</f>
        <v>7023.1249352331615</v>
      </c>
    </row>
    <row r="6" spans="1:14" ht="18.75" customHeight="1" x14ac:dyDescent="0.25">
      <c r="A6" s="320" t="s">
        <v>50</v>
      </c>
      <c r="B6" s="321">
        <f>+'MMW Output'!C25</f>
        <v>424.69135802469134</v>
      </c>
      <c r="C6" s="321">
        <f>+'MMW Output'!D25</f>
        <v>0.36283275000000004</v>
      </c>
      <c r="D6" s="321">
        <f>+'MMW Output'!E25</f>
        <v>147.29400000000001</v>
      </c>
      <c r="E6" s="322">
        <f>+'MMW Output'!F25</f>
        <v>8.3789999999999996</v>
      </c>
      <c r="G6" s="323">
        <f t="shared" si="0"/>
        <v>725.66550000000007</v>
      </c>
      <c r="H6" s="306"/>
    </row>
    <row r="7" spans="1:14" x14ac:dyDescent="0.25">
      <c r="A7" s="320" t="s">
        <v>51</v>
      </c>
      <c r="B7" s="321">
        <f>+'MMW Output'!C26</f>
        <v>0</v>
      </c>
      <c r="C7" s="321">
        <f>+'MMW Output'!D26</f>
        <v>0</v>
      </c>
      <c r="D7" s="321">
        <f>+'MMW Output'!E26</f>
        <v>0</v>
      </c>
      <c r="E7" s="322">
        <f>+'MMW Output'!F26</f>
        <v>0</v>
      </c>
      <c r="G7" s="323">
        <f t="shared" si="0"/>
        <v>0</v>
      </c>
      <c r="H7" s="306"/>
      <c r="I7" s="307" t="s">
        <v>385</v>
      </c>
    </row>
    <row r="8" spans="1:14" x14ac:dyDescent="0.25">
      <c r="A8" s="320" t="s">
        <v>52</v>
      </c>
      <c r="B8" s="321">
        <f>+'MMW Output'!C27</f>
        <v>0</v>
      </c>
      <c r="C8" s="321">
        <f>+'MMW Output'!D27</f>
        <v>0</v>
      </c>
      <c r="D8" s="321">
        <f>+'MMW Output'!E27</f>
        <v>0</v>
      </c>
      <c r="E8" s="322">
        <f>+'MMW Output'!F27</f>
        <v>0</v>
      </c>
      <c r="G8" s="323">
        <f t="shared" si="0"/>
        <v>0</v>
      </c>
      <c r="H8" s="306"/>
    </row>
    <row r="9" spans="1:14" x14ac:dyDescent="0.25">
      <c r="A9" s="320" t="s">
        <v>53</v>
      </c>
      <c r="B9" s="321">
        <f>+'MMW Output'!C28</f>
        <v>291.35802469135803</v>
      </c>
      <c r="C9" s="321">
        <f>+'MMW Output'!D28</f>
        <v>4.9661010000000001</v>
      </c>
      <c r="D9" s="321">
        <f>+'MMW Output'!E28</f>
        <v>200.214</v>
      </c>
      <c r="E9" s="322">
        <f>+'MMW Output'!F28</f>
        <v>13.4505</v>
      </c>
      <c r="G9" s="323">
        <f t="shared" si="0"/>
        <v>9932.2019999999993</v>
      </c>
      <c r="H9" s="306"/>
      <c r="I9" s="304" t="s">
        <v>380</v>
      </c>
      <c r="J9" s="304">
        <f>B4</f>
        <v>34311.111111111109</v>
      </c>
      <c r="N9" s="314" t="s">
        <v>386</v>
      </c>
    </row>
    <row r="10" spans="1:14" ht="15.75" customHeight="1" x14ac:dyDescent="0.25">
      <c r="A10" s="320" t="s">
        <v>54</v>
      </c>
      <c r="B10" s="321">
        <f>+'MMW Output'!C29</f>
        <v>175.30864197530863</v>
      </c>
      <c r="C10" s="321">
        <f>+'MMW Output'!D29</f>
        <v>8.533350000000002E-2</v>
      </c>
      <c r="D10" s="321">
        <f>+'MMW Output'!E29</f>
        <v>65.047499999999999</v>
      </c>
      <c r="E10" s="322">
        <f>+'MMW Output'!F29</f>
        <v>2.4255000000000004</v>
      </c>
      <c r="G10" s="323">
        <f t="shared" si="0"/>
        <v>170.66700000000003</v>
      </c>
      <c r="H10" s="306"/>
      <c r="I10" s="304" t="s">
        <v>382</v>
      </c>
      <c r="J10" s="304">
        <v>10000</v>
      </c>
    </row>
    <row r="11" spans="1:14" x14ac:dyDescent="0.25">
      <c r="A11" s="320" t="s">
        <v>55</v>
      </c>
      <c r="B11" s="321">
        <f>+'MMW Output'!C30</f>
        <v>0</v>
      </c>
      <c r="C11" s="321">
        <f>+'MMW Output'!D30</f>
        <v>0</v>
      </c>
      <c r="D11" s="321">
        <f>+'MMW Output'!E30</f>
        <v>0</v>
      </c>
      <c r="E11" s="322">
        <f>+'MMW Output'!F30</f>
        <v>0</v>
      </c>
      <c r="G11" s="323">
        <f t="shared" si="0"/>
        <v>0</v>
      </c>
      <c r="H11" s="306"/>
      <c r="I11" s="304" t="s">
        <v>383</v>
      </c>
      <c r="J11" s="304">
        <v>0.3</v>
      </c>
      <c r="K11" s="304">
        <v>0.08</v>
      </c>
      <c r="L11" s="304">
        <v>0.22</v>
      </c>
    </row>
    <row r="12" spans="1:14" x14ac:dyDescent="0.25">
      <c r="A12" s="324" t="s">
        <v>56</v>
      </c>
      <c r="B12" s="321">
        <f>+'MMW Output'!C31</f>
        <v>0</v>
      </c>
      <c r="C12" s="321">
        <f>+'MMW Output'!D31</f>
        <v>0</v>
      </c>
      <c r="D12" s="321">
        <f>+'MMW Output'!E31</f>
        <v>0</v>
      </c>
      <c r="E12" s="325">
        <f>+'MMW Output'!F31</f>
        <v>0</v>
      </c>
      <c r="F12" s="326"/>
      <c r="G12" s="327">
        <f t="shared" si="0"/>
        <v>0</v>
      </c>
      <c r="H12" s="306"/>
      <c r="I12" s="314" t="s">
        <v>384</v>
      </c>
      <c r="J12" s="314">
        <f>(J10/J9)*G4*J11</f>
        <v>3367273.7462321892</v>
      </c>
      <c r="K12" s="314">
        <f>(J10/J9)*D4*K11</f>
        <v>3652.4465440414515</v>
      </c>
      <c r="L12" s="314">
        <f>(J10/J9)*E4*L11</f>
        <v>3090.1749715025912</v>
      </c>
    </row>
    <row r="13" spans="1:14" ht="19.5" customHeight="1" x14ac:dyDescent="0.25">
      <c r="A13" s="315" t="s">
        <v>57</v>
      </c>
      <c r="B13" s="316">
        <f>+'MMW Output'!C32</f>
        <v>12380.246913580246</v>
      </c>
      <c r="C13" s="316">
        <f>+'MMW Output'!D32</f>
        <v>55.6822035</v>
      </c>
      <c r="D13" s="316">
        <f>+'MMW Output'!E32</f>
        <v>3056.3505</v>
      </c>
      <c r="E13" s="322">
        <f>+'MMW Output'!F32</f>
        <v>341.33400000000006</v>
      </c>
      <c r="F13" s="318"/>
      <c r="G13" s="319">
        <f t="shared" si="0"/>
        <v>111364.40700000001</v>
      </c>
      <c r="H13" s="306"/>
    </row>
    <row r="14" spans="1:14" ht="22.5" customHeight="1" x14ac:dyDescent="0.25">
      <c r="A14" s="320" t="s">
        <v>58</v>
      </c>
      <c r="B14" s="321">
        <f>+'MMW Output'!C33</f>
        <v>1081.4814814814815</v>
      </c>
      <c r="C14" s="321">
        <f>+'MMW Output'!D33</f>
        <v>28.199965500000001</v>
      </c>
      <c r="D14" s="321">
        <f>+'MMW Output'!E33</f>
        <v>1145.9385000000002</v>
      </c>
      <c r="E14" s="322">
        <f>+'MMW Output'!F33</f>
        <v>117.9675</v>
      </c>
      <c r="G14" s="323">
        <f t="shared" si="0"/>
        <v>56399.931000000004</v>
      </c>
      <c r="H14" s="306"/>
      <c r="I14" s="307" t="s">
        <v>387</v>
      </c>
      <c r="N14" s="314" t="s">
        <v>388</v>
      </c>
    </row>
    <row r="15" spans="1:14" ht="15.75" customHeight="1" x14ac:dyDescent="0.25">
      <c r="A15" s="320" t="s">
        <v>59</v>
      </c>
      <c r="B15" s="321">
        <f>+'MMW Output'!C34</f>
        <v>261.72839506172835</v>
      </c>
      <c r="C15" s="321">
        <f>+'MMW Output'!D34</f>
        <v>6.8283337499999996</v>
      </c>
      <c r="D15" s="321">
        <f>+'MMW Output'!E34</f>
        <v>277.38900000000001</v>
      </c>
      <c r="E15" s="322">
        <f>+'MMW Output'!F34</f>
        <v>28.664999999999999</v>
      </c>
      <c r="G15" s="323">
        <f t="shared" si="0"/>
        <v>13656.6675</v>
      </c>
      <c r="H15" s="306"/>
      <c r="I15" s="304" t="s">
        <v>380</v>
      </c>
      <c r="J15" s="304">
        <f>B4</f>
        <v>34311.111111111109</v>
      </c>
      <c r="N15" s="314" t="s">
        <v>389</v>
      </c>
    </row>
    <row r="16" spans="1:14" x14ac:dyDescent="0.25">
      <c r="A16" s="320" t="s">
        <v>60</v>
      </c>
      <c r="B16" s="321">
        <f>+'MMW Output'!C35</f>
        <v>0</v>
      </c>
      <c r="C16" s="321">
        <f>+'MMW Output'!D35</f>
        <v>0</v>
      </c>
      <c r="D16" s="321">
        <f>+'MMW Output'!E35</f>
        <v>0</v>
      </c>
      <c r="E16" s="322">
        <f>+'MMW Output'!F35</f>
        <v>0</v>
      </c>
      <c r="G16" s="323">
        <f t="shared" si="0"/>
        <v>0</v>
      </c>
      <c r="H16" s="306"/>
      <c r="I16" s="304" t="s">
        <v>390</v>
      </c>
      <c r="J16" s="304">
        <v>10</v>
      </c>
      <c r="N16" s="314" t="s">
        <v>391</v>
      </c>
    </row>
    <row r="17" spans="1:14" x14ac:dyDescent="0.25">
      <c r="A17" s="320" t="s">
        <v>61</v>
      </c>
      <c r="B17" s="321">
        <f>+'MMW Output'!C36</f>
        <v>0</v>
      </c>
      <c r="C17" s="321">
        <f>+'MMW Output'!D36</f>
        <v>0</v>
      </c>
      <c r="D17" s="321">
        <f>+'MMW Output'!E36</f>
        <v>0</v>
      </c>
      <c r="E17" s="322">
        <f>+'MMW Output'!F36</f>
        <v>0</v>
      </c>
      <c r="G17" s="323">
        <f t="shared" si="0"/>
        <v>0</v>
      </c>
      <c r="H17" s="306"/>
      <c r="I17" s="304" t="s">
        <v>392</v>
      </c>
      <c r="J17" s="304">
        <f>(J16*5280*100)/43560</f>
        <v>121.21212121212122</v>
      </c>
    </row>
    <row r="18" spans="1:14" x14ac:dyDescent="0.25">
      <c r="A18" s="324" t="s">
        <v>62</v>
      </c>
      <c r="B18" s="321">
        <f>+'MMW Output'!C37</f>
        <v>0</v>
      </c>
      <c r="C18" s="321">
        <f>+'MMW Output'!D37</f>
        <v>0</v>
      </c>
      <c r="D18" s="321">
        <f>+'MMW Output'!E37</f>
        <v>0</v>
      </c>
      <c r="E18" s="325">
        <f>+'MMW Output'!F37</f>
        <v>0</v>
      </c>
      <c r="F18" s="326"/>
      <c r="G18" s="327">
        <f t="shared" si="0"/>
        <v>0</v>
      </c>
      <c r="H18" s="306"/>
      <c r="I18" s="304" t="s">
        <v>382</v>
      </c>
      <c r="J18" s="304">
        <f>J17*2</f>
        <v>242.42424242424244</v>
      </c>
    </row>
    <row r="19" spans="1:14" ht="15" customHeight="1" x14ac:dyDescent="0.25">
      <c r="A19" s="315" t="s">
        <v>64</v>
      </c>
      <c r="B19" s="328" t="s">
        <v>76</v>
      </c>
      <c r="C19" s="316">
        <f>+'MMW Output'!D38</f>
        <v>0</v>
      </c>
      <c r="D19" s="316">
        <f>+'MMW Output'!E38</f>
        <v>503222.01300000004</v>
      </c>
      <c r="E19" s="322">
        <f>+'MMW Output'!F38</f>
        <v>125948.05650000001</v>
      </c>
      <c r="F19" s="318"/>
      <c r="G19" s="319"/>
      <c r="H19" s="306"/>
      <c r="I19" s="304" t="s">
        <v>383</v>
      </c>
      <c r="J19" s="304">
        <v>0.54</v>
      </c>
      <c r="K19" s="304">
        <v>0.41</v>
      </c>
      <c r="L19" s="304">
        <v>0.4</v>
      </c>
    </row>
    <row r="20" spans="1:14" ht="15" customHeight="1" x14ac:dyDescent="0.25">
      <c r="A20" s="320" t="s">
        <v>65</v>
      </c>
      <c r="B20" s="329" t="s">
        <v>76</v>
      </c>
      <c r="C20" s="321">
        <f>+'MMW Output'!D39</f>
        <v>0</v>
      </c>
      <c r="D20" s="321">
        <f>+'MMW Output'!E39</f>
        <v>0</v>
      </c>
      <c r="E20" s="322">
        <f>+'MMW Output'!F39</f>
        <v>0</v>
      </c>
      <c r="G20" s="323">
        <f>C20*2000</f>
        <v>0</v>
      </c>
      <c r="H20" s="306"/>
      <c r="I20" s="314" t="s">
        <v>384</v>
      </c>
      <c r="J20" s="314">
        <f>((J18/J15)*J19*G4)+(J17*(C31-C32))</f>
        <v>282777.59931416006</v>
      </c>
      <c r="K20" s="314">
        <f>((J18/J15)*K19*D4)+(J17*(D31-D32))</f>
        <v>999.74939793591102</v>
      </c>
      <c r="L20" s="314">
        <f>((J18/J15)*L19*E4)+(J17*(E31-E32))</f>
        <v>305.88548002916423</v>
      </c>
    </row>
    <row r="21" spans="1:14" s="332" customFormat="1" ht="15" customHeight="1" x14ac:dyDescent="0.25">
      <c r="A21" s="330" t="s">
        <v>393</v>
      </c>
      <c r="B21" s="331" t="s">
        <v>76</v>
      </c>
      <c r="C21" s="321">
        <f>+'MMW Output'!D40</f>
        <v>29191.545180000001</v>
      </c>
      <c r="D21" s="321">
        <f>+'MMW Output'!E40</f>
        <v>31002.3</v>
      </c>
      <c r="E21" s="322">
        <f>+'MMW Output'!F40</f>
        <v>14638.995000000001</v>
      </c>
      <c r="G21" s="333">
        <f>C21*2000</f>
        <v>58383090.359999999</v>
      </c>
      <c r="H21" s="334"/>
    </row>
    <row r="22" spans="1:14" s="332" customFormat="1" ht="15" customHeight="1" x14ac:dyDescent="0.25">
      <c r="A22" s="330" t="s">
        <v>66</v>
      </c>
      <c r="B22" s="331"/>
      <c r="C22" s="321">
        <f>+'MMW Output'!D41</f>
        <v>0</v>
      </c>
      <c r="D22" s="321">
        <f>+'MMW Output'!E41</f>
        <v>2435375.0925000003</v>
      </c>
      <c r="E22" s="322">
        <f>+'MMW Output'!F41</f>
        <v>18529.056</v>
      </c>
      <c r="G22" s="333"/>
      <c r="H22" s="334"/>
      <c r="I22" s="335" t="s">
        <v>394</v>
      </c>
    </row>
    <row r="23" spans="1:14" s="332" customFormat="1" ht="15" customHeight="1" x14ac:dyDescent="0.25">
      <c r="A23" s="330" t="s">
        <v>67</v>
      </c>
      <c r="B23" s="331"/>
      <c r="C23" s="321">
        <f>+'MMW Output'!D42</f>
        <v>0</v>
      </c>
      <c r="D23" s="321">
        <f>+'MMW Output'!E42</f>
        <v>2220.4349999999999</v>
      </c>
      <c r="E23" s="322">
        <f>+'MMW Output'!F42</f>
        <v>670.32</v>
      </c>
      <c r="G23" s="333"/>
      <c r="H23" s="334"/>
      <c r="I23" s="304"/>
      <c r="J23" s="304"/>
      <c r="K23" s="304"/>
      <c r="L23" s="304"/>
      <c r="M23" s="304"/>
      <c r="N23" s="304"/>
    </row>
    <row r="24" spans="1:14" s="332" customFormat="1" ht="15" customHeight="1" thickBot="1" x14ac:dyDescent="0.3">
      <c r="A24" s="330" t="s">
        <v>68</v>
      </c>
      <c r="B24" s="331"/>
      <c r="C24" s="321">
        <f>+'MMW Output'!D43</f>
        <v>0</v>
      </c>
      <c r="D24" s="321">
        <f>+'MMW Output'!E43</f>
        <v>3392.3924999999999</v>
      </c>
      <c r="E24" s="325">
        <f>+'MMW Output'!F43</f>
        <v>0</v>
      </c>
      <c r="G24" s="333"/>
      <c r="H24" s="334"/>
      <c r="I24" s="336" t="s">
        <v>395</v>
      </c>
      <c r="J24" s="337"/>
      <c r="K24" s="337"/>
      <c r="L24" s="337"/>
      <c r="M24" s="304"/>
      <c r="N24" s="304"/>
    </row>
    <row r="25" spans="1:14" s="332" customFormat="1" ht="15" customHeight="1" thickBot="1" x14ac:dyDescent="0.3">
      <c r="A25" s="338" t="s">
        <v>396</v>
      </c>
      <c r="B25" s="339">
        <f>SUM(B3:B21)</f>
        <v>98651.851851851825</v>
      </c>
      <c r="C25" s="339">
        <f t="shared" ref="C25" si="1">SUM(C3:C21)</f>
        <v>49542.801493500003</v>
      </c>
      <c r="D25" s="339">
        <f>SUM(D3:D24)</f>
        <v>3150570.1500000004</v>
      </c>
      <c r="E25" s="340">
        <f>SUM(E3:E24)</f>
        <v>213697.13400000002</v>
      </c>
      <c r="F25" s="341"/>
      <c r="G25" s="342">
        <f>SUM(G3:G21)</f>
        <v>99085602.986999989</v>
      </c>
      <c r="H25" s="334"/>
      <c r="I25" s="304" t="s">
        <v>397</v>
      </c>
      <c r="J25" s="337">
        <v>500</v>
      </c>
      <c r="K25" s="337"/>
      <c r="L25" s="337"/>
      <c r="M25" s="304"/>
      <c r="N25" s="304"/>
    </row>
    <row r="26" spans="1:14" ht="15" customHeight="1" x14ac:dyDescent="0.25">
      <c r="A26" s="498" t="s">
        <v>398</v>
      </c>
      <c r="B26" s="499"/>
      <c r="C26" s="499"/>
      <c r="H26" s="306"/>
      <c r="I26" s="304" t="s">
        <v>399</v>
      </c>
      <c r="J26" s="337">
        <v>115</v>
      </c>
      <c r="K26" s="343">
        <v>0.192</v>
      </c>
      <c r="L26" s="343">
        <v>0.17399999999999999</v>
      </c>
    </row>
    <row r="27" spans="1:14" s="332" customFormat="1" ht="15" customHeight="1" x14ac:dyDescent="0.25">
      <c r="A27" s="500" t="s">
        <v>400</v>
      </c>
      <c r="B27" s="501"/>
      <c r="C27" s="501"/>
      <c r="D27" s="344"/>
      <c r="E27" s="344"/>
      <c r="G27" s="344"/>
      <c r="H27" s="334"/>
      <c r="I27" s="304" t="s">
        <v>401</v>
      </c>
      <c r="J27" s="337">
        <f>J25*J26</f>
        <v>57500</v>
      </c>
      <c r="K27" s="337">
        <f>J25*K26</f>
        <v>96</v>
      </c>
      <c r="L27" s="337">
        <f>J25*L26</f>
        <v>87</v>
      </c>
      <c r="M27" s="304"/>
      <c r="N27" s="304"/>
    </row>
    <row r="28" spans="1:14" s="332" customFormat="1" ht="15" customHeight="1" thickBot="1" x14ac:dyDescent="0.3">
      <c r="A28" s="345" t="s">
        <v>402</v>
      </c>
      <c r="B28" s="345" t="s">
        <v>403</v>
      </c>
      <c r="C28" s="344"/>
      <c r="D28" s="344"/>
      <c r="E28" s="344"/>
      <c r="G28" s="344"/>
      <c r="H28" s="334"/>
      <c r="I28" s="304"/>
      <c r="J28" s="337"/>
      <c r="K28" s="337"/>
      <c r="L28" s="337"/>
      <c r="M28" s="304"/>
      <c r="N28" s="304"/>
    </row>
    <row r="29" spans="1:14" s="332" customFormat="1" ht="29.25" customHeight="1" thickBot="1" x14ac:dyDescent="0.3">
      <c r="A29" s="346" t="s">
        <v>404</v>
      </c>
      <c r="B29" s="347">
        <f>SUM(B30:B39)</f>
        <v>84928.395061728384</v>
      </c>
      <c r="C29" s="348" t="s">
        <v>405</v>
      </c>
      <c r="D29" s="348" t="s">
        <v>406</v>
      </c>
      <c r="E29" s="348" t="s">
        <v>407</v>
      </c>
      <c r="F29" s="349"/>
      <c r="G29" s="348"/>
      <c r="H29" s="334"/>
      <c r="I29" s="350" t="s">
        <v>408</v>
      </c>
    </row>
    <row r="30" spans="1:14" s="332" customFormat="1" ht="15" customHeight="1" x14ac:dyDescent="0.25">
      <c r="A30" s="351" t="s">
        <v>46</v>
      </c>
      <c r="B30" s="352">
        <f t="shared" ref="B30:B39" si="2">B3</f>
        <v>23560.493827160491</v>
      </c>
      <c r="C30" s="332">
        <f>G3/B30</f>
        <v>82.910670286889555</v>
      </c>
      <c r="D30" s="332">
        <f>D3/B30</f>
        <v>0.51824836905260951</v>
      </c>
      <c r="E30" s="332">
        <f>E3/B30</f>
        <v>0.21559132152588559</v>
      </c>
      <c r="G30" s="344"/>
      <c r="H30" s="334"/>
      <c r="I30" s="332" t="s">
        <v>409</v>
      </c>
      <c r="J30" s="332">
        <v>0.1</v>
      </c>
    </row>
    <row r="31" spans="1:14" s="332" customFormat="1" x14ac:dyDescent="0.25">
      <c r="A31" s="351" t="s">
        <v>47</v>
      </c>
      <c r="B31" s="352">
        <f t="shared" si="2"/>
        <v>34311.111111111109</v>
      </c>
      <c r="C31" s="332">
        <f t="shared" ref="C31:C39" si="3">G4/B31</f>
        <v>1122.4245820773963</v>
      </c>
      <c r="D31" s="332">
        <f t="shared" ref="D31:D39" si="4">D4/B31</f>
        <v>4.5655581800518137</v>
      </c>
      <c r="E31" s="332">
        <f t="shared" ref="E31:E39" si="5">E4/B31</f>
        <v>1.4046249870466321</v>
      </c>
      <c r="G31" s="344"/>
      <c r="H31" s="334"/>
      <c r="I31" s="332" t="s">
        <v>410</v>
      </c>
      <c r="J31" s="332">
        <f>J30*J27</f>
        <v>5750</v>
      </c>
      <c r="K31" s="332">
        <f>J30*K27</f>
        <v>9.6000000000000014</v>
      </c>
      <c r="L31" s="332">
        <f>J30*L27</f>
        <v>8.7000000000000011</v>
      </c>
    </row>
    <row r="32" spans="1:14" s="332" customFormat="1" ht="15" customHeight="1" x14ac:dyDescent="0.25">
      <c r="A32" s="351" t="s">
        <v>48</v>
      </c>
      <c r="B32" s="352">
        <f t="shared" si="2"/>
        <v>26165.432098765428</v>
      </c>
      <c r="C32" s="332">
        <f t="shared" si="3"/>
        <v>1.7279363791639148</v>
      </c>
      <c r="D32" s="332">
        <f t="shared" si="4"/>
        <v>6.1383354723034834E-2</v>
      </c>
      <c r="E32" s="332">
        <f t="shared" si="5"/>
        <v>4.7697664433330195E-3</v>
      </c>
      <c r="G32" s="344"/>
      <c r="H32" s="334"/>
    </row>
    <row r="33" spans="1:14" s="332" customFormat="1" ht="15" customHeight="1" x14ac:dyDescent="0.25">
      <c r="A33" s="351" t="s">
        <v>50</v>
      </c>
      <c r="B33" s="352">
        <f t="shared" si="2"/>
        <v>424.69135802469134</v>
      </c>
      <c r="C33" s="332">
        <f t="shared" si="3"/>
        <v>1.7086891133720932</v>
      </c>
      <c r="D33" s="332">
        <f t="shared" si="4"/>
        <v>0.34682598837209305</v>
      </c>
      <c r="E33" s="332">
        <f t="shared" si="5"/>
        <v>1.9729622093023255E-2</v>
      </c>
      <c r="G33" s="344"/>
      <c r="H33" s="334"/>
      <c r="I33" s="314" t="s">
        <v>411</v>
      </c>
      <c r="J33" s="353">
        <f>J27+J31</f>
        <v>63250</v>
      </c>
      <c r="K33" s="353">
        <f t="shared" ref="K33:L33" si="6">K27+K31</f>
        <v>105.6</v>
      </c>
      <c r="L33" s="353">
        <f t="shared" si="6"/>
        <v>95.7</v>
      </c>
      <c r="M33" s="304"/>
      <c r="N33" s="304"/>
    </row>
    <row r="34" spans="1:14" s="332" customFormat="1" ht="15" customHeight="1" x14ac:dyDescent="0.25">
      <c r="A34" s="351" t="s">
        <v>51</v>
      </c>
      <c r="B34" s="352">
        <f t="shared" si="2"/>
        <v>0</v>
      </c>
      <c r="C34" s="332" t="e">
        <f t="shared" si="3"/>
        <v>#DIV/0!</v>
      </c>
      <c r="D34" s="332" t="e">
        <f t="shared" si="4"/>
        <v>#DIV/0!</v>
      </c>
      <c r="E34" s="332" t="e">
        <f t="shared" si="5"/>
        <v>#DIV/0!</v>
      </c>
      <c r="G34" s="344"/>
      <c r="H34" s="334"/>
      <c r="I34" s="304"/>
      <c r="J34" s="337"/>
      <c r="K34" s="337"/>
      <c r="L34" s="337"/>
      <c r="M34" s="304"/>
      <c r="N34" s="304"/>
    </row>
    <row r="35" spans="1:14" s="332" customFormat="1" ht="15" customHeight="1" x14ac:dyDescent="0.25">
      <c r="A35" s="351" t="s">
        <v>52</v>
      </c>
      <c r="B35" s="352">
        <f t="shared" si="2"/>
        <v>0</v>
      </c>
      <c r="C35" s="332" t="e">
        <f t="shared" si="3"/>
        <v>#DIV/0!</v>
      </c>
      <c r="D35" s="332" t="e">
        <f t="shared" si="4"/>
        <v>#DIV/0!</v>
      </c>
      <c r="E35" s="332" t="e">
        <f t="shared" si="5"/>
        <v>#DIV/0!</v>
      </c>
      <c r="G35" s="344"/>
      <c r="H35" s="334"/>
      <c r="I35" s="307" t="s">
        <v>412</v>
      </c>
      <c r="J35" s="337"/>
      <c r="K35" s="337"/>
      <c r="L35" s="337"/>
      <c r="M35" s="304"/>
      <c r="N35" s="304"/>
    </row>
    <row r="36" spans="1:14" s="332" customFormat="1" ht="15" customHeight="1" x14ac:dyDescent="0.25">
      <c r="A36" s="351" t="s">
        <v>53</v>
      </c>
      <c r="B36" s="352">
        <f t="shared" si="2"/>
        <v>291.35802469135803</v>
      </c>
      <c r="C36" s="332">
        <f t="shared" si="3"/>
        <v>34.089337372881353</v>
      </c>
      <c r="D36" s="332">
        <f t="shared" si="4"/>
        <v>0.68717516949152546</v>
      </c>
      <c r="E36" s="332">
        <f t="shared" si="5"/>
        <v>4.6164851694915257E-2</v>
      </c>
      <c r="G36" s="344"/>
      <c r="H36" s="334"/>
      <c r="I36" s="304" t="s">
        <v>380</v>
      </c>
      <c r="J36" s="337">
        <f>B3</f>
        <v>23560.493827160491</v>
      </c>
      <c r="K36" s="337"/>
      <c r="L36" s="337"/>
      <c r="M36" s="304"/>
      <c r="N36" s="304"/>
    </row>
    <row r="37" spans="1:14" s="332" customFormat="1" ht="15" customHeight="1" x14ac:dyDescent="0.25">
      <c r="A37" s="351" t="s">
        <v>54</v>
      </c>
      <c r="B37" s="352">
        <f t="shared" si="2"/>
        <v>175.30864197530863</v>
      </c>
      <c r="C37" s="332">
        <f t="shared" si="3"/>
        <v>0.97352302816901426</v>
      </c>
      <c r="D37" s="332">
        <f t="shared" si="4"/>
        <v>0.37104559859154934</v>
      </c>
      <c r="E37" s="332">
        <f t="shared" si="5"/>
        <v>1.3835598591549298E-2</v>
      </c>
      <c r="G37" s="344"/>
      <c r="H37" s="334"/>
      <c r="I37" s="304" t="s">
        <v>382</v>
      </c>
      <c r="J37" s="337">
        <v>480</v>
      </c>
      <c r="K37" s="337"/>
      <c r="L37" s="337"/>
      <c r="M37" s="304"/>
      <c r="N37" s="304"/>
    </row>
    <row r="38" spans="1:14" s="332" customFormat="1" ht="15" customHeight="1" x14ac:dyDescent="0.25">
      <c r="A38" s="351" t="s">
        <v>55</v>
      </c>
      <c r="B38" s="352">
        <f t="shared" si="2"/>
        <v>0</v>
      </c>
      <c r="C38" s="332" t="e">
        <f t="shared" si="3"/>
        <v>#DIV/0!</v>
      </c>
      <c r="D38" s="332" t="e">
        <f t="shared" si="4"/>
        <v>#DIV/0!</v>
      </c>
      <c r="E38" s="332" t="e">
        <f t="shared" si="5"/>
        <v>#DIV/0!</v>
      </c>
      <c r="G38" s="344"/>
      <c r="H38" s="334"/>
      <c r="I38" s="304" t="s">
        <v>413</v>
      </c>
      <c r="J38" s="337">
        <v>0.3</v>
      </c>
      <c r="K38" s="337">
        <v>0.3</v>
      </c>
      <c r="L38" s="337">
        <v>0.3</v>
      </c>
      <c r="M38" s="304"/>
      <c r="N38" s="304"/>
    </row>
    <row r="39" spans="1:14" ht="15.75" thickBot="1" x14ac:dyDescent="0.3">
      <c r="A39" s="351" t="s">
        <v>56</v>
      </c>
      <c r="B39" s="354">
        <f t="shared" si="2"/>
        <v>0</v>
      </c>
      <c r="C39" s="332" t="e">
        <f t="shared" si="3"/>
        <v>#DIV/0!</v>
      </c>
      <c r="D39" s="332" t="e">
        <f t="shared" si="4"/>
        <v>#DIV/0!</v>
      </c>
      <c r="E39" s="332" t="e">
        <f t="shared" si="5"/>
        <v>#DIV/0!</v>
      </c>
      <c r="H39" s="306"/>
      <c r="I39" s="314" t="s">
        <v>384</v>
      </c>
      <c r="J39" s="353">
        <f>(J37/J36)*J38*G3</f>
        <v>11939.136521312095</v>
      </c>
      <c r="K39" s="353">
        <f>(J37/J36)*K38*D3</f>
        <v>74.627765143575772</v>
      </c>
      <c r="L39" s="353">
        <f>(J37/J36)*L38*E3</f>
        <v>31.045150299727524</v>
      </c>
    </row>
    <row r="40" spans="1:14" ht="31.5" customHeight="1" x14ac:dyDescent="0.25">
      <c r="A40" s="355"/>
      <c r="B40" s="332"/>
      <c r="H40" s="306"/>
      <c r="J40" s="337"/>
      <c r="K40" s="337"/>
      <c r="L40" s="337"/>
    </row>
    <row r="41" spans="1:14" x14ac:dyDescent="0.25">
      <c r="B41" s="304"/>
      <c r="H41" s="306"/>
      <c r="I41" s="307" t="s">
        <v>414</v>
      </c>
      <c r="J41" s="337"/>
      <c r="K41" s="337"/>
      <c r="L41" s="337"/>
    </row>
    <row r="42" spans="1:14" x14ac:dyDescent="0.25">
      <c r="B42" s="304"/>
      <c r="C42" s="314" t="s">
        <v>415</v>
      </c>
      <c r="D42" s="314">
        <v>20000</v>
      </c>
      <c r="E42" s="356" t="s">
        <v>416</v>
      </c>
      <c r="H42" s="306"/>
      <c r="I42" s="304" t="s">
        <v>380</v>
      </c>
      <c r="J42" s="337">
        <f>B4</f>
        <v>34311.111111111109</v>
      </c>
      <c r="K42" s="337"/>
      <c r="L42" s="337"/>
    </row>
    <row r="43" spans="1:14" x14ac:dyDescent="0.25">
      <c r="B43" s="304"/>
      <c r="C43" s="314" t="s">
        <v>417</v>
      </c>
      <c r="D43" s="314">
        <v>11000</v>
      </c>
      <c r="E43" s="356" t="s">
        <v>416</v>
      </c>
      <c r="H43" s="306"/>
      <c r="I43" s="304" t="s">
        <v>418</v>
      </c>
      <c r="J43" s="337">
        <v>200</v>
      </c>
      <c r="K43" s="337"/>
      <c r="L43" s="337"/>
    </row>
    <row r="44" spans="1:14" x14ac:dyDescent="0.25">
      <c r="B44" s="304"/>
      <c r="C44" s="314"/>
      <c r="D44" s="314"/>
      <c r="E44" s="356"/>
      <c r="H44" s="306"/>
      <c r="I44" s="314" t="s">
        <v>384</v>
      </c>
      <c r="J44" s="353">
        <f>(C31-C32)*J43</f>
        <v>224139.32913964646</v>
      </c>
      <c r="K44" s="353">
        <f>(D31-D32)*J43</f>
        <v>900.83496506575568</v>
      </c>
      <c r="L44" s="353">
        <f>(E31-E32)*J43</f>
        <v>279.97104412065983</v>
      </c>
    </row>
    <row r="45" spans="1:14" x14ac:dyDescent="0.25">
      <c r="B45" s="304"/>
      <c r="C45" s="314"/>
      <c r="D45" s="314"/>
      <c r="H45" s="306"/>
      <c r="J45" s="337"/>
      <c r="K45" s="337"/>
      <c r="L45" s="337"/>
    </row>
    <row r="46" spans="1:14" x14ac:dyDescent="0.25">
      <c r="B46" s="304"/>
      <c r="H46" s="306"/>
      <c r="I46" s="307" t="s">
        <v>419</v>
      </c>
      <c r="J46" s="337"/>
      <c r="K46" s="337"/>
      <c r="L46" s="337"/>
    </row>
    <row r="47" spans="1:14" x14ac:dyDescent="0.25">
      <c r="A47" s="332"/>
      <c r="B47" s="332"/>
      <c r="H47" s="306"/>
      <c r="I47" s="304" t="s">
        <v>420</v>
      </c>
      <c r="J47" s="337">
        <f>D42</f>
        <v>20000</v>
      </c>
      <c r="K47" s="337"/>
      <c r="L47" s="337"/>
    </row>
    <row r="48" spans="1:14" x14ac:dyDescent="0.25">
      <c r="A48" s="332"/>
      <c r="B48" s="332"/>
      <c r="H48" s="306"/>
      <c r="I48" s="304" t="s">
        <v>397</v>
      </c>
      <c r="J48" s="337">
        <v>10000</v>
      </c>
      <c r="K48" s="337"/>
      <c r="L48" s="337"/>
    </row>
    <row r="49" spans="1:12" x14ac:dyDescent="0.25">
      <c r="A49" s="332"/>
      <c r="B49" s="332"/>
      <c r="H49" s="306"/>
      <c r="I49" s="304" t="s">
        <v>421</v>
      </c>
      <c r="J49" s="337">
        <v>115</v>
      </c>
      <c r="K49" s="337">
        <v>0.192</v>
      </c>
      <c r="L49" s="337">
        <v>0.17399999999999999</v>
      </c>
    </row>
    <row r="50" spans="1:12" x14ac:dyDescent="0.25">
      <c r="B50" s="332"/>
      <c r="H50" s="306"/>
      <c r="I50" s="314" t="s">
        <v>384</v>
      </c>
      <c r="J50" s="353">
        <f>J48*J49</f>
        <v>1150000</v>
      </c>
      <c r="K50" s="353">
        <f>J48*K49</f>
        <v>1920</v>
      </c>
      <c r="L50" s="353">
        <f>J48*L49</f>
        <v>1739.9999999999998</v>
      </c>
    </row>
    <row r="51" spans="1:12" x14ac:dyDescent="0.25">
      <c r="B51" s="304"/>
      <c r="C51" s="304"/>
      <c r="D51" s="304"/>
      <c r="E51" s="304"/>
      <c r="G51" s="304"/>
      <c r="H51" s="306"/>
      <c r="I51" s="314"/>
      <c r="J51" s="353"/>
      <c r="K51" s="353"/>
      <c r="L51" s="353"/>
    </row>
    <row r="52" spans="1:12" x14ac:dyDescent="0.25">
      <c r="B52" s="304"/>
      <c r="C52" s="304"/>
      <c r="D52" s="304"/>
      <c r="E52" s="304"/>
      <c r="G52" s="304"/>
      <c r="H52" s="306"/>
      <c r="I52" s="357" t="s">
        <v>422</v>
      </c>
      <c r="J52" s="353"/>
      <c r="K52" s="353"/>
      <c r="L52" s="353"/>
    </row>
    <row r="53" spans="1:12" x14ac:dyDescent="0.25">
      <c r="B53" s="304"/>
      <c r="C53" s="304"/>
      <c r="D53" s="304"/>
      <c r="E53" s="304"/>
      <c r="G53" s="304"/>
      <c r="H53" s="306"/>
      <c r="I53" s="358" t="s">
        <v>380</v>
      </c>
      <c r="J53" s="359">
        <f>B4</f>
        <v>34311.111111111109</v>
      </c>
      <c r="K53" s="359"/>
      <c r="L53" s="359"/>
    </row>
    <row r="54" spans="1:12" x14ac:dyDescent="0.25">
      <c r="B54" s="304"/>
      <c r="E54" s="304"/>
      <c r="G54" s="304"/>
      <c r="H54" s="306"/>
      <c r="I54" s="358" t="s">
        <v>382</v>
      </c>
      <c r="J54" s="359">
        <v>1000</v>
      </c>
      <c r="K54" s="359"/>
      <c r="L54" s="359"/>
    </row>
    <row r="55" spans="1:12" x14ac:dyDescent="0.25">
      <c r="B55" s="304"/>
      <c r="E55" s="304"/>
      <c r="G55" s="304"/>
      <c r="H55" s="306"/>
      <c r="I55" s="358" t="s">
        <v>383</v>
      </c>
      <c r="J55" s="359">
        <v>0.16</v>
      </c>
      <c r="K55" s="359">
        <v>0.05</v>
      </c>
      <c r="L55" s="359">
        <v>0.1</v>
      </c>
    </row>
    <row r="56" spans="1:12" x14ac:dyDescent="0.25">
      <c r="B56" s="304"/>
      <c r="E56" s="304"/>
      <c r="G56" s="304"/>
      <c r="H56" s="306"/>
      <c r="I56" s="314" t="s">
        <v>384</v>
      </c>
      <c r="J56" s="353">
        <f>(J54/J53)*J55*G4</f>
        <v>179587.93313238342</v>
      </c>
      <c r="K56" s="353">
        <f>(J54/J53)*K55*D4</f>
        <v>228.27790900259072</v>
      </c>
      <c r="L56" s="353">
        <f>(J54/J53)*L55*E4</f>
        <v>140.46249870466323</v>
      </c>
    </row>
    <row r="57" spans="1:12" x14ac:dyDescent="0.25">
      <c r="B57" s="304"/>
      <c r="E57" s="304"/>
      <c r="G57" s="304"/>
      <c r="H57" s="306"/>
      <c r="I57" s="314"/>
      <c r="J57" s="353"/>
      <c r="K57" s="353"/>
      <c r="L57" s="353"/>
    </row>
    <row r="58" spans="1:12" x14ac:dyDescent="0.25">
      <c r="B58" s="304"/>
      <c r="C58" s="304"/>
      <c r="D58" s="304"/>
      <c r="E58" s="304"/>
      <c r="G58" s="304"/>
      <c r="H58" s="306"/>
      <c r="I58" s="357" t="s">
        <v>423</v>
      </c>
      <c r="J58" s="353"/>
      <c r="K58" s="353"/>
      <c r="L58" s="353"/>
    </row>
    <row r="59" spans="1:12" x14ac:dyDescent="0.25">
      <c r="B59" s="304"/>
      <c r="C59" s="304"/>
      <c r="D59" s="304"/>
      <c r="E59" s="304"/>
      <c r="G59" s="304"/>
      <c r="H59" s="306"/>
      <c r="I59" s="358" t="s">
        <v>420</v>
      </c>
      <c r="J59" s="359">
        <f>D43</f>
        <v>11000</v>
      </c>
      <c r="K59" s="359"/>
      <c r="L59" s="359"/>
    </row>
    <row r="60" spans="1:12" x14ac:dyDescent="0.25">
      <c r="A60" s="360"/>
      <c r="B60" s="304"/>
      <c r="C60" s="304"/>
      <c r="D60" s="304"/>
      <c r="E60" s="304"/>
      <c r="G60" s="304"/>
      <c r="H60" s="306"/>
      <c r="I60" s="358" t="s">
        <v>424</v>
      </c>
      <c r="J60" s="359">
        <v>5280</v>
      </c>
      <c r="K60" s="359"/>
      <c r="L60" s="359"/>
    </row>
    <row r="61" spans="1:12" x14ac:dyDescent="0.25">
      <c r="B61" s="304"/>
      <c r="C61" s="304"/>
      <c r="D61" s="304"/>
      <c r="E61" s="304"/>
      <c r="G61" s="304"/>
      <c r="H61" s="306"/>
      <c r="I61" s="358" t="s">
        <v>425</v>
      </c>
      <c r="J61" s="359">
        <v>2.5499999999999998</v>
      </c>
      <c r="K61" s="359">
        <v>0.02</v>
      </c>
      <c r="L61" s="361">
        <v>3.5000000000000001E-3</v>
      </c>
    </row>
    <row r="62" spans="1:12" x14ac:dyDescent="0.25">
      <c r="B62" s="304"/>
      <c r="C62" s="304"/>
      <c r="D62" s="304"/>
      <c r="E62" s="304"/>
      <c r="G62" s="304"/>
      <c r="H62" s="306"/>
      <c r="I62" s="314" t="s">
        <v>384</v>
      </c>
      <c r="J62" s="353">
        <f>J60*J61</f>
        <v>13463.999999999998</v>
      </c>
      <c r="K62" s="353">
        <f>J60*K61</f>
        <v>105.60000000000001</v>
      </c>
      <c r="L62" s="353">
        <f>J60*L61</f>
        <v>18.48</v>
      </c>
    </row>
    <row r="63" spans="1:12" x14ac:dyDescent="0.25">
      <c r="B63" s="304"/>
      <c r="C63" s="304"/>
      <c r="D63" s="304"/>
      <c r="E63" s="304"/>
      <c r="G63" s="304"/>
      <c r="H63" s="306"/>
      <c r="I63" s="314"/>
      <c r="J63" s="353"/>
      <c r="K63" s="353"/>
      <c r="L63" s="353"/>
    </row>
    <row r="64" spans="1:12" x14ac:dyDescent="0.25">
      <c r="B64" s="304"/>
      <c r="C64" s="304"/>
      <c r="D64" s="304"/>
      <c r="E64" s="304"/>
      <c r="G64" s="304"/>
      <c r="H64" s="306"/>
      <c r="I64" s="307" t="s">
        <v>426</v>
      </c>
      <c r="J64" s="337"/>
      <c r="K64" s="337"/>
      <c r="L64" s="337"/>
    </row>
    <row r="65" spans="2:12" x14ac:dyDescent="0.25">
      <c r="B65" s="304"/>
      <c r="C65" s="304"/>
      <c r="D65" s="304"/>
      <c r="E65" s="304"/>
      <c r="G65" s="304"/>
      <c r="H65" s="306"/>
      <c r="I65" s="336" t="s">
        <v>427</v>
      </c>
      <c r="J65" s="337"/>
      <c r="K65" s="337"/>
      <c r="L65" s="337"/>
    </row>
    <row r="66" spans="2:12" x14ac:dyDescent="0.25">
      <c r="B66" s="304"/>
      <c r="C66" s="304"/>
      <c r="D66" s="304"/>
      <c r="E66" s="304"/>
      <c r="G66" s="304"/>
      <c r="H66" s="306"/>
      <c r="I66" s="362" t="s">
        <v>380</v>
      </c>
      <c r="J66" s="337">
        <f>B4</f>
        <v>34311.111111111109</v>
      </c>
      <c r="K66" s="337"/>
      <c r="L66" s="337"/>
    </row>
    <row r="67" spans="2:12" x14ac:dyDescent="0.25">
      <c r="B67" s="304"/>
      <c r="C67" s="304"/>
      <c r="D67" s="304"/>
      <c r="E67" s="304"/>
      <c r="G67" s="304"/>
      <c r="H67" s="306"/>
      <c r="I67" s="362" t="s">
        <v>382</v>
      </c>
      <c r="J67" s="337">
        <v>10000</v>
      </c>
      <c r="K67" s="337"/>
      <c r="L67" s="337"/>
    </row>
    <row r="68" spans="2:12" x14ac:dyDescent="0.25">
      <c r="B68" s="304"/>
      <c r="C68" s="304"/>
      <c r="D68" s="304"/>
      <c r="E68" s="304"/>
      <c r="G68" s="304"/>
      <c r="H68" s="306"/>
      <c r="I68" s="362" t="s">
        <v>383</v>
      </c>
      <c r="J68" s="337">
        <v>0</v>
      </c>
      <c r="K68" s="337">
        <v>0.28999999999999998</v>
      </c>
      <c r="L68" s="337">
        <v>0.44</v>
      </c>
    </row>
    <row r="69" spans="2:12" x14ac:dyDescent="0.25">
      <c r="B69" s="304"/>
      <c r="C69" s="304"/>
      <c r="D69" s="304"/>
      <c r="E69" s="304"/>
      <c r="G69" s="304"/>
      <c r="H69" s="306"/>
      <c r="I69" s="304" t="s">
        <v>384</v>
      </c>
      <c r="J69" s="337"/>
      <c r="K69" s="337">
        <f>(J67/J66)*D4*K68</f>
        <v>13240.118722150261</v>
      </c>
      <c r="L69" s="337">
        <f>(J67/J66)*E4*L68</f>
        <v>6180.3499430051825</v>
      </c>
    </row>
    <row r="70" spans="2:12" x14ac:dyDescent="0.25">
      <c r="B70" s="304"/>
      <c r="C70" s="304"/>
      <c r="D70" s="304"/>
      <c r="E70" s="304"/>
      <c r="G70" s="304"/>
      <c r="H70" s="306"/>
      <c r="I70" s="363"/>
      <c r="J70" s="337"/>
      <c r="K70" s="337"/>
      <c r="L70" s="337"/>
    </row>
    <row r="71" spans="2:12" x14ac:dyDescent="0.25">
      <c r="B71" s="304"/>
      <c r="C71" s="304"/>
      <c r="D71" s="304"/>
      <c r="E71" s="304"/>
      <c r="G71" s="304"/>
      <c r="H71" s="306"/>
      <c r="I71" s="336" t="s">
        <v>428</v>
      </c>
      <c r="J71" s="337"/>
      <c r="K71" s="337"/>
      <c r="L71" s="337"/>
    </row>
    <row r="72" spans="2:12" x14ac:dyDescent="0.25">
      <c r="B72" s="304"/>
      <c r="C72" s="304"/>
      <c r="D72" s="304"/>
      <c r="E72" s="304"/>
      <c r="G72" s="304"/>
      <c r="H72" s="306"/>
      <c r="I72" s="362" t="s">
        <v>383</v>
      </c>
      <c r="J72" s="337">
        <v>0</v>
      </c>
      <c r="K72" s="337">
        <v>0.15</v>
      </c>
      <c r="L72" s="337">
        <v>0.1</v>
      </c>
    </row>
    <row r="73" spans="2:12" x14ac:dyDescent="0.25">
      <c r="B73" s="304"/>
      <c r="C73" s="304"/>
      <c r="D73" s="304"/>
      <c r="E73" s="304"/>
      <c r="G73" s="304"/>
      <c r="H73" s="306"/>
      <c r="I73" s="362" t="s">
        <v>384</v>
      </c>
      <c r="J73" s="337">
        <v>0</v>
      </c>
      <c r="K73" s="337">
        <f>(J67/J66)*D22*K72</f>
        <v>106468.79452315417</v>
      </c>
      <c r="L73" s="337">
        <f>(J67/J66)*E22*L72</f>
        <v>540.03077720207273</v>
      </c>
    </row>
    <row r="74" spans="2:12" x14ac:dyDescent="0.25">
      <c r="B74" s="304"/>
      <c r="C74" s="304"/>
      <c r="D74" s="304"/>
      <c r="E74" s="304"/>
      <c r="G74" s="304"/>
      <c r="H74" s="306"/>
      <c r="I74" s="363"/>
      <c r="J74" s="337"/>
      <c r="K74" s="337"/>
      <c r="L74" s="337"/>
    </row>
    <row r="75" spans="2:12" x14ac:dyDescent="0.25">
      <c r="B75" s="304"/>
      <c r="C75" s="304"/>
      <c r="D75" s="304"/>
      <c r="E75" s="304"/>
      <c r="G75" s="304"/>
      <c r="H75" s="306"/>
      <c r="I75" s="314" t="s">
        <v>429</v>
      </c>
      <c r="J75" s="353">
        <v>0</v>
      </c>
      <c r="K75" s="353">
        <f>K69+K73</f>
        <v>119708.91324530443</v>
      </c>
      <c r="L75" s="353">
        <f>L69+L73</f>
        <v>6720.3807202072549</v>
      </c>
    </row>
    <row r="76" spans="2:12" x14ac:dyDescent="0.25">
      <c r="B76" s="304"/>
      <c r="C76" s="304"/>
      <c r="D76" s="304"/>
      <c r="E76" s="304"/>
      <c r="G76" s="304"/>
      <c r="H76" s="306"/>
      <c r="I76" s="363"/>
      <c r="J76" s="337"/>
      <c r="K76" s="337"/>
      <c r="L76" s="337"/>
    </row>
    <row r="77" spans="2:12" x14ac:dyDescent="0.25">
      <c r="B77" s="304"/>
      <c r="C77" s="304"/>
      <c r="D77" s="304"/>
      <c r="E77" s="304"/>
      <c r="G77" s="304"/>
      <c r="H77" s="306"/>
      <c r="J77" s="337"/>
      <c r="K77" s="337"/>
      <c r="L77" s="337"/>
    </row>
    <row r="78" spans="2:12" x14ac:dyDescent="0.25">
      <c r="B78" s="304"/>
      <c r="C78" s="304"/>
      <c r="D78" s="304"/>
      <c r="E78" s="304"/>
      <c r="G78" s="304"/>
      <c r="H78" s="306"/>
      <c r="I78" s="307" t="s">
        <v>430</v>
      </c>
      <c r="J78" s="337"/>
      <c r="K78" s="337"/>
      <c r="L78" s="337"/>
    </row>
    <row r="79" spans="2:12" x14ac:dyDescent="0.25">
      <c r="B79" s="304"/>
      <c r="C79" s="304"/>
      <c r="D79" s="304"/>
      <c r="E79" s="304"/>
      <c r="G79" s="304"/>
      <c r="H79" s="306"/>
      <c r="I79" s="304" t="s">
        <v>431</v>
      </c>
      <c r="J79" s="337">
        <v>0</v>
      </c>
      <c r="K79" s="337">
        <f>D19</f>
        <v>503222.01300000004</v>
      </c>
      <c r="L79" s="337">
        <f>E19</f>
        <v>125948.05650000001</v>
      </c>
    </row>
    <row r="80" spans="2:12" x14ac:dyDescent="0.25">
      <c r="B80" s="304"/>
      <c r="C80" s="304"/>
      <c r="D80" s="304"/>
      <c r="E80" s="304"/>
      <c r="G80" s="304"/>
      <c r="H80" s="306"/>
      <c r="I80" s="304" t="s">
        <v>432</v>
      </c>
      <c r="J80" s="337">
        <v>0</v>
      </c>
      <c r="K80" s="337">
        <v>0.5</v>
      </c>
      <c r="L80" s="337">
        <v>0.5</v>
      </c>
    </row>
    <row r="81" spans="2:13" x14ac:dyDescent="0.25">
      <c r="B81" s="304"/>
      <c r="C81" s="304"/>
      <c r="D81" s="304"/>
      <c r="E81" s="304"/>
      <c r="G81" s="304"/>
      <c r="H81" s="306"/>
      <c r="I81" s="304" t="s">
        <v>383</v>
      </c>
      <c r="J81" s="337">
        <v>0</v>
      </c>
      <c r="K81" s="337">
        <v>0.75</v>
      </c>
      <c r="L81" s="337">
        <v>0.75</v>
      </c>
    </row>
    <row r="82" spans="2:13" x14ac:dyDescent="0.25">
      <c r="B82" s="304"/>
      <c r="C82" s="304"/>
      <c r="D82" s="304"/>
      <c r="E82" s="304"/>
      <c r="G82" s="304"/>
      <c r="H82" s="306"/>
      <c r="I82" s="314" t="s">
        <v>384</v>
      </c>
      <c r="J82" s="337"/>
      <c r="K82" s="353">
        <f>K79*K80*K81</f>
        <v>188708.25487500001</v>
      </c>
      <c r="L82" s="353">
        <f>L79*L80*L81</f>
        <v>47230.521187500002</v>
      </c>
    </row>
    <row r="83" spans="2:13" x14ac:dyDescent="0.25">
      <c r="B83" s="304"/>
      <c r="C83" s="304"/>
      <c r="D83" s="304"/>
      <c r="E83" s="304"/>
      <c r="G83" s="304"/>
      <c r="H83" s="306"/>
      <c r="J83" s="337"/>
      <c r="K83" s="337"/>
      <c r="L83" s="337"/>
    </row>
    <row r="84" spans="2:13" x14ac:dyDescent="0.25">
      <c r="B84" s="304"/>
      <c r="C84" s="304"/>
      <c r="D84" s="304"/>
      <c r="E84" s="304"/>
      <c r="G84" s="304"/>
      <c r="H84" s="306"/>
      <c r="J84" s="337"/>
      <c r="K84" s="337"/>
      <c r="L84" s="337"/>
    </row>
    <row r="85" spans="2:13" x14ac:dyDescent="0.25">
      <c r="B85" s="304"/>
      <c r="C85" s="304"/>
      <c r="D85" s="304"/>
      <c r="E85" s="304"/>
      <c r="G85" s="304"/>
      <c r="H85" s="306"/>
      <c r="J85" s="337"/>
      <c r="K85" s="337"/>
      <c r="L85" s="337"/>
    </row>
    <row r="86" spans="2:13" x14ac:dyDescent="0.25">
      <c r="B86" s="304"/>
      <c r="C86" s="304"/>
      <c r="D86" s="304"/>
      <c r="E86" s="304"/>
      <c r="G86" s="304"/>
      <c r="H86" s="306"/>
      <c r="I86" s="360" t="s">
        <v>433</v>
      </c>
      <c r="J86" s="364">
        <f>J5+J12+J20+J33+J39+J44+J50+J56+J62</f>
        <v>9220917.7816105783</v>
      </c>
      <c r="K86" s="364">
        <f>K5+K12+K20+K33+K39+K44+K50+K56+K62+K75+K82</f>
        <v>329644.42342364398</v>
      </c>
      <c r="L86" s="364">
        <f>L5+L12+L20+L33+L39+L44+L50+L56+L62+L75+L82</f>
        <v>66675.745987597227</v>
      </c>
    </row>
    <row r="87" spans="2:13" x14ac:dyDescent="0.25">
      <c r="B87" s="304"/>
      <c r="C87" s="304"/>
      <c r="D87" s="304"/>
      <c r="E87" s="304"/>
      <c r="G87" s="304"/>
      <c r="H87" s="306"/>
      <c r="I87" s="365" t="s">
        <v>434</v>
      </c>
      <c r="J87" s="365">
        <f>J86/G25*100</f>
        <v>9.3060116743906391</v>
      </c>
      <c r="K87" s="365">
        <f>K86/D25*100</f>
        <v>10.463008526366059</v>
      </c>
      <c r="L87" s="365">
        <f>L86/E25*100</f>
        <v>31.201048296509782</v>
      </c>
    </row>
    <row r="88" spans="2:13" x14ac:dyDescent="0.25">
      <c r="B88" s="304"/>
      <c r="C88" s="304"/>
      <c r="D88" s="304"/>
      <c r="E88" s="304"/>
      <c r="G88" s="304"/>
    </row>
    <row r="89" spans="2:13" x14ac:dyDescent="0.25">
      <c r="B89" s="304"/>
      <c r="C89" s="304"/>
      <c r="D89" s="304"/>
      <c r="E89" s="304"/>
      <c r="G89" s="304"/>
    </row>
    <row r="90" spans="2:13" x14ac:dyDescent="0.25">
      <c r="B90" s="304"/>
      <c r="C90" s="304"/>
      <c r="D90" s="304"/>
      <c r="E90" s="304"/>
      <c r="G90" s="304"/>
    </row>
    <row r="91" spans="2:13" x14ac:dyDescent="0.25">
      <c r="B91" s="304"/>
      <c r="C91" s="304"/>
      <c r="D91" s="304"/>
      <c r="E91" s="304"/>
      <c r="G91" s="304"/>
      <c r="I91" s="360"/>
      <c r="J91" s="360"/>
      <c r="K91" s="360"/>
      <c r="L91" s="360"/>
      <c r="M91" s="360"/>
    </row>
    <row r="92" spans="2:13" x14ac:dyDescent="0.25">
      <c r="B92" s="304"/>
      <c r="C92" s="304"/>
      <c r="D92" s="304"/>
      <c r="E92" s="304"/>
      <c r="G92" s="304"/>
      <c r="I92" s="360"/>
      <c r="J92" s="360"/>
      <c r="K92" s="360"/>
      <c r="L92" s="360"/>
      <c r="M92" s="360"/>
    </row>
    <row r="93" spans="2:13" x14ac:dyDescent="0.25">
      <c r="B93" s="304"/>
      <c r="C93" s="304"/>
      <c r="D93" s="304"/>
      <c r="E93" s="304"/>
      <c r="G93" s="304"/>
      <c r="I93" s="360"/>
      <c r="J93" s="360"/>
      <c r="K93" s="360"/>
      <c r="L93" s="360"/>
      <c r="M93" s="360"/>
    </row>
    <row r="94" spans="2:13" x14ac:dyDescent="0.25">
      <c r="B94" s="304"/>
      <c r="C94" s="304"/>
      <c r="D94" s="304"/>
      <c r="E94" s="304"/>
      <c r="G94" s="304"/>
    </row>
    <row r="95" spans="2:13" x14ac:dyDescent="0.25">
      <c r="B95" s="304"/>
      <c r="C95" s="304"/>
      <c r="D95" s="304"/>
      <c r="E95" s="304"/>
      <c r="G95" s="304"/>
      <c r="I95" s="366"/>
      <c r="J95" s="366"/>
      <c r="K95" s="366"/>
      <c r="L95" s="366"/>
      <c r="M95" s="366"/>
    </row>
    <row r="96" spans="2:13" x14ac:dyDescent="0.25">
      <c r="B96" s="304"/>
      <c r="C96" s="304"/>
      <c r="D96" s="304"/>
      <c r="E96" s="304"/>
      <c r="G96" s="304"/>
      <c r="I96" s="366"/>
      <c r="J96" s="366"/>
      <c r="K96" s="366"/>
      <c r="L96" s="366"/>
      <c r="M96" s="366"/>
    </row>
    <row r="97" s="304" customFormat="1" x14ac:dyDescent="0.25"/>
    <row r="98" s="304" customFormat="1" x14ac:dyDescent="0.25"/>
    <row r="99" s="304" customFormat="1" x14ac:dyDescent="0.25"/>
    <row r="100" s="304" customFormat="1" x14ac:dyDescent="0.25"/>
    <row r="101" s="304" customFormat="1" x14ac:dyDescent="0.25"/>
    <row r="102" s="304" customFormat="1" x14ac:dyDescent="0.25"/>
    <row r="103" s="304" customFormat="1" x14ac:dyDescent="0.25"/>
    <row r="104" s="304" customFormat="1" x14ac:dyDescent="0.25"/>
    <row r="105" s="304" customFormat="1" x14ac:dyDescent="0.25"/>
    <row r="106" s="304" customFormat="1" x14ac:dyDescent="0.25"/>
    <row r="107" s="304" customFormat="1" x14ac:dyDescent="0.25"/>
    <row r="108" s="304" customFormat="1" x14ac:dyDescent="0.25"/>
    <row r="109" s="304" customFormat="1" x14ac:dyDescent="0.25"/>
    <row r="110" s="304" customFormat="1" x14ac:dyDescent="0.25"/>
    <row r="111" s="304" customFormat="1" x14ac:dyDescent="0.25"/>
    <row r="112" s="304" customFormat="1" x14ac:dyDescent="0.25"/>
    <row r="113" spans="2:7" x14ac:dyDescent="0.25">
      <c r="B113" s="304"/>
      <c r="C113" s="304"/>
      <c r="D113" s="304"/>
      <c r="E113" s="304"/>
      <c r="G113" s="304"/>
    </row>
    <row r="117" spans="2:7" x14ac:dyDescent="0.25">
      <c r="B117" s="304"/>
      <c r="C117" s="304"/>
      <c r="D117" s="304"/>
      <c r="E117" s="304"/>
      <c r="G117" s="304"/>
    </row>
    <row r="118" spans="2:7" x14ac:dyDescent="0.25">
      <c r="B118" s="304"/>
      <c r="C118" s="304"/>
      <c r="D118" s="304"/>
      <c r="E118" s="304"/>
      <c r="G118" s="304"/>
    </row>
    <row r="119" spans="2:7" x14ac:dyDescent="0.25">
      <c r="B119" s="304"/>
      <c r="C119" s="304"/>
      <c r="D119" s="304"/>
      <c r="E119" s="304"/>
      <c r="G119" s="304"/>
    </row>
    <row r="129" s="304" customFormat="1" x14ac:dyDescent="0.25"/>
    <row r="130" s="304" customFormat="1" x14ac:dyDescent="0.25"/>
    <row r="131" s="304" customFormat="1" x14ac:dyDescent="0.25"/>
    <row r="132" s="304" customFormat="1" x14ac:dyDescent="0.25"/>
    <row r="133" s="304" customFormat="1" x14ac:dyDescent="0.25"/>
    <row r="134" s="304" customFormat="1" x14ac:dyDescent="0.25"/>
    <row r="135" s="304" customFormat="1" x14ac:dyDescent="0.25"/>
    <row r="136" s="304" customFormat="1" x14ac:dyDescent="0.25"/>
    <row r="137" s="304" customFormat="1" x14ac:dyDescent="0.25"/>
    <row r="138" s="304" customFormat="1" x14ac:dyDescent="0.25"/>
    <row r="139" s="304" customFormat="1" x14ac:dyDescent="0.25"/>
    <row r="140" s="304" customFormat="1" x14ac:dyDescent="0.25"/>
    <row r="141" s="304" customFormat="1" x14ac:dyDescent="0.25"/>
    <row r="142" s="304" customFormat="1" x14ac:dyDescent="0.25"/>
    <row r="143" s="304" customFormat="1" x14ac:dyDescent="0.25"/>
    <row r="144" s="304" customFormat="1" x14ac:dyDescent="0.25"/>
    <row r="145" s="304" customFormat="1" x14ac:dyDescent="0.25"/>
    <row r="146" s="304" customFormat="1" x14ac:dyDescent="0.25"/>
    <row r="147" s="304" customFormat="1" x14ac:dyDescent="0.25"/>
    <row r="148" s="304" customFormat="1" x14ac:dyDescent="0.25"/>
    <row r="149" s="304" customFormat="1" x14ac:dyDescent="0.25"/>
    <row r="150" s="304" customFormat="1" x14ac:dyDescent="0.25"/>
    <row r="151" s="304" customFormat="1" x14ac:dyDescent="0.25"/>
    <row r="152" s="304" customFormat="1" x14ac:dyDescent="0.25"/>
    <row r="153" s="304" customFormat="1" x14ac:dyDescent="0.25"/>
    <row r="154" s="304" customFormat="1" x14ac:dyDescent="0.25"/>
    <row r="155" s="304" customFormat="1" x14ac:dyDescent="0.25"/>
    <row r="156" s="304" customFormat="1" x14ac:dyDescent="0.25"/>
    <row r="157" s="304" customFormat="1" x14ac:dyDescent="0.25"/>
    <row r="158" s="304" customFormat="1" x14ac:dyDescent="0.25"/>
    <row r="159" s="304" customFormat="1" x14ac:dyDescent="0.25"/>
    <row r="160" s="304" customFormat="1" x14ac:dyDescent="0.25"/>
    <row r="161" s="304" customFormat="1" x14ac:dyDescent="0.25"/>
    <row r="162" s="304" customFormat="1" x14ac:dyDescent="0.25"/>
    <row r="163" s="304" customFormat="1" x14ac:dyDescent="0.25"/>
    <row r="164" s="304" customFormat="1" x14ac:dyDescent="0.25"/>
    <row r="165" s="304" customFormat="1" x14ac:dyDescent="0.25"/>
    <row r="166" s="304" customFormat="1" x14ac:dyDescent="0.25"/>
    <row r="167" s="304" customFormat="1" x14ac:dyDescent="0.25"/>
  </sheetData>
  <mergeCells count="3">
    <mergeCell ref="A1:E1"/>
    <mergeCell ref="A26:C26"/>
    <mergeCell ref="A27:C2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7"/>
  <sheetViews>
    <sheetView zoomScale="70" zoomScaleNormal="70" workbookViewId="0">
      <selection activeCell="J48" sqref="J48"/>
    </sheetView>
  </sheetViews>
  <sheetFormatPr defaultColWidth="9.125" defaultRowHeight="15" x14ac:dyDescent="0.25"/>
  <cols>
    <col min="1" max="1" width="20.5" style="304" customWidth="1"/>
    <col min="2" max="2" width="13" style="305" customWidth="1"/>
    <col min="3" max="3" width="16" style="305" customWidth="1"/>
    <col min="4" max="4" width="13.875" style="305" customWidth="1"/>
    <col min="5" max="5" width="14.875" style="305" customWidth="1"/>
    <col min="6" max="6" width="4.125" style="304" customWidth="1"/>
    <col min="7" max="7" width="18.5" style="305" customWidth="1"/>
    <col min="8" max="8" width="1.625" style="304" customWidth="1"/>
    <col min="9" max="9" width="31.875" style="304" customWidth="1"/>
    <col min="10" max="12" width="12.5" style="304" customWidth="1"/>
    <col min="13" max="13" width="10" style="304" customWidth="1"/>
    <col min="14" max="14" width="60.5" style="304" customWidth="1"/>
    <col min="15" max="15" width="12.875" style="304" customWidth="1"/>
    <col min="16" max="16384" width="9.125" style="304"/>
  </cols>
  <sheetData>
    <row r="1" spans="1:14" ht="15.75" customHeight="1" thickBot="1" x14ac:dyDescent="0.3">
      <c r="A1" s="495" t="s">
        <v>372</v>
      </c>
      <c r="B1" s="496"/>
      <c r="C1" s="496"/>
      <c r="D1" s="496"/>
      <c r="E1" s="497"/>
      <c r="H1" s="306"/>
      <c r="I1" s="307" t="s">
        <v>373</v>
      </c>
      <c r="J1" s="308" t="s">
        <v>28</v>
      </c>
      <c r="K1" s="308" t="s">
        <v>374</v>
      </c>
      <c r="L1" s="308" t="s">
        <v>375</v>
      </c>
    </row>
    <row r="2" spans="1:14" ht="21.75" customHeight="1" x14ac:dyDescent="0.25">
      <c r="A2" s="309" t="s">
        <v>24</v>
      </c>
      <c r="B2" s="310" t="s">
        <v>150</v>
      </c>
      <c r="C2" s="311" t="s">
        <v>376</v>
      </c>
      <c r="D2" s="310" t="s">
        <v>377</v>
      </c>
      <c r="E2" s="312" t="s">
        <v>378</v>
      </c>
      <c r="G2" s="313" t="s">
        <v>379</v>
      </c>
      <c r="H2" s="306"/>
      <c r="I2" s="304" t="s">
        <v>380</v>
      </c>
      <c r="J2" s="304">
        <f>B4</f>
        <v>34311.111111111109</v>
      </c>
      <c r="N2" s="314" t="s">
        <v>381</v>
      </c>
    </row>
    <row r="3" spans="1:14" ht="17.25" customHeight="1" x14ac:dyDescent="0.25">
      <c r="A3" s="315" t="s">
        <v>46</v>
      </c>
      <c r="B3" s="316">
        <f>+'MMW Output'!C22</f>
        <v>23560.493827160491</v>
      </c>
      <c r="C3" s="316">
        <f>+'MMW Output'!D22</f>
        <v>976.70816775000003</v>
      </c>
      <c r="D3" s="316">
        <f>+'MMW Output'!E22</f>
        <v>12210.1875</v>
      </c>
      <c r="E3" s="317">
        <f>+'MMW Output'!F22</f>
        <v>5079.4380000000001</v>
      </c>
      <c r="F3" s="318"/>
      <c r="G3" s="319">
        <f t="shared" ref="G3:G18" si="0">C3*2000</f>
        <v>1953416.3355</v>
      </c>
      <c r="H3" s="306"/>
      <c r="I3" s="304" t="s">
        <v>382</v>
      </c>
      <c r="J3" s="304">
        <v>0</v>
      </c>
    </row>
    <row r="4" spans="1:14" x14ac:dyDescent="0.25">
      <c r="A4" s="320" t="s">
        <v>47</v>
      </c>
      <c r="B4" s="321">
        <f>+'MMW Output'!C23</f>
        <v>34311.111111111109</v>
      </c>
      <c r="C4" s="321">
        <f>+'MMW Output'!D23</f>
        <v>19255.817274749999</v>
      </c>
      <c r="D4" s="321">
        <f>+'MMW Output'!E23</f>
        <v>156649.37400000001</v>
      </c>
      <c r="E4" s="322">
        <f>+'MMW Output'!F23</f>
        <v>48194.243999999999</v>
      </c>
      <c r="G4" s="323">
        <f t="shared" si="0"/>
        <v>38511634.549499996</v>
      </c>
      <c r="H4" s="306"/>
      <c r="I4" s="304" t="s">
        <v>383</v>
      </c>
      <c r="J4" s="304">
        <v>0.35</v>
      </c>
      <c r="K4" s="304">
        <v>0.28999999999999998</v>
      </c>
      <c r="L4" s="304">
        <v>0.5</v>
      </c>
    </row>
    <row r="5" spans="1:14" x14ac:dyDescent="0.25">
      <c r="A5" s="320" t="s">
        <v>48</v>
      </c>
      <c r="B5" s="321">
        <f>+'MMW Output'!C24</f>
        <v>26165.432098765428</v>
      </c>
      <c r="C5" s="321">
        <f>+'MMW Output'!D24</f>
        <v>22.606101000000002</v>
      </c>
      <c r="D5" s="321">
        <f>+'MMW Output'!E24</f>
        <v>1606.1220000000001</v>
      </c>
      <c r="E5" s="322">
        <f>+'MMW Output'!F24</f>
        <v>124.80300000000001</v>
      </c>
      <c r="G5" s="323">
        <f t="shared" si="0"/>
        <v>45212.202000000005</v>
      </c>
      <c r="H5" s="306"/>
      <c r="I5" s="314" t="s">
        <v>384</v>
      </c>
      <c r="J5" s="314">
        <f>(J3/J2)*G4*J4</f>
        <v>0</v>
      </c>
      <c r="K5" s="314">
        <f>(J3/J2)*D4*K4</f>
        <v>0</v>
      </c>
      <c r="L5" s="314">
        <f>(J3/J2)*E4*L4</f>
        <v>0</v>
      </c>
    </row>
    <row r="6" spans="1:14" ht="18.75" customHeight="1" x14ac:dyDescent="0.25">
      <c r="A6" s="320" t="s">
        <v>50</v>
      </c>
      <c r="B6" s="321">
        <f>+'MMW Output'!C25</f>
        <v>424.69135802469134</v>
      </c>
      <c r="C6" s="321">
        <f>+'MMW Output'!D25</f>
        <v>0.36283275000000004</v>
      </c>
      <c r="D6" s="321">
        <f>+'MMW Output'!E25</f>
        <v>147.29400000000001</v>
      </c>
      <c r="E6" s="322">
        <f>+'MMW Output'!F25</f>
        <v>8.3789999999999996</v>
      </c>
      <c r="G6" s="323">
        <f t="shared" si="0"/>
        <v>725.66550000000007</v>
      </c>
      <c r="H6" s="306"/>
    </row>
    <row r="7" spans="1:14" x14ac:dyDescent="0.25">
      <c r="A7" s="320" t="s">
        <v>51</v>
      </c>
      <c r="B7" s="321">
        <f>+'MMW Output'!C26</f>
        <v>0</v>
      </c>
      <c r="C7" s="321">
        <f>+'MMW Output'!D26</f>
        <v>0</v>
      </c>
      <c r="D7" s="321">
        <f>+'MMW Output'!E26</f>
        <v>0</v>
      </c>
      <c r="E7" s="322">
        <f>+'MMW Output'!F26</f>
        <v>0</v>
      </c>
      <c r="G7" s="323">
        <f t="shared" si="0"/>
        <v>0</v>
      </c>
      <c r="H7" s="306"/>
      <c r="I7" s="307" t="s">
        <v>385</v>
      </c>
    </row>
    <row r="8" spans="1:14" x14ac:dyDescent="0.25">
      <c r="A8" s="320" t="s">
        <v>52</v>
      </c>
      <c r="B8" s="321">
        <f>+'MMW Output'!C27</f>
        <v>0</v>
      </c>
      <c r="C8" s="321">
        <f>+'MMW Output'!D27</f>
        <v>0</v>
      </c>
      <c r="D8" s="321">
        <f>+'MMW Output'!E27</f>
        <v>0</v>
      </c>
      <c r="E8" s="322">
        <f>+'MMW Output'!F27</f>
        <v>0</v>
      </c>
      <c r="G8" s="323">
        <f t="shared" si="0"/>
        <v>0</v>
      </c>
      <c r="H8" s="306"/>
    </row>
    <row r="9" spans="1:14" x14ac:dyDescent="0.25">
      <c r="A9" s="320" t="s">
        <v>53</v>
      </c>
      <c r="B9" s="321">
        <f>+'MMW Output'!C28</f>
        <v>291.35802469135803</v>
      </c>
      <c r="C9" s="321">
        <f>+'MMW Output'!D28</f>
        <v>4.9661010000000001</v>
      </c>
      <c r="D9" s="321">
        <f>+'MMW Output'!E28</f>
        <v>200.214</v>
      </c>
      <c r="E9" s="322">
        <f>+'MMW Output'!F28</f>
        <v>13.4505</v>
      </c>
      <c r="G9" s="323">
        <f t="shared" si="0"/>
        <v>9932.2019999999993</v>
      </c>
      <c r="H9" s="306"/>
      <c r="I9" s="304" t="s">
        <v>380</v>
      </c>
      <c r="J9" s="304">
        <f>B4</f>
        <v>34311.111111111109</v>
      </c>
      <c r="N9" s="314" t="s">
        <v>386</v>
      </c>
    </row>
    <row r="10" spans="1:14" ht="15.75" customHeight="1" x14ac:dyDescent="0.25">
      <c r="A10" s="320" t="s">
        <v>54</v>
      </c>
      <c r="B10" s="321">
        <f>+'MMW Output'!C29</f>
        <v>175.30864197530863</v>
      </c>
      <c r="C10" s="321">
        <f>+'MMW Output'!D29</f>
        <v>8.533350000000002E-2</v>
      </c>
      <c r="D10" s="321">
        <f>+'MMW Output'!E29</f>
        <v>65.047499999999999</v>
      </c>
      <c r="E10" s="322">
        <f>+'MMW Output'!F29</f>
        <v>2.4255000000000004</v>
      </c>
      <c r="G10" s="323">
        <f t="shared" si="0"/>
        <v>170.66700000000003</v>
      </c>
      <c r="H10" s="306"/>
      <c r="I10" s="304" t="s">
        <v>382</v>
      </c>
      <c r="J10" s="304">
        <v>0</v>
      </c>
    </row>
    <row r="11" spans="1:14" x14ac:dyDescent="0.25">
      <c r="A11" s="320" t="s">
        <v>55</v>
      </c>
      <c r="B11" s="321">
        <f>+'MMW Output'!C30</f>
        <v>0</v>
      </c>
      <c r="C11" s="321">
        <f>+'MMW Output'!D30</f>
        <v>0</v>
      </c>
      <c r="D11" s="321">
        <f>+'MMW Output'!E30</f>
        <v>0</v>
      </c>
      <c r="E11" s="322">
        <f>+'MMW Output'!F30</f>
        <v>0</v>
      </c>
      <c r="G11" s="323">
        <f t="shared" si="0"/>
        <v>0</v>
      </c>
      <c r="H11" s="306"/>
      <c r="I11" s="304" t="s">
        <v>383</v>
      </c>
      <c r="J11" s="304">
        <v>0.3</v>
      </c>
      <c r="K11" s="304">
        <v>0.08</v>
      </c>
      <c r="L11" s="304">
        <v>0.22</v>
      </c>
    </row>
    <row r="12" spans="1:14" x14ac:dyDescent="0.25">
      <c r="A12" s="324" t="s">
        <v>56</v>
      </c>
      <c r="B12" s="321">
        <f>+'MMW Output'!C31</f>
        <v>0</v>
      </c>
      <c r="C12" s="321">
        <f>+'MMW Output'!D31</f>
        <v>0</v>
      </c>
      <c r="D12" s="321">
        <f>+'MMW Output'!E31</f>
        <v>0</v>
      </c>
      <c r="E12" s="325">
        <f>+'MMW Output'!F31</f>
        <v>0</v>
      </c>
      <c r="F12" s="326"/>
      <c r="G12" s="327">
        <f t="shared" si="0"/>
        <v>0</v>
      </c>
      <c r="H12" s="306"/>
      <c r="I12" s="314" t="s">
        <v>384</v>
      </c>
      <c r="J12" s="314">
        <f>(J10/J9)*G4*J11</f>
        <v>0</v>
      </c>
      <c r="K12" s="314">
        <f>(J10/J9)*D4*K11</f>
        <v>0</v>
      </c>
      <c r="L12" s="314">
        <f>(J10/J9)*E4*L11</f>
        <v>0</v>
      </c>
    </row>
    <row r="13" spans="1:14" ht="19.5" customHeight="1" x14ac:dyDescent="0.25">
      <c r="A13" s="315" t="s">
        <v>57</v>
      </c>
      <c r="B13" s="316">
        <f>+'MMW Output'!C32</f>
        <v>12380.246913580246</v>
      </c>
      <c r="C13" s="316">
        <f>+'MMW Output'!D32</f>
        <v>55.6822035</v>
      </c>
      <c r="D13" s="316">
        <f>+'MMW Output'!E32</f>
        <v>3056.3505</v>
      </c>
      <c r="E13" s="322">
        <f>+'MMW Output'!F32</f>
        <v>341.33400000000006</v>
      </c>
      <c r="F13" s="318"/>
      <c r="G13" s="319">
        <f t="shared" si="0"/>
        <v>111364.40700000001</v>
      </c>
      <c r="H13" s="306"/>
    </row>
    <row r="14" spans="1:14" ht="22.5" customHeight="1" x14ac:dyDescent="0.25">
      <c r="A14" s="320" t="s">
        <v>58</v>
      </c>
      <c r="B14" s="321">
        <f>+'MMW Output'!C33</f>
        <v>1081.4814814814815</v>
      </c>
      <c r="C14" s="321">
        <f>+'MMW Output'!D33</f>
        <v>28.199965500000001</v>
      </c>
      <c r="D14" s="321">
        <f>+'MMW Output'!E33</f>
        <v>1145.9385000000002</v>
      </c>
      <c r="E14" s="322">
        <f>+'MMW Output'!F33</f>
        <v>117.9675</v>
      </c>
      <c r="G14" s="323">
        <f t="shared" si="0"/>
        <v>56399.931000000004</v>
      </c>
      <c r="H14" s="306"/>
      <c r="I14" s="307" t="s">
        <v>387</v>
      </c>
      <c r="N14" s="314" t="s">
        <v>388</v>
      </c>
    </row>
    <row r="15" spans="1:14" ht="15.75" customHeight="1" x14ac:dyDescent="0.25">
      <c r="A15" s="320" t="s">
        <v>59</v>
      </c>
      <c r="B15" s="321">
        <f>+'MMW Output'!C34</f>
        <v>261.72839506172835</v>
      </c>
      <c r="C15" s="321">
        <f>+'MMW Output'!D34</f>
        <v>6.8283337499999996</v>
      </c>
      <c r="D15" s="321">
        <f>+'MMW Output'!E34</f>
        <v>277.38900000000001</v>
      </c>
      <c r="E15" s="322">
        <f>+'MMW Output'!F34</f>
        <v>28.664999999999999</v>
      </c>
      <c r="G15" s="323">
        <f t="shared" si="0"/>
        <v>13656.6675</v>
      </c>
      <c r="H15" s="306"/>
      <c r="I15" s="304" t="s">
        <v>380</v>
      </c>
      <c r="J15" s="304">
        <f>B4</f>
        <v>34311.111111111109</v>
      </c>
      <c r="N15" s="314" t="s">
        <v>389</v>
      </c>
    </row>
    <row r="16" spans="1:14" x14ac:dyDescent="0.25">
      <c r="A16" s="320" t="s">
        <v>60</v>
      </c>
      <c r="B16" s="321">
        <f>+'MMW Output'!C35</f>
        <v>0</v>
      </c>
      <c r="C16" s="321">
        <f>+'MMW Output'!D35</f>
        <v>0</v>
      </c>
      <c r="D16" s="321">
        <f>+'MMW Output'!E35</f>
        <v>0</v>
      </c>
      <c r="E16" s="322">
        <f>+'MMW Output'!F35</f>
        <v>0</v>
      </c>
      <c r="G16" s="323">
        <f t="shared" si="0"/>
        <v>0</v>
      </c>
      <c r="H16" s="306"/>
      <c r="I16" s="304" t="s">
        <v>390</v>
      </c>
      <c r="J16" s="304">
        <v>0</v>
      </c>
      <c r="N16" s="314" t="s">
        <v>391</v>
      </c>
    </row>
    <row r="17" spans="1:14" x14ac:dyDescent="0.25">
      <c r="A17" s="320" t="s">
        <v>61</v>
      </c>
      <c r="B17" s="321">
        <f>+'MMW Output'!C36</f>
        <v>0</v>
      </c>
      <c r="C17" s="321">
        <f>+'MMW Output'!D36</f>
        <v>0</v>
      </c>
      <c r="D17" s="321">
        <f>+'MMW Output'!E36</f>
        <v>0</v>
      </c>
      <c r="E17" s="322">
        <f>+'MMW Output'!F36</f>
        <v>0</v>
      </c>
      <c r="G17" s="323">
        <f t="shared" si="0"/>
        <v>0</v>
      </c>
      <c r="H17" s="306"/>
      <c r="I17" s="304" t="s">
        <v>392</v>
      </c>
      <c r="J17" s="304">
        <f>(J16*5280*100)/43560</f>
        <v>0</v>
      </c>
    </row>
    <row r="18" spans="1:14" x14ac:dyDescent="0.25">
      <c r="A18" s="324" t="s">
        <v>62</v>
      </c>
      <c r="B18" s="321">
        <f>+'MMW Output'!C37</f>
        <v>0</v>
      </c>
      <c r="C18" s="321">
        <f>+'MMW Output'!D37</f>
        <v>0</v>
      </c>
      <c r="D18" s="321">
        <f>+'MMW Output'!E37</f>
        <v>0</v>
      </c>
      <c r="E18" s="325">
        <f>+'MMW Output'!F37</f>
        <v>0</v>
      </c>
      <c r="F18" s="326"/>
      <c r="G18" s="327">
        <f t="shared" si="0"/>
        <v>0</v>
      </c>
      <c r="H18" s="306"/>
      <c r="I18" s="304" t="s">
        <v>382</v>
      </c>
      <c r="J18" s="304">
        <f>J17*2</f>
        <v>0</v>
      </c>
    </row>
    <row r="19" spans="1:14" ht="15" customHeight="1" x14ac:dyDescent="0.25">
      <c r="A19" s="315" t="s">
        <v>64</v>
      </c>
      <c r="B19" s="328" t="s">
        <v>76</v>
      </c>
      <c r="C19" s="316">
        <f>+'MMW Output'!D38</f>
        <v>0</v>
      </c>
      <c r="D19" s="316">
        <f>+'MMW Output'!E38</f>
        <v>503222.01300000004</v>
      </c>
      <c r="E19" s="322">
        <f>+'MMW Output'!F38</f>
        <v>125948.05650000001</v>
      </c>
      <c r="F19" s="318"/>
      <c r="G19" s="319"/>
      <c r="H19" s="306"/>
      <c r="I19" s="304" t="s">
        <v>383</v>
      </c>
      <c r="J19" s="304">
        <v>0.54</v>
      </c>
      <c r="K19" s="304">
        <v>0.41</v>
      </c>
      <c r="L19" s="304">
        <v>0.4</v>
      </c>
    </row>
    <row r="20" spans="1:14" ht="15" customHeight="1" x14ac:dyDescent="0.25">
      <c r="A20" s="320" t="s">
        <v>65</v>
      </c>
      <c r="B20" s="329" t="s">
        <v>76</v>
      </c>
      <c r="C20" s="321">
        <f>+'MMW Output'!D39</f>
        <v>0</v>
      </c>
      <c r="D20" s="321">
        <f>+'MMW Output'!E39</f>
        <v>0</v>
      </c>
      <c r="E20" s="322">
        <f>+'MMW Output'!F39</f>
        <v>0</v>
      </c>
      <c r="G20" s="323">
        <f>C20*2000</f>
        <v>0</v>
      </c>
      <c r="H20" s="306"/>
      <c r="I20" s="314" t="s">
        <v>384</v>
      </c>
      <c r="J20" s="314">
        <f>((J18/J15)*J19*G4)+(J17*(C31-C32))</f>
        <v>0</v>
      </c>
      <c r="K20" s="314">
        <f>((J18/J15)*K19*D4)+(J17*(D31-D32))</f>
        <v>0</v>
      </c>
      <c r="L20" s="314">
        <f>((J18/J15)*L19*E4)+(J17*(E31-E32))</f>
        <v>0</v>
      </c>
    </row>
    <row r="21" spans="1:14" s="332" customFormat="1" ht="15" customHeight="1" x14ac:dyDescent="0.25">
      <c r="A21" s="330" t="s">
        <v>393</v>
      </c>
      <c r="B21" s="331" t="s">
        <v>76</v>
      </c>
      <c r="C21" s="321">
        <f>+'MMW Output'!D40</f>
        <v>29191.545180000001</v>
      </c>
      <c r="D21" s="321">
        <f>+'MMW Output'!E40</f>
        <v>31002.3</v>
      </c>
      <c r="E21" s="322">
        <f>+'MMW Output'!F40</f>
        <v>14638.995000000001</v>
      </c>
      <c r="G21" s="333">
        <f>C21*2000</f>
        <v>58383090.359999999</v>
      </c>
      <c r="H21" s="334"/>
    </row>
    <row r="22" spans="1:14" s="332" customFormat="1" ht="15" customHeight="1" x14ac:dyDescent="0.25">
      <c r="A22" s="330" t="s">
        <v>66</v>
      </c>
      <c r="B22" s="331"/>
      <c r="C22" s="321">
        <f>+'MMW Output'!D41</f>
        <v>0</v>
      </c>
      <c r="D22" s="321">
        <f>+'MMW Output'!E41</f>
        <v>2435375.0925000003</v>
      </c>
      <c r="E22" s="322">
        <f>+'MMW Output'!F41</f>
        <v>18529.056</v>
      </c>
      <c r="G22" s="333"/>
      <c r="H22" s="334"/>
      <c r="I22" s="335" t="s">
        <v>394</v>
      </c>
    </row>
    <row r="23" spans="1:14" s="332" customFormat="1" ht="15" customHeight="1" x14ac:dyDescent="0.25">
      <c r="A23" s="330" t="s">
        <v>67</v>
      </c>
      <c r="B23" s="331"/>
      <c r="C23" s="321">
        <f>+'MMW Output'!D42</f>
        <v>0</v>
      </c>
      <c r="D23" s="321">
        <f>+'MMW Output'!E42</f>
        <v>2220.4349999999999</v>
      </c>
      <c r="E23" s="322">
        <f>+'MMW Output'!F42</f>
        <v>670.32</v>
      </c>
      <c r="G23" s="333"/>
      <c r="H23" s="334"/>
      <c r="I23" s="304"/>
      <c r="J23" s="304"/>
      <c r="K23" s="304"/>
      <c r="L23" s="304"/>
      <c r="M23" s="304"/>
      <c r="N23" s="304"/>
    </row>
    <row r="24" spans="1:14" s="332" customFormat="1" ht="15" customHeight="1" thickBot="1" x14ac:dyDescent="0.3">
      <c r="A24" s="330" t="s">
        <v>68</v>
      </c>
      <c r="B24" s="331"/>
      <c r="C24" s="321">
        <f>+'MMW Output'!D43</f>
        <v>0</v>
      </c>
      <c r="D24" s="321">
        <f>+'MMW Output'!E43</f>
        <v>3392.3924999999999</v>
      </c>
      <c r="E24" s="325">
        <f>+'MMW Output'!F43</f>
        <v>0</v>
      </c>
      <c r="G24" s="333"/>
      <c r="H24" s="334"/>
      <c r="I24" s="336" t="s">
        <v>395</v>
      </c>
      <c r="J24" s="337"/>
      <c r="K24" s="337"/>
      <c r="L24" s="337"/>
      <c r="M24" s="304"/>
      <c r="N24" s="304"/>
    </row>
    <row r="25" spans="1:14" s="332" customFormat="1" ht="15" customHeight="1" thickBot="1" x14ac:dyDescent="0.3">
      <c r="A25" s="338" t="s">
        <v>396</v>
      </c>
      <c r="B25" s="339">
        <f>SUM(B3:B21)</f>
        <v>98651.851851851825</v>
      </c>
      <c r="C25" s="339">
        <f t="shared" ref="C25" si="1">SUM(C3:C21)</f>
        <v>49542.801493500003</v>
      </c>
      <c r="D25" s="339">
        <f>SUM(D3:D24)</f>
        <v>3150570.1500000004</v>
      </c>
      <c r="E25" s="340">
        <f>SUM(E3:E24)</f>
        <v>213697.13400000002</v>
      </c>
      <c r="F25" s="341"/>
      <c r="G25" s="342">
        <f>SUM(G3:G21)</f>
        <v>99085602.986999989</v>
      </c>
      <c r="H25" s="334"/>
      <c r="I25" s="304" t="s">
        <v>397</v>
      </c>
      <c r="J25" s="337">
        <v>0</v>
      </c>
      <c r="K25" s="337"/>
      <c r="L25" s="337"/>
      <c r="M25" s="304"/>
      <c r="N25" s="304"/>
    </row>
    <row r="26" spans="1:14" ht="15" customHeight="1" x14ac:dyDescent="0.25">
      <c r="A26" s="498" t="s">
        <v>398</v>
      </c>
      <c r="B26" s="499"/>
      <c r="C26" s="499"/>
      <c r="H26" s="306"/>
      <c r="I26" s="304" t="s">
        <v>399</v>
      </c>
      <c r="J26" s="337">
        <v>115</v>
      </c>
      <c r="K26" s="343">
        <v>0.192</v>
      </c>
      <c r="L26" s="343">
        <v>0.17399999999999999</v>
      </c>
    </row>
    <row r="27" spans="1:14" s="332" customFormat="1" ht="15" customHeight="1" x14ac:dyDescent="0.25">
      <c r="A27" s="500" t="s">
        <v>400</v>
      </c>
      <c r="B27" s="501"/>
      <c r="C27" s="501"/>
      <c r="D27" s="344"/>
      <c r="E27" s="344"/>
      <c r="G27" s="344"/>
      <c r="H27" s="334"/>
      <c r="I27" s="304" t="s">
        <v>401</v>
      </c>
      <c r="J27" s="337">
        <f>J25*J26</f>
        <v>0</v>
      </c>
      <c r="K27" s="337">
        <f>J25*K26</f>
        <v>0</v>
      </c>
      <c r="L27" s="337">
        <f>J25*L26</f>
        <v>0</v>
      </c>
      <c r="M27" s="304"/>
      <c r="N27" s="304"/>
    </row>
    <row r="28" spans="1:14" s="332" customFormat="1" ht="15" customHeight="1" thickBot="1" x14ac:dyDescent="0.3">
      <c r="A28" s="345" t="s">
        <v>402</v>
      </c>
      <c r="B28" s="345" t="s">
        <v>403</v>
      </c>
      <c r="C28" s="344"/>
      <c r="D28" s="344"/>
      <c r="E28" s="344"/>
      <c r="G28" s="344"/>
      <c r="H28" s="334"/>
      <c r="I28" s="304"/>
      <c r="J28" s="337"/>
      <c r="K28" s="337"/>
      <c r="L28" s="337"/>
      <c r="M28" s="304"/>
      <c r="N28" s="304"/>
    </row>
    <row r="29" spans="1:14" s="332" customFormat="1" ht="29.25" customHeight="1" thickBot="1" x14ac:dyDescent="0.3">
      <c r="A29" s="346" t="s">
        <v>404</v>
      </c>
      <c r="B29" s="347">
        <f>SUM(B30:B39)</f>
        <v>84928.395061728384</v>
      </c>
      <c r="C29" s="348" t="s">
        <v>405</v>
      </c>
      <c r="D29" s="348" t="s">
        <v>406</v>
      </c>
      <c r="E29" s="348" t="s">
        <v>407</v>
      </c>
      <c r="F29" s="349"/>
      <c r="G29" s="348"/>
      <c r="H29" s="334"/>
      <c r="I29" s="350" t="s">
        <v>408</v>
      </c>
    </row>
    <row r="30" spans="1:14" s="332" customFormat="1" ht="15" customHeight="1" x14ac:dyDescent="0.25">
      <c r="A30" s="351" t="s">
        <v>46</v>
      </c>
      <c r="B30" s="352">
        <f t="shared" ref="B30:B39" si="2">B3</f>
        <v>23560.493827160491</v>
      </c>
      <c r="C30" s="332">
        <f>G3/B30</f>
        <v>82.910670286889555</v>
      </c>
      <c r="D30" s="332">
        <f>D3/B30</f>
        <v>0.51824836905260951</v>
      </c>
      <c r="E30" s="332">
        <f>E3/B30</f>
        <v>0.21559132152588559</v>
      </c>
      <c r="G30" s="344"/>
      <c r="H30" s="334"/>
      <c r="I30" s="332" t="s">
        <v>409</v>
      </c>
      <c r="J30" s="332">
        <v>0.1</v>
      </c>
    </row>
    <row r="31" spans="1:14" s="332" customFormat="1" x14ac:dyDescent="0.25">
      <c r="A31" s="351" t="s">
        <v>47</v>
      </c>
      <c r="B31" s="352">
        <f t="shared" si="2"/>
        <v>34311.111111111109</v>
      </c>
      <c r="C31" s="332">
        <f t="shared" ref="C31:C39" si="3">G4/B31</f>
        <v>1122.4245820773963</v>
      </c>
      <c r="D31" s="332">
        <f t="shared" ref="D31:D39" si="4">D4/B31</f>
        <v>4.5655581800518137</v>
      </c>
      <c r="E31" s="332">
        <f t="shared" ref="E31:E39" si="5">E4/B31</f>
        <v>1.4046249870466321</v>
      </c>
      <c r="G31" s="344"/>
      <c r="H31" s="334"/>
      <c r="I31" s="332" t="s">
        <v>410</v>
      </c>
      <c r="J31" s="332">
        <f>J30*J27</f>
        <v>0</v>
      </c>
      <c r="K31" s="332">
        <f>J30*K27</f>
        <v>0</v>
      </c>
      <c r="L31" s="332">
        <f>J30*L27</f>
        <v>0</v>
      </c>
    </row>
    <row r="32" spans="1:14" s="332" customFormat="1" ht="15" customHeight="1" x14ac:dyDescent="0.25">
      <c r="A32" s="351" t="s">
        <v>48</v>
      </c>
      <c r="B32" s="352">
        <f t="shared" si="2"/>
        <v>26165.432098765428</v>
      </c>
      <c r="C32" s="332">
        <f t="shared" si="3"/>
        <v>1.7279363791639148</v>
      </c>
      <c r="D32" s="332">
        <f t="shared" si="4"/>
        <v>6.1383354723034834E-2</v>
      </c>
      <c r="E32" s="332">
        <f t="shared" si="5"/>
        <v>4.7697664433330195E-3</v>
      </c>
      <c r="G32" s="344"/>
      <c r="H32" s="334"/>
    </row>
    <row r="33" spans="1:14" s="332" customFormat="1" ht="15" customHeight="1" x14ac:dyDescent="0.25">
      <c r="A33" s="351" t="s">
        <v>50</v>
      </c>
      <c r="B33" s="352">
        <f t="shared" si="2"/>
        <v>424.69135802469134</v>
      </c>
      <c r="C33" s="332">
        <f t="shared" si="3"/>
        <v>1.7086891133720932</v>
      </c>
      <c r="D33" s="332">
        <f t="shared" si="4"/>
        <v>0.34682598837209305</v>
      </c>
      <c r="E33" s="332">
        <f t="shared" si="5"/>
        <v>1.9729622093023255E-2</v>
      </c>
      <c r="G33" s="344"/>
      <c r="H33" s="334"/>
      <c r="I33" s="314" t="s">
        <v>411</v>
      </c>
      <c r="J33" s="353">
        <f>J27+J31</f>
        <v>0</v>
      </c>
      <c r="K33" s="353">
        <f t="shared" ref="K33:L33" si="6">K27+K31</f>
        <v>0</v>
      </c>
      <c r="L33" s="353">
        <f t="shared" si="6"/>
        <v>0</v>
      </c>
      <c r="M33" s="304"/>
      <c r="N33" s="304"/>
    </row>
    <row r="34" spans="1:14" s="332" customFormat="1" ht="15" customHeight="1" x14ac:dyDescent="0.25">
      <c r="A34" s="351" t="s">
        <v>51</v>
      </c>
      <c r="B34" s="352">
        <f t="shared" si="2"/>
        <v>0</v>
      </c>
      <c r="C34" s="332" t="e">
        <f t="shared" si="3"/>
        <v>#DIV/0!</v>
      </c>
      <c r="D34" s="332" t="e">
        <f t="shared" si="4"/>
        <v>#DIV/0!</v>
      </c>
      <c r="E34" s="332" t="e">
        <f t="shared" si="5"/>
        <v>#DIV/0!</v>
      </c>
      <c r="G34" s="344"/>
      <c r="H34" s="334"/>
      <c r="I34" s="304"/>
      <c r="J34" s="337"/>
      <c r="K34" s="337"/>
      <c r="L34" s="337"/>
      <c r="M34" s="304"/>
      <c r="N34" s="304"/>
    </row>
    <row r="35" spans="1:14" s="332" customFormat="1" ht="15" customHeight="1" x14ac:dyDescent="0.25">
      <c r="A35" s="351" t="s">
        <v>52</v>
      </c>
      <c r="B35" s="352">
        <f t="shared" si="2"/>
        <v>0</v>
      </c>
      <c r="C35" s="332" t="e">
        <f t="shared" si="3"/>
        <v>#DIV/0!</v>
      </c>
      <c r="D35" s="332" t="e">
        <f t="shared" si="4"/>
        <v>#DIV/0!</v>
      </c>
      <c r="E35" s="332" t="e">
        <f t="shared" si="5"/>
        <v>#DIV/0!</v>
      </c>
      <c r="G35" s="344"/>
      <c r="H35" s="334"/>
      <c r="I35" s="307" t="s">
        <v>412</v>
      </c>
      <c r="J35" s="337"/>
      <c r="K35" s="337"/>
      <c r="L35" s="337"/>
      <c r="M35" s="304"/>
      <c r="N35" s="304"/>
    </row>
    <row r="36" spans="1:14" s="332" customFormat="1" ht="15" customHeight="1" x14ac:dyDescent="0.25">
      <c r="A36" s="351" t="s">
        <v>53</v>
      </c>
      <c r="B36" s="352">
        <f t="shared" si="2"/>
        <v>291.35802469135803</v>
      </c>
      <c r="C36" s="332">
        <f t="shared" si="3"/>
        <v>34.089337372881353</v>
      </c>
      <c r="D36" s="332">
        <f t="shared" si="4"/>
        <v>0.68717516949152546</v>
      </c>
      <c r="E36" s="332">
        <f t="shared" si="5"/>
        <v>4.6164851694915257E-2</v>
      </c>
      <c r="G36" s="344"/>
      <c r="H36" s="334"/>
      <c r="I36" s="304" t="s">
        <v>380</v>
      </c>
      <c r="J36" s="337">
        <f>B3</f>
        <v>23560.493827160491</v>
      </c>
      <c r="K36" s="337"/>
      <c r="L36" s="337"/>
      <c r="M36" s="304"/>
      <c r="N36" s="304"/>
    </row>
    <row r="37" spans="1:14" s="332" customFormat="1" ht="15" customHeight="1" x14ac:dyDescent="0.25">
      <c r="A37" s="351" t="s">
        <v>54</v>
      </c>
      <c r="B37" s="352">
        <f t="shared" si="2"/>
        <v>175.30864197530863</v>
      </c>
      <c r="C37" s="332">
        <f t="shared" si="3"/>
        <v>0.97352302816901426</v>
      </c>
      <c r="D37" s="332">
        <f t="shared" si="4"/>
        <v>0.37104559859154934</v>
      </c>
      <c r="E37" s="332">
        <f t="shared" si="5"/>
        <v>1.3835598591549298E-2</v>
      </c>
      <c r="G37" s="344"/>
      <c r="H37" s="334"/>
      <c r="I37" s="304" t="s">
        <v>382</v>
      </c>
      <c r="J37" s="337">
        <v>0</v>
      </c>
      <c r="K37" s="337"/>
      <c r="L37" s="337"/>
      <c r="M37" s="304"/>
      <c r="N37" s="304"/>
    </row>
    <row r="38" spans="1:14" s="332" customFormat="1" ht="15" customHeight="1" x14ac:dyDescent="0.25">
      <c r="A38" s="351" t="s">
        <v>55</v>
      </c>
      <c r="B38" s="352">
        <f t="shared" si="2"/>
        <v>0</v>
      </c>
      <c r="C38" s="332" t="e">
        <f t="shared" si="3"/>
        <v>#DIV/0!</v>
      </c>
      <c r="D38" s="332" t="e">
        <f t="shared" si="4"/>
        <v>#DIV/0!</v>
      </c>
      <c r="E38" s="332" t="e">
        <f t="shared" si="5"/>
        <v>#DIV/0!</v>
      </c>
      <c r="G38" s="344"/>
      <c r="H38" s="334"/>
      <c r="I38" s="304" t="s">
        <v>413</v>
      </c>
      <c r="J38" s="337">
        <v>0.3</v>
      </c>
      <c r="K38" s="337">
        <v>0.3</v>
      </c>
      <c r="L38" s="337">
        <v>0.3</v>
      </c>
      <c r="M38" s="304"/>
      <c r="N38" s="304"/>
    </row>
    <row r="39" spans="1:14" ht="15.75" thickBot="1" x14ac:dyDescent="0.3">
      <c r="A39" s="351" t="s">
        <v>56</v>
      </c>
      <c r="B39" s="354">
        <f t="shared" si="2"/>
        <v>0</v>
      </c>
      <c r="C39" s="332" t="e">
        <f t="shared" si="3"/>
        <v>#DIV/0!</v>
      </c>
      <c r="D39" s="332" t="e">
        <f t="shared" si="4"/>
        <v>#DIV/0!</v>
      </c>
      <c r="E39" s="332" t="e">
        <f t="shared" si="5"/>
        <v>#DIV/0!</v>
      </c>
      <c r="H39" s="306"/>
      <c r="I39" s="314" t="s">
        <v>384</v>
      </c>
      <c r="J39" s="353">
        <f>(J37/J36)*J38*G3</f>
        <v>0</v>
      </c>
      <c r="K39" s="353">
        <f>(J37/J36)*K38*D3</f>
        <v>0</v>
      </c>
      <c r="L39" s="353">
        <f>(J37/J36)*L38*E3</f>
        <v>0</v>
      </c>
    </row>
    <row r="40" spans="1:14" ht="31.5" customHeight="1" x14ac:dyDescent="0.25">
      <c r="A40" s="355"/>
      <c r="B40" s="332"/>
      <c r="H40" s="306"/>
      <c r="J40" s="337"/>
      <c r="K40" s="337"/>
      <c r="L40" s="337"/>
    </row>
    <row r="41" spans="1:14" x14ac:dyDescent="0.25">
      <c r="B41" s="304"/>
      <c r="H41" s="306"/>
      <c r="I41" s="307" t="s">
        <v>414</v>
      </c>
      <c r="J41" s="337"/>
      <c r="K41" s="337"/>
      <c r="L41" s="337"/>
    </row>
    <row r="42" spans="1:14" x14ac:dyDescent="0.25">
      <c r="B42" s="304"/>
      <c r="C42" s="314" t="s">
        <v>415</v>
      </c>
      <c r="D42" s="314">
        <v>20000</v>
      </c>
      <c r="E42" s="356" t="s">
        <v>416</v>
      </c>
      <c r="H42" s="306"/>
      <c r="I42" s="304" t="s">
        <v>380</v>
      </c>
      <c r="J42" s="337">
        <f>B4</f>
        <v>34311.111111111109</v>
      </c>
      <c r="K42" s="337"/>
      <c r="L42" s="337"/>
    </row>
    <row r="43" spans="1:14" x14ac:dyDescent="0.25">
      <c r="B43" s="304"/>
      <c r="C43" s="314" t="s">
        <v>417</v>
      </c>
      <c r="D43" s="314">
        <v>11000</v>
      </c>
      <c r="E43" s="356" t="s">
        <v>416</v>
      </c>
      <c r="H43" s="306"/>
      <c r="I43" s="304" t="s">
        <v>418</v>
      </c>
      <c r="J43" s="337">
        <v>0</v>
      </c>
      <c r="K43" s="337"/>
      <c r="L43" s="337"/>
    </row>
    <row r="44" spans="1:14" x14ac:dyDescent="0.25">
      <c r="B44" s="304"/>
      <c r="C44" s="314"/>
      <c r="D44" s="314"/>
      <c r="E44" s="356"/>
      <c r="H44" s="306"/>
      <c r="I44" s="314" t="s">
        <v>384</v>
      </c>
      <c r="J44" s="353">
        <f>(C31-C32)*J43</f>
        <v>0</v>
      </c>
      <c r="K44" s="353">
        <f>(D31-D32)*J43</f>
        <v>0</v>
      </c>
      <c r="L44" s="353">
        <f>(E31-E32)*J43</f>
        <v>0</v>
      </c>
    </row>
    <row r="45" spans="1:14" x14ac:dyDescent="0.25">
      <c r="B45" s="304"/>
      <c r="C45" s="314"/>
      <c r="D45" s="314"/>
      <c r="H45" s="306"/>
      <c r="J45" s="337"/>
      <c r="K45" s="337"/>
      <c r="L45" s="337"/>
    </row>
    <row r="46" spans="1:14" x14ac:dyDescent="0.25">
      <c r="B46" s="304"/>
      <c r="H46" s="306"/>
      <c r="I46" s="307" t="s">
        <v>419</v>
      </c>
      <c r="J46" s="337"/>
      <c r="K46" s="337"/>
      <c r="L46" s="337"/>
    </row>
    <row r="47" spans="1:14" x14ac:dyDescent="0.25">
      <c r="A47" s="332"/>
      <c r="B47" s="332"/>
      <c r="H47" s="306"/>
      <c r="I47" s="304" t="s">
        <v>420</v>
      </c>
      <c r="J47" s="337">
        <f>D42</f>
        <v>20000</v>
      </c>
      <c r="K47" s="337"/>
      <c r="L47" s="337"/>
    </row>
    <row r="48" spans="1:14" x14ac:dyDescent="0.25">
      <c r="A48" s="332"/>
      <c r="B48" s="332"/>
      <c r="H48" s="306"/>
      <c r="I48" s="304" t="s">
        <v>397</v>
      </c>
      <c r="J48" s="337">
        <v>10000</v>
      </c>
      <c r="K48" s="337"/>
      <c r="L48" s="337"/>
    </row>
    <row r="49" spans="1:12" x14ac:dyDescent="0.25">
      <c r="A49" s="332"/>
      <c r="B49" s="332"/>
      <c r="H49" s="306"/>
      <c r="I49" s="304" t="s">
        <v>421</v>
      </c>
      <c r="J49" s="337">
        <v>115</v>
      </c>
      <c r="K49" s="337">
        <v>0.192</v>
      </c>
      <c r="L49" s="337">
        <v>0.17399999999999999</v>
      </c>
    </row>
    <row r="50" spans="1:12" x14ac:dyDescent="0.25">
      <c r="B50" s="332"/>
      <c r="H50" s="306"/>
      <c r="I50" s="314" t="s">
        <v>384</v>
      </c>
      <c r="J50" s="353">
        <f>J48*J49</f>
        <v>1150000</v>
      </c>
      <c r="K50" s="353">
        <f>J48*K49</f>
        <v>1920</v>
      </c>
      <c r="L50" s="353">
        <f>J48*L49</f>
        <v>1739.9999999999998</v>
      </c>
    </row>
    <row r="51" spans="1:12" x14ac:dyDescent="0.25">
      <c r="B51" s="304"/>
      <c r="C51" s="304"/>
      <c r="D51" s="304"/>
      <c r="E51" s="304"/>
      <c r="G51" s="304"/>
      <c r="H51" s="306"/>
      <c r="I51" s="314"/>
      <c r="J51" s="353"/>
      <c r="K51" s="353"/>
      <c r="L51" s="353"/>
    </row>
    <row r="52" spans="1:12" x14ac:dyDescent="0.25">
      <c r="B52" s="304"/>
      <c r="C52" s="304"/>
      <c r="D52" s="304"/>
      <c r="E52" s="304"/>
      <c r="G52" s="304"/>
      <c r="H52" s="306"/>
      <c r="I52" s="357" t="s">
        <v>422</v>
      </c>
      <c r="J52" s="353"/>
      <c r="K52" s="353"/>
      <c r="L52" s="353"/>
    </row>
    <row r="53" spans="1:12" x14ac:dyDescent="0.25">
      <c r="B53" s="304"/>
      <c r="C53" s="304"/>
      <c r="D53" s="304"/>
      <c r="E53" s="304"/>
      <c r="G53" s="304"/>
      <c r="H53" s="306"/>
      <c r="I53" s="358" t="s">
        <v>380</v>
      </c>
      <c r="J53" s="359">
        <f>B4</f>
        <v>34311.111111111109</v>
      </c>
      <c r="K53" s="359"/>
      <c r="L53" s="359"/>
    </row>
    <row r="54" spans="1:12" x14ac:dyDescent="0.25">
      <c r="B54" s="304"/>
      <c r="E54" s="304"/>
      <c r="G54" s="304"/>
      <c r="H54" s="306"/>
      <c r="I54" s="358" t="s">
        <v>382</v>
      </c>
      <c r="J54" s="359">
        <v>1000</v>
      </c>
      <c r="K54" s="359"/>
      <c r="L54" s="359"/>
    </row>
    <row r="55" spans="1:12" x14ac:dyDescent="0.25">
      <c r="B55" s="304"/>
      <c r="E55" s="304"/>
      <c r="G55" s="304"/>
      <c r="H55" s="306"/>
      <c r="I55" s="358" t="s">
        <v>383</v>
      </c>
      <c r="J55" s="359">
        <v>0.16</v>
      </c>
      <c r="K55" s="359">
        <v>0.05</v>
      </c>
      <c r="L55" s="359">
        <v>0.1</v>
      </c>
    </row>
    <row r="56" spans="1:12" x14ac:dyDescent="0.25">
      <c r="B56" s="304"/>
      <c r="E56" s="304"/>
      <c r="G56" s="304"/>
      <c r="H56" s="306"/>
      <c r="I56" s="314" t="s">
        <v>384</v>
      </c>
      <c r="J56" s="353">
        <f>(J54/J53)*J55*G4</f>
        <v>179587.93313238342</v>
      </c>
      <c r="K56" s="353">
        <f>(J54/J53)*K55*D4</f>
        <v>228.27790900259072</v>
      </c>
      <c r="L56" s="353">
        <f>(J54/J53)*L55*E4</f>
        <v>140.46249870466323</v>
      </c>
    </row>
    <row r="57" spans="1:12" x14ac:dyDescent="0.25">
      <c r="B57" s="304"/>
      <c r="E57" s="304"/>
      <c r="G57" s="304"/>
      <c r="H57" s="306"/>
      <c r="I57" s="314"/>
      <c r="J57" s="353"/>
      <c r="K57" s="353"/>
      <c r="L57" s="353"/>
    </row>
    <row r="58" spans="1:12" x14ac:dyDescent="0.25">
      <c r="B58" s="304"/>
      <c r="C58" s="304"/>
      <c r="D58" s="304"/>
      <c r="E58" s="304"/>
      <c r="G58" s="304"/>
      <c r="H58" s="306"/>
      <c r="I58" s="357" t="s">
        <v>423</v>
      </c>
      <c r="J58" s="353"/>
      <c r="K58" s="353"/>
      <c r="L58" s="353"/>
    </row>
    <row r="59" spans="1:12" x14ac:dyDescent="0.25">
      <c r="B59" s="304"/>
      <c r="C59" s="304"/>
      <c r="D59" s="304"/>
      <c r="E59" s="304"/>
      <c r="G59" s="304"/>
      <c r="H59" s="306"/>
      <c r="I59" s="358" t="s">
        <v>420</v>
      </c>
      <c r="J59" s="359">
        <f>D43</f>
        <v>11000</v>
      </c>
      <c r="K59" s="359"/>
      <c r="L59" s="359"/>
    </row>
    <row r="60" spans="1:12" x14ac:dyDescent="0.25">
      <c r="A60" s="360"/>
      <c r="B60" s="304"/>
      <c r="C60" s="304"/>
      <c r="D60" s="304"/>
      <c r="E60" s="304"/>
      <c r="G60" s="304"/>
      <c r="H60" s="306"/>
      <c r="I60" s="358" t="s">
        <v>424</v>
      </c>
      <c r="J60" s="359">
        <v>5280</v>
      </c>
      <c r="K60" s="359"/>
      <c r="L60" s="359"/>
    </row>
    <row r="61" spans="1:12" x14ac:dyDescent="0.25">
      <c r="B61" s="304"/>
      <c r="C61" s="304"/>
      <c r="D61" s="304"/>
      <c r="E61" s="304"/>
      <c r="G61" s="304"/>
      <c r="H61" s="306"/>
      <c r="I61" s="358" t="s">
        <v>425</v>
      </c>
      <c r="J61" s="359">
        <v>2.5499999999999998</v>
      </c>
      <c r="K61" s="359">
        <v>0.02</v>
      </c>
      <c r="L61" s="361">
        <v>3.5000000000000001E-3</v>
      </c>
    </row>
    <row r="62" spans="1:12" x14ac:dyDescent="0.25">
      <c r="B62" s="304"/>
      <c r="C62" s="304"/>
      <c r="D62" s="304"/>
      <c r="E62" s="304"/>
      <c r="G62" s="304"/>
      <c r="H62" s="306"/>
      <c r="I62" s="314" t="s">
        <v>384</v>
      </c>
      <c r="J62" s="353">
        <f>J60*J61</f>
        <v>13463.999999999998</v>
      </c>
      <c r="K62" s="353">
        <f>J60*K61</f>
        <v>105.60000000000001</v>
      </c>
      <c r="L62" s="353">
        <f>J60*L61</f>
        <v>18.48</v>
      </c>
    </row>
    <row r="63" spans="1:12" x14ac:dyDescent="0.25">
      <c r="B63" s="304"/>
      <c r="C63" s="304"/>
      <c r="D63" s="304"/>
      <c r="E63" s="304"/>
      <c r="G63" s="304"/>
      <c r="H63" s="306"/>
      <c r="I63" s="314"/>
      <c r="J63" s="353"/>
      <c r="K63" s="353"/>
      <c r="L63" s="353"/>
    </row>
    <row r="64" spans="1:12" x14ac:dyDescent="0.25">
      <c r="B64" s="304"/>
      <c r="C64" s="304"/>
      <c r="D64" s="304"/>
      <c r="E64" s="304"/>
      <c r="G64" s="304"/>
      <c r="H64" s="306"/>
      <c r="I64" s="307" t="s">
        <v>426</v>
      </c>
      <c r="J64" s="337"/>
      <c r="K64" s="337"/>
      <c r="L64" s="337"/>
    </row>
    <row r="65" spans="2:12" x14ac:dyDescent="0.25">
      <c r="B65" s="304"/>
      <c r="C65" s="304"/>
      <c r="D65" s="304"/>
      <c r="E65" s="304"/>
      <c r="G65" s="304"/>
      <c r="H65" s="306"/>
      <c r="I65" s="336" t="s">
        <v>427</v>
      </c>
      <c r="J65" s="337"/>
      <c r="K65" s="337"/>
      <c r="L65" s="337"/>
    </row>
    <row r="66" spans="2:12" x14ac:dyDescent="0.25">
      <c r="B66" s="304"/>
      <c r="C66" s="304"/>
      <c r="D66" s="304"/>
      <c r="E66" s="304"/>
      <c r="G66" s="304"/>
      <c r="H66" s="306"/>
      <c r="I66" s="362" t="s">
        <v>380</v>
      </c>
      <c r="J66" s="337">
        <f>B4</f>
        <v>34311.111111111109</v>
      </c>
      <c r="K66" s="337"/>
      <c r="L66" s="337"/>
    </row>
    <row r="67" spans="2:12" x14ac:dyDescent="0.25">
      <c r="B67" s="304"/>
      <c r="C67" s="304"/>
      <c r="D67" s="304"/>
      <c r="E67" s="304"/>
      <c r="G67" s="304"/>
      <c r="H67" s="306"/>
      <c r="I67" s="362" t="s">
        <v>382</v>
      </c>
      <c r="J67" s="337">
        <v>10000</v>
      </c>
      <c r="K67" s="337"/>
      <c r="L67" s="337"/>
    </row>
    <row r="68" spans="2:12" x14ac:dyDescent="0.25">
      <c r="B68" s="304"/>
      <c r="C68" s="304"/>
      <c r="D68" s="304"/>
      <c r="E68" s="304"/>
      <c r="G68" s="304"/>
      <c r="H68" s="306"/>
      <c r="I68" s="362" t="s">
        <v>383</v>
      </c>
      <c r="J68" s="337">
        <v>0</v>
      </c>
      <c r="K68" s="337">
        <v>0.28999999999999998</v>
      </c>
      <c r="L68" s="337">
        <v>0.44</v>
      </c>
    </row>
    <row r="69" spans="2:12" x14ac:dyDescent="0.25">
      <c r="B69" s="304"/>
      <c r="C69" s="304"/>
      <c r="D69" s="304"/>
      <c r="E69" s="304"/>
      <c r="G69" s="304"/>
      <c r="H69" s="306"/>
      <c r="I69" s="304" t="s">
        <v>384</v>
      </c>
      <c r="J69" s="337"/>
      <c r="K69" s="337">
        <f>(J67/J66)*D4*K68</f>
        <v>13240.118722150261</v>
      </c>
      <c r="L69" s="337">
        <f>(J67/J66)*E4*L68</f>
        <v>6180.3499430051825</v>
      </c>
    </row>
    <row r="70" spans="2:12" x14ac:dyDescent="0.25">
      <c r="B70" s="304"/>
      <c r="C70" s="304"/>
      <c r="D70" s="304"/>
      <c r="E70" s="304"/>
      <c r="G70" s="304"/>
      <c r="H70" s="306"/>
      <c r="I70" s="363"/>
      <c r="J70" s="337"/>
      <c r="K70" s="337"/>
      <c r="L70" s="337"/>
    </row>
    <row r="71" spans="2:12" x14ac:dyDescent="0.25">
      <c r="B71" s="304"/>
      <c r="C71" s="304"/>
      <c r="D71" s="304"/>
      <c r="E71" s="304"/>
      <c r="G71" s="304"/>
      <c r="H71" s="306"/>
      <c r="I71" s="336" t="s">
        <v>428</v>
      </c>
      <c r="J71" s="337"/>
      <c r="K71" s="337"/>
      <c r="L71" s="337"/>
    </row>
    <row r="72" spans="2:12" x14ac:dyDescent="0.25">
      <c r="B72" s="304"/>
      <c r="C72" s="304"/>
      <c r="D72" s="304"/>
      <c r="E72" s="304"/>
      <c r="G72" s="304"/>
      <c r="H72" s="306"/>
      <c r="I72" s="362" t="s">
        <v>383</v>
      </c>
      <c r="J72" s="337">
        <v>0</v>
      </c>
      <c r="K72" s="337">
        <v>0.15</v>
      </c>
      <c r="L72" s="337">
        <v>0.1</v>
      </c>
    </row>
    <row r="73" spans="2:12" x14ac:dyDescent="0.25">
      <c r="B73" s="304"/>
      <c r="C73" s="304"/>
      <c r="D73" s="304"/>
      <c r="E73" s="304"/>
      <c r="G73" s="304"/>
      <c r="H73" s="306"/>
      <c r="I73" s="362" t="s">
        <v>384</v>
      </c>
      <c r="J73" s="337">
        <v>0</v>
      </c>
      <c r="K73" s="337">
        <f>(J67/J66)*D22*K72</f>
        <v>106468.79452315417</v>
      </c>
      <c r="L73" s="337">
        <f>(J67/J66)*E22*L72</f>
        <v>540.03077720207273</v>
      </c>
    </row>
    <row r="74" spans="2:12" x14ac:dyDescent="0.25">
      <c r="B74" s="304"/>
      <c r="C74" s="304"/>
      <c r="D74" s="304"/>
      <c r="E74" s="304"/>
      <c r="G74" s="304"/>
      <c r="H74" s="306"/>
      <c r="I74" s="363"/>
      <c r="J74" s="337"/>
      <c r="K74" s="337"/>
      <c r="L74" s="337"/>
    </row>
    <row r="75" spans="2:12" x14ac:dyDescent="0.25">
      <c r="B75" s="304"/>
      <c r="C75" s="304"/>
      <c r="D75" s="304"/>
      <c r="E75" s="304"/>
      <c r="G75" s="304"/>
      <c r="H75" s="306"/>
      <c r="I75" s="314" t="s">
        <v>429</v>
      </c>
      <c r="J75" s="353">
        <v>0</v>
      </c>
      <c r="K75" s="353">
        <f>K69+K73</f>
        <v>119708.91324530443</v>
      </c>
      <c r="L75" s="353">
        <f>L69+L73</f>
        <v>6720.3807202072549</v>
      </c>
    </row>
    <row r="76" spans="2:12" x14ac:dyDescent="0.25">
      <c r="B76" s="304"/>
      <c r="C76" s="304"/>
      <c r="D76" s="304"/>
      <c r="E76" s="304"/>
      <c r="G76" s="304"/>
      <c r="H76" s="306"/>
      <c r="I76" s="363"/>
      <c r="J76" s="337"/>
      <c r="K76" s="337"/>
      <c r="L76" s="337"/>
    </row>
    <row r="77" spans="2:12" x14ac:dyDescent="0.25">
      <c r="B77" s="304"/>
      <c r="C77" s="304"/>
      <c r="D77" s="304"/>
      <c r="E77" s="304"/>
      <c r="G77" s="304"/>
      <c r="H77" s="306"/>
      <c r="J77" s="337"/>
      <c r="K77" s="337"/>
      <c r="L77" s="337"/>
    </row>
    <row r="78" spans="2:12" x14ac:dyDescent="0.25">
      <c r="B78" s="304"/>
      <c r="C78" s="304"/>
      <c r="D78" s="304"/>
      <c r="E78" s="304"/>
      <c r="G78" s="304"/>
      <c r="H78" s="306"/>
      <c r="I78" s="307" t="s">
        <v>430</v>
      </c>
      <c r="J78" s="337"/>
      <c r="K78" s="337"/>
      <c r="L78" s="337"/>
    </row>
    <row r="79" spans="2:12" x14ac:dyDescent="0.25">
      <c r="B79" s="304"/>
      <c r="C79" s="304"/>
      <c r="D79" s="304"/>
      <c r="E79" s="304"/>
      <c r="G79" s="304"/>
      <c r="H79" s="306"/>
      <c r="I79" s="304" t="s">
        <v>431</v>
      </c>
      <c r="J79" s="337">
        <v>0</v>
      </c>
      <c r="K79" s="337">
        <f>D19</f>
        <v>503222.01300000004</v>
      </c>
      <c r="L79" s="337">
        <f>E19</f>
        <v>125948.05650000001</v>
      </c>
    </row>
    <row r="80" spans="2:12" x14ac:dyDescent="0.25">
      <c r="B80" s="304"/>
      <c r="C80" s="304"/>
      <c r="D80" s="304"/>
      <c r="E80" s="304"/>
      <c r="G80" s="304"/>
      <c r="H80" s="306"/>
      <c r="I80" s="304" t="s">
        <v>432</v>
      </c>
      <c r="J80" s="337">
        <v>0</v>
      </c>
      <c r="K80" s="337">
        <v>0.5</v>
      </c>
      <c r="L80" s="337">
        <v>0.5</v>
      </c>
    </row>
    <row r="81" spans="2:13" x14ac:dyDescent="0.25">
      <c r="B81" s="304"/>
      <c r="C81" s="304"/>
      <c r="D81" s="304"/>
      <c r="E81" s="304"/>
      <c r="G81" s="304"/>
      <c r="H81" s="306"/>
      <c r="I81" s="304" t="s">
        <v>383</v>
      </c>
      <c r="J81" s="337">
        <v>0</v>
      </c>
      <c r="K81" s="337">
        <v>0.75</v>
      </c>
      <c r="L81" s="337">
        <v>0.75</v>
      </c>
    </row>
    <row r="82" spans="2:13" x14ac:dyDescent="0.25">
      <c r="B82" s="304"/>
      <c r="C82" s="304"/>
      <c r="D82" s="304"/>
      <c r="E82" s="304"/>
      <c r="G82" s="304"/>
      <c r="H82" s="306"/>
      <c r="I82" s="314" t="s">
        <v>384</v>
      </c>
      <c r="J82" s="337"/>
      <c r="K82" s="353">
        <f>K79*K80*K81</f>
        <v>188708.25487500001</v>
      </c>
      <c r="L82" s="353">
        <f>L79*L80*L81</f>
        <v>47230.521187500002</v>
      </c>
    </row>
    <row r="83" spans="2:13" x14ac:dyDescent="0.25">
      <c r="B83" s="304"/>
      <c r="C83" s="304"/>
      <c r="D83" s="304"/>
      <c r="E83" s="304"/>
      <c r="G83" s="304"/>
      <c r="H83" s="306"/>
      <c r="J83" s="337"/>
      <c r="K83" s="337"/>
      <c r="L83" s="337"/>
    </row>
    <row r="84" spans="2:13" x14ac:dyDescent="0.25">
      <c r="B84" s="304"/>
      <c r="C84" s="304"/>
      <c r="D84" s="304"/>
      <c r="E84" s="304"/>
      <c r="G84" s="304"/>
      <c r="H84" s="306"/>
      <c r="J84" s="337"/>
      <c r="K84" s="337"/>
      <c r="L84" s="337"/>
    </row>
    <row r="85" spans="2:13" x14ac:dyDescent="0.25">
      <c r="B85" s="304"/>
      <c r="C85" s="304"/>
      <c r="D85" s="304"/>
      <c r="E85" s="304"/>
      <c r="G85" s="304"/>
      <c r="H85" s="306"/>
      <c r="J85" s="337"/>
      <c r="K85" s="337"/>
      <c r="L85" s="337"/>
    </row>
    <row r="86" spans="2:13" x14ac:dyDescent="0.25">
      <c r="B86" s="304"/>
      <c r="C86" s="304"/>
      <c r="D86" s="304"/>
      <c r="E86" s="304"/>
      <c r="G86" s="304"/>
      <c r="H86" s="306"/>
      <c r="I86" s="360" t="s">
        <v>433</v>
      </c>
      <c r="J86" s="364">
        <f>J5+J12+J20+J33+J39+J44+J50+J56+J62</f>
        <v>1343051.9331323835</v>
      </c>
      <c r="K86" s="364">
        <f>K5+K12+K20+K33+K39+K44+K50+K56+K62+K75+K82</f>
        <v>310671.04602930706</v>
      </c>
      <c r="L86" s="364">
        <f>L5+L12+L20+L33+L39+L44+L50+L56+L62+L75+L82</f>
        <v>55849.844406411918</v>
      </c>
    </row>
    <row r="87" spans="2:13" x14ac:dyDescent="0.25">
      <c r="B87" s="304"/>
      <c r="C87" s="304"/>
      <c r="D87" s="304"/>
      <c r="E87" s="304"/>
      <c r="G87" s="304"/>
      <c r="H87" s="306"/>
      <c r="I87" s="365" t="s">
        <v>434</v>
      </c>
      <c r="J87" s="365">
        <f>J86/G25*100</f>
        <v>1.3554460917077849</v>
      </c>
      <c r="K87" s="365">
        <f>K86/D25*100</f>
        <v>9.8607880871754912</v>
      </c>
      <c r="L87" s="365">
        <f>L86/E25*100</f>
        <v>26.135046063094098</v>
      </c>
    </row>
    <row r="88" spans="2:13" x14ac:dyDescent="0.25">
      <c r="B88" s="304"/>
      <c r="C88" s="304"/>
      <c r="D88" s="304"/>
      <c r="E88" s="304"/>
      <c r="G88" s="304"/>
    </row>
    <row r="89" spans="2:13" x14ac:dyDescent="0.25">
      <c r="B89" s="304"/>
      <c r="C89" s="304"/>
      <c r="D89" s="304"/>
      <c r="E89" s="304"/>
      <c r="G89" s="304"/>
    </row>
    <row r="90" spans="2:13" x14ac:dyDescent="0.25">
      <c r="B90" s="304"/>
      <c r="C90" s="304"/>
      <c r="D90" s="304"/>
      <c r="E90" s="304"/>
      <c r="G90" s="304"/>
    </row>
    <row r="91" spans="2:13" x14ac:dyDescent="0.25">
      <c r="B91" s="304"/>
      <c r="C91" s="304"/>
      <c r="D91" s="304"/>
      <c r="E91" s="304"/>
      <c r="G91" s="304"/>
      <c r="I91" s="360"/>
      <c r="J91" s="360"/>
      <c r="K91" s="360"/>
      <c r="L91" s="360"/>
      <c r="M91" s="360"/>
    </row>
    <row r="92" spans="2:13" x14ac:dyDescent="0.25">
      <c r="B92" s="304"/>
      <c r="C92" s="304"/>
      <c r="D92" s="304"/>
      <c r="E92" s="304"/>
      <c r="G92" s="304"/>
      <c r="I92" s="360"/>
      <c r="J92" s="360"/>
      <c r="K92" s="360"/>
      <c r="L92" s="360"/>
      <c r="M92" s="360"/>
    </row>
    <row r="93" spans="2:13" x14ac:dyDescent="0.25">
      <c r="B93" s="304"/>
      <c r="C93" s="304"/>
      <c r="D93" s="304"/>
      <c r="E93" s="304"/>
      <c r="G93" s="304"/>
      <c r="I93" s="360"/>
      <c r="J93" s="360"/>
      <c r="K93" s="360"/>
      <c r="L93" s="360"/>
      <c r="M93" s="360"/>
    </row>
    <row r="94" spans="2:13" x14ac:dyDescent="0.25">
      <c r="B94" s="304"/>
      <c r="C94" s="304"/>
      <c r="D94" s="304"/>
      <c r="E94" s="304"/>
      <c r="G94" s="304"/>
    </row>
    <row r="95" spans="2:13" x14ac:dyDescent="0.25">
      <c r="B95" s="304"/>
      <c r="C95" s="304"/>
      <c r="D95" s="304"/>
      <c r="E95" s="304"/>
      <c r="G95" s="304"/>
      <c r="I95" s="366"/>
      <c r="J95" s="366"/>
      <c r="K95" s="366"/>
      <c r="L95" s="366"/>
      <c r="M95" s="366"/>
    </row>
    <row r="96" spans="2:13" x14ac:dyDescent="0.25">
      <c r="B96" s="304"/>
      <c r="C96" s="304"/>
      <c r="D96" s="304"/>
      <c r="E96" s="304"/>
      <c r="G96" s="304"/>
      <c r="I96" s="366"/>
      <c r="J96" s="366"/>
      <c r="K96" s="366"/>
      <c r="L96" s="366"/>
      <c r="M96" s="366"/>
    </row>
    <row r="97" spans="2:7" x14ac:dyDescent="0.25">
      <c r="B97" s="304"/>
      <c r="C97" s="304"/>
      <c r="D97" s="304"/>
      <c r="E97" s="304"/>
      <c r="G97" s="304"/>
    </row>
    <row r="98" spans="2:7" x14ac:dyDescent="0.25">
      <c r="B98" s="304"/>
      <c r="C98" s="304"/>
      <c r="D98" s="304"/>
      <c r="E98" s="304"/>
      <c r="G98" s="304"/>
    </row>
    <row r="99" spans="2:7" x14ac:dyDescent="0.25">
      <c r="B99" s="304"/>
      <c r="C99" s="304"/>
      <c r="D99" s="304"/>
      <c r="E99" s="304"/>
      <c r="G99" s="304"/>
    </row>
    <row r="100" spans="2:7" x14ac:dyDescent="0.25">
      <c r="B100" s="304"/>
      <c r="C100" s="304"/>
      <c r="D100" s="304"/>
      <c r="E100" s="304"/>
      <c r="G100" s="304"/>
    </row>
    <row r="101" spans="2:7" x14ac:dyDescent="0.25">
      <c r="B101" s="304"/>
      <c r="C101" s="304"/>
      <c r="D101" s="304"/>
      <c r="E101" s="304"/>
      <c r="G101" s="304"/>
    </row>
    <row r="102" spans="2:7" x14ac:dyDescent="0.25">
      <c r="B102" s="304"/>
      <c r="C102" s="304"/>
      <c r="D102" s="304"/>
      <c r="E102" s="304"/>
      <c r="G102" s="304"/>
    </row>
    <row r="103" spans="2:7" x14ac:dyDescent="0.25">
      <c r="B103" s="304"/>
      <c r="C103" s="304"/>
      <c r="D103" s="304"/>
      <c r="E103" s="304"/>
      <c r="G103" s="304"/>
    </row>
    <row r="104" spans="2:7" x14ac:dyDescent="0.25">
      <c r="B104" s="304"/>
      <c r="C104" s="304"/>
      <c r="D104" s="304"/>
      <c r="E104" s="304"/>
      <c r="G104" s="304"/>
    </row>
    <row r="105" spans="2:7" x14ac:dyDescent="0.25">
      <c r="B105" s="304"/>
      <c r="C105" s="304"/>
      <c r="D105" s="304"/>
      <c r="E105" s="304"/>
      <c r="G105" s="304"/>
    </row>
    <row r="106" spans="2:7" x14ac:dyDescent="0.25">
      <c r="B106" s="304"/>
      <c r="C106" s="304"/>
      <c r="D106" s="304"/>
      <c r="E106" s="304"/>
      <c r="G106" s="304"/>
    </row>
    <row r="107" spans="2:7" x14ac:dyDescent="0.25">
      <c r="B107" s="304"/>
      <c r="C107" s="304"/>
      <c r="D107" s="304"/>
      <c r="E107" s="304"/>
      <c r="G107" s="304"/>
    </row>
    <row r="108" spans="2:7" x14ac:dyDescent="0.25">
      <c r="B108" s="304"/>
      <c r="C108" s="304"/>
      <c r="D108" s="304"/>
      <c r="E108" s="304"/>
      <c r="G108" s="304"/>
    </row>
    <row r="109" spans="2:7" x14ac:dyDescent="0.25">
      <c r="B109" s="304"/>
      <c r="C109" s="304"/>
      <c r="D109" s="304"/>
      <c r="E109" s="304"/>
      <c r="G109" s="304"/>
    </row>
    <row r="110" spans="2:7" x14ac:dyDescent="0.25">
      <c r="B110" s="304"/>
      <c r="C110" s="304"/>
      <c r="D110" s="304"/>
      <c r="E110" s="304"/>
      <c r="G110" s="304"/>
    </row>
    <row r="111" spans="2:7" x14ac:dyDescent="0.25">
      <c r="B111" s="304"/>
      <c r="C111" s="304"/>
      <c r="D111" s="304"/>
      <c r="E111" s="304"/>
      <c r="G111" s="304"/>
    </row>
    <row r="112" spans="2:7" x14ac:dyDescent="0.25">
      <c r="B112" s="304"/>
      <c r="C112" s="304"/>
      <c r="D112" s="304"/>
      <c r="E112" s="304"/>
      <c r="G112" s="304"/>
    </row>
    <row r="113" spans="2:7" x14ac:dyDescent="0.25">
      <c r="B113" s="304"/>
      <c r="C113" s="304"/>
      <c r="D113" s="304"/>
      <c r="E113" s="304"/>
      <c r="G113" s="304"/>
    </row>
    <row r="117" spans="2:7" x14ac:dyDescent="0.25">
      <c r="B117" s="304"/>
      <c r="C117" s="304"/>
      <c r="D117" s="304"/>
      <c r="E117" s="304"/>
      <c r="G117" s="304"/>
    </row>
    <row r="118" spans="2:7" x14ac:dyDescent="0.25">
      <c r="B118" s="304"/>
      <c r="C118" s="304"/>
      <c r="D118" s="304"/>
      <c r="E118" s="304"/>
      <c r="G118" s="304"/>
    </row>
    <row r="119" spans="2:7" x14ac:dyDescent="0.25">
      <c r="B119" s="304"/>
      <c r="C119" s="304"/>
      <c r="D119" s="304"/>
      <c r="E119" s="304"/>
      <c r="G119" s="304"/>
    </row>
    <row r="129" s="304" customFormat="1" x14ac:dyDescent="0.25"/>
    <row r="130" s="304" customFormat="1" x14ac:dyDescent="0.25"/>
    <row r="131" s="304" customFormat="1" x14ac:dyDescent="0.25"/>
    <row r="132" s="304" customFormat="1" x14ac:dyDescent="0.25"/>
    <row r="133" s="304" customFormat="1" x14ac:dyDescent="0.25"/>
    <row r="134" s="304" customFormat="1" x14ac:dyDescent="0.25"/>
    <row r="135" s="304" customFormat="1" x14ac:dyDescent="0.25"/>
    <row r="136" s="304" customFormat="1" x14ac:dyDescent="0.25"/>
    <row r="137" s="304" customFormat="1" x14ac:dyDescent="0.25"/>
    <row r="138" s="304" customFormat="1" x14ac:dyDescent="0.25"/>
    <row r="139" s="304" customFormat="1" x14ac:dyDescent="0.25"/>
    <row r="140" s="304" customFormat="1" x14ac:dyDescent="0.25"/>
    <row r="141" s="304" customFormat="1" x14ac:dyDescent="0.25"/>
    <row r="142" s="304" customFormat="1" x14ac:dyDescent="0.25"/>
    <row r="143" s="304" customFormat="1" x14ac:dyDescent="0.25"/>
    <row r="144" s="304" customFormat="1" x14ac:dyDescent="0.25"/>
    <row r="145" s="304" customFormat="1" x14ac:dyDescent="0.25"/>
    <row r="146" s="304" customFormat="1" x14ac:dyDescent="0.25"/>
    <row r="147" s="304" customFormat="1" x14ac:dyDescent="0.25"/>
    <row r="148" s="304" customFormat="1" x14ac:dyDescent="0.25"/>
    <row r="149" s="304" customFormat="1" x14ac:dyDescent="0.25"/>
    <row r="150" s="304" customFormat="1" x14ac:dyDescent="0.25"/>
    <row r="151" s="304" customFormat="1" x14ac:dyDescent="0.25"/>
    <row r="152" s="304" customFormat="1" x14ac:dyDescent="0.25"/>
    <row r="153" s="304" customFormat="1" x14ac:dyDescent="0.25"/>
    <row r="154" s="304" customFormat="1" x14ac:dyDescent="0.25"/>
    <row r="155" s="304" customFormat="1" x14ac:dyDescent="0.25"/>
    <row r="156" s="304" customFormat="1" x14ac:dyDescent="0.25"/>
    <row r="157" s="304" customFormat="1" x14ac:dyDescent="0.25"/>
    <row r="158" s="304" customFormat="1" x14ac:dyDescent="0.25"/>
    <row r="159" s="304" customFormat="1" x14ac:dyDescent="0.25"/>
    <row r="160" s="304" customFormat="1" x14ac:dyDescent="0.25"/>
    <row r="161" s="304" customFormat="1" x14ac:dyDescent="0.25"/>
    <row r="162" s="304" customFormat="1" x14ac:dyDescent="0.25"/>
    <row r="163" s="304" customFormat="1" x14ac:dyDescent="0.25"/>
    <row r="164" s="304" customFormat="1" x14ac:dyDescent="0.25"/>
    <row r="165" s="304" customFormat="1" x14ac:dyDescent="0.25"/>
    <row r="166" s="304" customFormat="1" x14ac:dyDescent="0.25"/>
    <row r="167" s="304" customFormat="1" x14ac:dyDescent="0.25"/>
  </sheetData>
  <mergeCells count="3">
    <mergeCell ref="A1:E1"/>
    <mergeCell ref="A26:C26"/>
    <mergeCell ref="A27:C2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zoomScale="80" zoomScaleNormal="80" workbookViewId="0">
      <selection activeCell="K25" sqref="K25"/>
    </sheetView>
  </sheetViews>
  <sheetFormatPr defaultColWidth="8.875" defaultRowHeight="15" x14ac:dyDescent="0.25"/>
  <cols>
    <col min="1" max="5" width="8.875" style="1"/>
    <col min="6" max="6" width="16.5" style="1" customWidth="1"/>
    <col min="7" max="7" width="11.625" style="1" customWidth="1"/>
    <col min="8" max="8" width="11.5" style="1" customWidth="1"/>
    <col min="9" max="9" width="8.875" style="1"/>
    <col min="10" max="10" width="20" style="1" customWidth="1"/>
    <col min="11" max="11" width="13.125" style="1" customWidth="1"/>
    <col min="12" max="12" width="11.875" style="1" customWidth="1"/>
    <col min="13" max="16384" width="8.875" style="1"/>
  </cols>
  <sheetData>
    <row r="1" spans="1:14" s="367" customFormat="1" ht="23.25" x14ac:dyDescent="0.35">
      <c r="F1" s="502" t="s">
        <v>435</v>
      </c>
      <c r="G1" s="502"/>
      <c r="H1" s="502"/>
      <c r="J1" s="502" t="s">
        <v>512</v>
      </c>
      <c r="K1" s="502"/>
      <c r="L1" s="502"/>
    </row>
    <row r="2" spans="1:14" s="18" customFormat="1" x14ac:dyDescent="0.25">
      <c r="F2" s="368" t="s">
        <v>436</v>
      </c>
      <c r="G2" s="368" t="s">
        <v>437</v>
      </c>
      <c r="H2" s="368" t="s">
        <v>438</v>
      </c>
      <c r="J2" s="368" t="s">
        <v>436</v>
      </c>
      <c r="K2" s="368" t="s">
        <v>437</v>
      </c>
      <c r="L2" s="368" t="s">
        <v>438</v>
      </c>
    </row>
    <row r="3" spans="1:14" s="18" customFormat="1" x14ac:dyDescent="0.25">
      <c r="F3" s="369"/>
      <c r="G3" s="369"/>
      <c r="H3" s="369"/>
    </row>
    <row r="4" spans="1:14" x14ac:dyDescent="0.25">
      <c r="A4" s="279" t="s">
        <v>439</v>
      </c>
      <c r="F4" s="370">
        <f>+'Agricultural BMPs (Existing)'!G25</f>
        <v>99085602.986999989</v>
      </c>
      <c r="G4" s="370">
        <f>+'Agricultural BMPs (Existing)'!D25</f>
        <v>3150570.1500000004</v>
      </c>
      <c r="H4" s="370">
        <f>+'Agricultural BMPs (Existing)'!E25</f>
        <v>213697.13400000002</v>
      </c>
      <c r="J4" s="504">
        <f>+'MMW Output'!K92</f>
        <v>3095729.5394521402</v>
      </c>
      <c r="K4" s="504">
        <f>+'MMW Output'!I92</f>
        <v>12787.234567901232</v>
      </c>
      <c r="L4" s="504">
        <f>+'MMW Output'!J92</f>
        <v>3595.8271604938277</v>
      </c>
    </row>
    <row r="5" spans="1:14" x14ac:dyDescent="0.25">
      <c r="F5" s="370"/>
      <c r="G5" s="370"/>
      <c r="H5" s="370"/>
    </row>
    <row r="6" spans="1:14" x14ac:dyDescent="0.25">
      <c r="A6" s="279" t="s">
        <v>440</v>
      </c>
      <c r="F6" s="370">
        <f>'Urban BMPs'!V28</f>
        <v>113405.68858708277</v>
      </c>
      <c r="G6" s="370">
        <f>'Urban BMPs'!X28</f>
        <v>28.633229012512782</v>
      </c>
      <c r="H6" s="370">
        <f>'Urban BMPs'!Y28</f>
        <v>50.261367570261577</v>
      </c>
      <c r="J6" s="370">
        <f>F6</f>
        <v>113405.68858708277</v>
      </c>
      <c r="K6" s="370">
        <f t="shared" ref="K6:L6" si="0">G6</f>
        <v>28.633229012512782</v>
      </c>
      <c r="L6" s="370">
        <f t="shared" si="0"/>
        <v>50.261367570261577</v>
      </c>
    </row>
    <row r="7" spans="1:14" x14ac:dyDescent="0.25">
      <c r="F7" s="370"/>
      <c r="G7" s="370"/>
      <c r="H7" s="370"/>
      <c r="N7" s="371" t="s">
        <v>513</v>
      </c>
    </row>
    <row r="8" spans="1:14" x14ac:dyDescent="0.25">
      <c r="A8" s="279" t="s">
        <v>441</v>
      </c>
      <c r="F8" s="370">
        <f>'Urban BMPs'!V30</f>
        <v>57500.12390261767</v>
      </c>
      <c r="G8" s="370">
        <f>'Urban BMPs'!X30</f>
        <v>87.000413223140498</v>
      </c>
      <c r="H8" s="370">
        <f>'Urban BMPs'!Y30</f>
        <v>96.003443526170798</v>
      </c>
      <c r="J8" s="370">
        <f>F8</f>
        <v>57500.12390261767</v>
      </c>
      <c r="K8" s="370">
        <f t="shared" ref="K8:L8" si="1">G8</f>
        <v>87.000413223140498</v>
      </c>
      <c r="L8" s="370">
        <f t="shared" si="1"/>
        <v>96.003443526170798</v>
      </c>
      <c r="N8" s="371" t="s">
        <v>514</v>
      </c>
    </row>
    <row r="9" spans="1:14" x14ac:dyDescent="0.25">
      <c r="F9" s="370"/>
      <c r="G9" s="370"/>
      <c r="H9" s="370"/>
      <c r="N9" s="371" t="s">
        <v>520</v>
      </c>
    </row>
    <row r="10" spans="1:14" x14ac:dyDescent="0.25">
      <c r="A10" s="279" t="s">
        <v>442</v>
      </c>
      <c r="F10" s="370">
        <f>+'Agricultural BMPs (Existing)'!J86</f>
        <v>9220917.7816105783</v>
      </c>
      <c r="G10" s="370">
        <f>+'Agricultural BMPs (Existing)'!K86</f>
        <v>329644.42342364398</v>
      </c>
      <c r="H10" s="370">
        <f>+'Agricultural BMPs (Existing)'!L86</f>
        <v>66675.745987597227</v>
      </c>
      <c r="J10" s="370">
        <f>F10</f>
        <v>9220917.7816105783</v>
      </c>
      <c r="K10" s="370">
        <f t="shared" ref="K10:L10" si="2">G10</f>
        <v>329644.42342364398</v>
      </c>
      <c r="L10" s="370">
        <f t="shared" si="2"/>
        <v>66675.745987597227</v>
      </c>
    </row>
    <row r="11" spans="1:14" x14ac:dyDescent="0.25">
      <c r="F11" s="370"/>
      <c r="G11" s="370"/>
      <c r="H11" s="370"/>
    </row>
    <row r="12" spans="1:14" x14ac:dyDescent="0.25">
      <c r="A12" s="279" t="s">
        <v>443</v>
      </c>
      <c r="F12" s="370">
        <f>+'Agricultural BMPs (Proposed)'!J86</f>
        <v>1343051.9331323835</v>
      </c>
      <c r="G12" s="370">
        <f>+'Agricultural BMPs (Proposed)'!K86</f>
        <v>310671.04602930706</v>
      </c>
      <c r="H12" s="370">
        <f>+'Agricultural BMPs (Proposed)'!L86</f>
        <v>55849.844406411918</v>
      </c>
      <c r="J12" s="370">
        <f>F12</f>
        <v>1343051.9331323835</v>
      </c>
      <c r="K12" s="370">
        <f t="shared" ref="K12:L12" si="3">G12</f>
        <v>310671.04602930706</v>
      </c>
      <c r="L12" s="370">
        <f t="shared" si="3"/>
        <v>55849.844406411918</v>
      </c>
    </row>
    <row r="13" spans="1:14" x14ac:dyDescent="0.25">
      <c r="F13" s="370"/>
      <c r="G13" s="370"/>
      <c r="H13" s="370"/>
    </row>
    <row r="14" spans="1:14" x14ac:dyDescent="0.25">
      <c r="F14" s="370"/>
      <c r="G14" s="370"/>
      <c r="H14" s="370"/>
    </row>
    <row r="15" spans="1:14" x14ac:dyDescent="0.25">
      <c r="A15" s="18" t="s">
        <v>444</v>
      </c>
      <c r="F15" s="370">
        <f>SUM(F6:F12)</f>
        <v>10734875.527232662</v>
      </c>
      <c r="G15" s="370">
        <f>SUM(G6:G12)</f>
        <v>640431.10309518664</v>
      </c>
      <c r="H15" s="370">
        <f>SUM(H6:H12)</f>
        <v>122671.85520510559</v>
      </c>
      <c r="J15" s="505">
        <f>SUM(J6:J12)</f>
        <v>10734875.527232662</v>
      </c>
      <c r="K15" s="505">
        <f t="shared" ref="K15:L15" si="4">SUM(K6:K12)</f>
        <v>640431.10309518664</v>
      </c>
      <c r="L15" s="505">
        <f t="shared" si="4"/>
        <v>122671.85520510559</v>
      </c>
    </row>
    <row r="16" spans="1:14" x14ac:dyDescent="0.25">
      <c r="A16" s="18" t="s">
        <v>445</v>
      </c>
      <c r="F16" s="370">
        <f>F4-F15</f>
        <v>88350727.459767327</v>
      </c>
      <c r="G16" s="370">
        <f>G4-G15</f>
        <v>2510139.0469048135</v>
      </c>
      <c r="H16" s="370">
        <f>H4-H15</f>
        <v>91025.278794894431</v>
      </c>
      <c r="J16" s="505">
        <f>J4-J15</f>
        <v>-7639145.9877805216</v>
      </c>
      <c r="K16" s="505">
        <f t="shared" ref="K16:L16" si="5">K4-K15</f>
        <v>-627643.86852728541</v>
      </c>
      <c r="L16" s="505">
        <f t="shared" si="5"/>
        <v>-119076.02804461175</v>
      </c>
    </row>
    <row r="17" spans="1:12" x14ac:dyDescent="0.25">
      <c r="A17" s="506" t="s">
        <v>446</v>
      </c>
      <c r="B17" s="507"/>
      <c r="C17" s="507"/>
      <c r="D17" s="507"/>
      <c r="E17" s="507"/>
      <c r="F17" s="508">
        <f>(F15/F4)*100</f>
        <v>10.833940757913211</v>
      </c>
      <c r="G17" s="508">
        <f>(G15/G4)*100</f>
        <v>20.327466858504533</v>
      </c>
      <c r="H17" s="508">
        <f>(H15/H4)*100</f>
        <v>57.404539269630817</v>
      </c>
      <c r="I17" s="507"/>
      <c r="J17" s="509">
        <f>(J15/J4)*100</f>
        <v>346.76399828947729</v>
      </c>
      <c r="K17" s="509">
        <f t="shared" ref="K17:L17" si="6">(K15/K4)*100</f>
        <v>5008.3628300900127</v>
      </c>
      <c r="L17" s="509">
        <f t="shared" si="6"/>
        <v>3411.5058852900661</v>
      </c>
    </row>
    <row r="18" spans="1:12" x14ac:dyDescent="0.25">
      <c r="J18" s="276"/>
      <c r="K18" s="276"/>
      <c r="L18" s="276"/>
    </row>
    <row r="19" spans="1:12" x14ac:dyDescent="0.25">
      <c r="J19" s="276"/>
      <c r="K19" s="276"/>
      <c r="L19" s="276"/>
    </row>
    <row r="20" spans="1:12" x14ac:dyDescent="0.25">
      <c r="A20" s="18" t="s">
        <v>447</v>
      </c>
      <c r="F20" s="370">
        <f>F4-(F6+F10)</f>
        <v>89751279.516802326</v>
      </c>
      <c r="G20" s="370">
        <f t="shared" ref="G20:H20" si="7">G4-(G6+G10)</f>
        <v>2820897.0933473441</v>
      </c>
      <c r="H20" s="370">
        <f t="shared" si="7"/>
        <v>146971.12664483255</v>
      </c>
      <c r="J20" s="505">
        <f>J4-(J6+J10)</f>
        <v>-6238593.9307455206</v>
      </c>
      <c r="K20" s="505">
        <f t="shared" ref="K20:L20" si="8">K4-(K6+K10)</f>
        <v>-316885.82208475523</v>
      </c>
      <c r="L20" s="505">
        <f t="shared" si="8"/>
        <v>-63130.18019467366</v>
      </c>
    </row>
    <row r="21" spans="1:12" x14ac:dyDescent="0.25">
      <c r="A21" s="18" t="s">
        <v>448</v>
      </c>
      <c r="F21" s="370">
        <f>F8+F12</f>
        <v>1400552.0570350012</v>
      </c>
      <c r="G21" s="370">
        <f>G8+G12</f>
        <v>310758.04644253018</v>
      </c>
      <c r="H21" s="370">
        <f>H8+H12</f>
        <v>55945.847849938087</v>
      </c>
      <c r="J21" s="505">
        <f>J8+J12</f>
        <v>1400552.0570350012</v>
      </c>
      <c r="K21" s="505">
        <f t="shared" ref="K21:L21" si="9">K8+K12</f>
        <v>310758.04644253018</v>
      </c>
      <c r="L21" s="505">
        <f t="shared" si="9"/>
        <v>55945.847849938087</v>
      </c>
    </row>
    <row r="22" spans="1:12" x14ac:dyDescent="0.25">
      <c r="A22" s="506" t="s">
        <v>449</v>
      </c>
      <c r="B22" s="507"/>
      <c r="C22" s="507"/>
      <c r="D22" s="507"/>
      <c r="E22" s="507"/>
      <c r="F22" s="508">
        <f>(F21/F20)*100</f>
        <v>1.560481437785858</v>
      </c>
      <c r="G22" s="508">
        <f t="shared" ref="G22:H22" si="10">(G21/G20)*100</f>
        <v>11.016284400285487</v>
      </c>
      <c r="H22" s="508">
        <f t="shared" si="10"/>
        <v>38.065876697765063</v>
      </c>
      <c r="I22" s="507"/>
      <c r="J22" s="509">
        <f>(J21/J20)*100</f>
        <v>-22.449803154084005</v>
      </c>
      <c r="K22" s="509">
        <f t="shared" ref="K22:L22" si="11">(K21/K20)*100</f>
        <v>-98.066251244088136</v>
      </c>
      <c r="L22" s="509">
        <f t="shared" si="11"/>
        <v>-88.619813340336833</v>
      </c>
    </row>
    <row r="26" spans="1:12" s="279" customFormat="1" x14ac:dyDescent="0.25">
      <c r="A26" s="279" t="s">
        <v>450</v>
      </c>
    </row>
    <row r="27" spans="1:12" s="279" customFormat="1" x14ac:dyDescent="0.25">
      <c r="A27" s="279" t="s">
        <v>451</v>
      </c>
    </row>
  </sheetData>
  <mergeCells count="2">
    <mergeCell ref="F1:H1"/>
    <mergeCell ref="J1:L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topLeftCell="A14" zoomScale="80" zoomScaleNormal="80" workbookViewId="0">
      <selection activeCell="B43" sqref="B43"/>
    </sheetView>
  </sheetViews>
  <sheetFormatPr defaultColWidth="8.875" defaultRowHeight="15" x14ac:dyDescent="0.25"/>
  <cols>
    <col min="1" max="1" width="13.5" style="1" customWidth="1"/>
    <col min="2" max="2" width="76.5" style="1" customWidth="1"/>
    <col min="3" max="5" width="11.875" style="1" customWidth="1"/>
    <col min="6" max="16384" width="8.875" style="1"/>
  </cols>
  <sheetData>
    <row r="1" spans="1:13" x14ac:dyDescent="0.25">
      <c r="A1" s="11" t="s">
        <v>7</v>
      </c>
      <c r="B1" s="12"/>
    </row>
    <row r="2" spans="1:13" ht="18.75" customHeight="1" x14ac:dyDescent="0.25">
      <c r="A2" s="450" t="str">
        <f>CONCATENATE("Watershed: ",'MMW Output'!C15)</f>
        <v>Watershed: User Specified</v>
      </c>
      <c r="B2" s="451"/>
    </row>
    <row r="3" spans="1:13" ht="26.25" customHeight="1" x14ac:dyDescent="0.3">
      <c r="A3" s="13" t="str">
        <f>CONCATENATE("Year: ",'MMW Output'!C16)</f>
        <v>Year: User Specified</v>
      </c>
      <c r="B3" s="14"/>
    </row>
    <row r="4" spans="1:13" ht="18" customHeight="1" x14ac:dyDescent="0.3">
      <c r="A4" s="15" t="s">
        <v>8</v>
      </c>
      <c r="B4" s="14"/>
    </row>
    <row r="5" spans="1:13" ht="72" customHeight="1" x14ac:dyDescent="0.25">
      <c r="A5" s="16" t="s">
        <v>9</v>
      </c>
      <c r="B5" s="12" t="s">
        <v>10</v>
      </c>
    </row>
    <row r="6" spans="1:13" ht="69" customHeight="1" x14ac:dyDescent="0.25">
      <c r="A6" s="12"/>
      <c r="B6" s="12" t="s">
        <v>11</v>
      </c>
    </row>
    <row r="7" spans="1:13" x14ac:dyDescent="0.25">
      <c r="A7" s="12"/>
      <c r="B7" s="12"/>
    </row>
    <row r="8" spans="1:13" x14ac:dyDescent="0.25">
      <c r="A8" s="17" t="s">
        <v>12</v>
      </c>
      <c r="B8" s="12"/>
      <c r="C8" s="18"/>
      <c r="D8" s="18"/>
      <c r="E8" s="18"/>
      <c r="F8" s="18"/>
      <c r="G8" s="18"/>
      <c r="H8" s="18"/>
      <c r="I8" s="18"/>
      <c r="J8" s="18"/>
      <c r="K8" s="18"/>
      <c r="L8" s="18"/>
      <c r="M8" s="18"/>
    </row>
    <row r="9" spans="1:13" ht="96" customHeight="1" x14ac:dyDescent="0.25">
      <c r="A9" s="17"/>
      <c r="B9" s="19" t="s">
        <v>13</v>
      </c>
      <c r="C9" s="18"/>
      <c r="D9" s="18"/>
      <c r="E9" s="18"/>
      <c r="F9" s="18"/>
      <c r="G9" s="18"/>
      <c r="H9" s="18"/>
      <c r="I9" s="18"/>
      <c r="J9" s="18"/>
      <c r="K9" s="18"/>
      <c r="L9" s="18"/>
      <c r="M9" s="18"/>
    </row>
    <row r="10" spans="1:13" ht="85.5" customHeight="1" x14ac:dyDescent="0.25">
      <c r="A10" s="17"/>
      <c r="B10" s="12" t="s">
        <v>14</v>
      </c>
      <c r="C10" s="18"/>
      <c r="D10" s="18"/>
      <c r="E10" s="18"/>
      <c r="F10" s="18"/>
      <c r="G10" s="18"/>
      <c r="H10" s="18"/>
      <c r="I10" s="18"/>
      <c r="J10" s="18"/>
      <c r="K10" s="18"/>
      <c r="L10" s="18"/>
      <c r="M10" s="18"/>
    </row>
    <row r="11" spans="1:13" ht="141.75" customHeight="1" x14ac:dyDescent="0.25">
      <c r="B11" s="12" t="s">
        <v>15</v>
      </c>
      <c r="C11" s="18"/>
      <c r="D11" s="18"/>
      <c r="E11" s="18"/>
      <c r="F11" s="18"/>
      <c r="G11" s="18"/>
      <c r="H11" s="18"/>
      <c r="I11" s="18"/>
      <c r="J11" s="18"/>
      <c r="K11" s="18"/>
      <c r="L11" s="18"/>
      <c r="M11" s="18"/>
    </row>
    <row r="12" spans="1:13" ht="52.5" customHeight="1" x14ac:dyDescent="0.25">
      <c r="A12" s="12"/>
      <c r="B12" s="12" t="s">
        <v>467</v>
      </c>
    </row>
    <row r="13" spans="1:13" ht="51.75" customHeight="1" x14ac:dyDescent="0.25">
      <c r="B13" s="12" t="s">
        <v>16</v>
      </c>
    </row>
    <row r="15" spans="1:13" x14ac:dyDescent="0.25">
      <c r="B15" s="1" t="s">
        <v>468</v>
      </c>
    </row>
    <row r="16" spans="1:13" ht="60" x14ac:dyDescent="0.25">
      <c r="B16" s="390" t="s">
        <v>24</v>
      </c>
      <c r="C16" s="395" t="s">
        <v>469</v>
      </c>
      <c r="D16" s="395" t="s">
        <v>470</v>
      </c>
      <c r="E16" s="395" t="s">
        <v>471</v>
      </c>
    </row>
    <row r="17" spans="2:5" s="12" customFormat="1" ht="47.25" x14ac:dyDescent="0.25">
      <c r="B17" s="395" t="s">
        <v>24</v>
      </c>
      <c r="C17" s="391" t="s">
        <v>476</v>
      </c>
      <c r="D17" s="391" t="s">
        <v>477</v>
      </c>
      <c r="E17" s="391" t="s">
        <v>478</v>
      </c>
    </row>
    <row r="18" spans="2:5" ht="15.75" x14ac:dyDescent="0.25">
      <c r="B18" s="392" t="s">
        <v>46</v>
      </c>
      <c r="C18"/>
      <c r="D18"/>
      <c r="E18">
        <f>IF(ISNUMBER(Impervious[[#This Row],[impervFraction_manualEntry]]),Impervious[[#This Row],[impervFraction_manualEntry]],Impervious[[#This Row],[impervFraction_defaultMapShed]])</f>
        <v>0</v>
      </c>
    </row>
    <row r="19" spans="2:5" ht="15.75" x14ac:dyDescent="0.25">
      <c r="B19" s="393" t="s">
        <v>47</v>
      </c>
      <c r="C19"/>
      <c r="D19"/>
      <c r="E19">
        <f>IF(ISNUMBER(Impervious[[#This Row],[impervFraction_manualEntry]]),Impervious[[#This Row],[impervFraction_manualEntry]],Impervious[[#This Row],[impervFraction_defaultMapShed]])</f>
        <v>0</v>
      </c>
    </row>
    <row r="20" spans="2:5" ht="15.75" x14ac:dyDescent="0.25">
      <c r="B20" s="392" t="s">
        <v>48</v>
      </c>
      <c r="C20"/>
      <c r="D20"/>
      <c r="E20">
        <f>IF(ISNUMBER(Impervious[[#This Row],[impervFraction_manualEntry]]),Impervious[[#This Row],[impervFraction_manualEntry]],Impervious[[#This Row],[impervFraction_defaultMapShed]])</f>
        <v>0</v>
      </c>
    </row>
    <row r="21" spans="2:5" ht="15.75" x14ac:dyDescent="0.25">
      <c r="B21" s="393" t="s">
        <v>50</v>
      </c>
      <c r="C21"/>
      <c r="D21"/>
      <c r="E21">
        <f>IF(ISNUMBER(Impervious[[#This Row],[impervFraction_manualEntry]]),Impervious[[#This Row],[impervFraction_manualEntry]],Impervious[[#This Row],[impervFraction_defaultMapShed]])</f>
        <v>0</v>
      </c>
    </row>
    <row r="22" spans="2:5" ht="15.75" x14ac:dyDescent="0.25">
      <c r="B22" s="393" t="s">
        <v>51</v>
      </c>
      <c r="C22"/>
      <c r="D22"/>
      <c r="E22" s="394">
        <f>IF(ISNUMBER(Impervious[[#This Row],[impervFraction_manualEntry]]),Impervious[[#This Row],[impervFraction_manualEntry]],Impervious[[#This Row],[impervFraction_defaultMapShed]])</f>
        <v>0</v>
      </c>
    </row>
    <row r="23" spans="2:5" ht="15.75" x14ac:dyDescent="0.25">
      <c r="B23" s="393" t="s">
        <v>52</v>
      </c>
      <c r="C23"/>
      <c r="D23"/>
      <c r="E23" s="394">
        <f>IF(ISNUMBER(Impervious[[#This Row],[impervFraction_manualEntry]]),Impervious[[#This Row],[impervFraction_manualEntry]],Impervious[[#This Row],[impervFraction_defaultMapShed]])</f>
        <v>0</v>
      </c>
    </row>
    <row r="24" spans="2:5" ht="15.75" x14ac:dyDescent="0.25">
      <c r="B24" s="393" t="s">
        <v>53</v>
      </c>
      <c r="C24"/>
      <c r="D24"/>
      <c r="E24" s="394">
        <f>IF(ISNUMBER(Impervious[[#This Row],[impervFraction_manualEntry]]),Impervious[[#This Row],[impervFraction_manualEntry]],Impervious[[#This Row],[impervFraction_defaultMapShed]])</f>
        <v>0</v>
      </c>
    </row>
    <row r="25" spans="2:5" ht="15.75" x14ac:dyDescent="0.25">
      <c r="B25" s="393" t="s">
        <v>54</v>
      </c>
      <c r="C25"/>
      <c r="D25"/>
      <c r="E25" s="394">
        <f>IF(ISNUMBER(Impervious[[#This Row],[impervFraction_manualEntry]]),Impervious[[#This Row],[impervFraction_manualEntry]],Impervious[[#This Row],[impervFraction_defaultMapShed]])</f>
        <v>0</v>
      </c>
    </row>
    <row r="26" spans="2:5" ht="15.75" x14ac:dyDescent="0.25">
      <c r="B26" s="393" t="s">
        <v>55</v>
      </c>
      <c r="C26"/>
      <c r="D26"/>
      <c r="E26" s="394">
        <f>IF(ISNUMBER(Impervious[[#This Row],[impervFraction_manualEntry]]),Impervious[[#This Row],[impervFraction_manualEntry]],Impervious[[#This Row],[impervFraction_defaultMapShed]])</f>
        <v>0</v>
      </c>
    </row>
    <row r="27" spans="2:5" ht="15.75" x14ac:dyDescent="0.25">
      <c r="B27" s="393" t="s">
        <v>56</v>
      </c>
      <c r="C27"/>
      <c r="D27"/>
      <c r="E27" s="394">
        <f>IF(ISNUMBER(Impervious[[#This Row],[impervFraction_manualEntry]]),Impervious[[#This Row],[impervFraction_manualEntry]],Impervious[[#This Row],[impervFraction_defaultMapShed]])</f>
        <v>0</v>
      </c>
    </row>
    <row r="28" spans="2:5" ht="15.75" x14ac:dyDescent="0.25">
      <c r="B28" s="393" t="s">
        <v>57</v>
      </c>
      <c r="C28">
        <v>0.15</v>
      </c>
      <c r="D28"/>
      <c r="E28" s="394">
        <f>IF(ISNUMBER(Impervious[[#This Row],[impervFraction_manualEntry]]),Impervious[[#This Row],[impervFraction_manualEntry]],Impervious[[#This Row],[impervFraction_defaultMapShed]])</f>
        <v>0.15</v>
      </c>
    </row>
    <row r="29" spans="2:5" ht="15.75" x14ac:dyDescent="0.25">
      <c r="B29" s="393" t="s">
        <v>58</v>
      </c>
      <c r="C29">
        <v>0.52</v>
      </c>
      <c r="D29"/>
      <c r="E29" s="394">
        <f>IF(ISNUMBER(Impervious[[#This Row],[impervFraction_manualEntry]]),Impervious[[#This Row],[impervFraction_manualEntry]],Impervious[[#This Row],[impervFraction_defaultMapShed]])</f>
        <v>0.52</v>
      </c>
    </row>
    <row r="30" spans="2:5" ht="15.75" x14ac:dyDescent="0.25">
      <c r="B30" s="393" t="s">
        <v>59</v>
      </c>
      <c r="C30">
        <v>0.87</v>
      </c>
      <c r="D30"/>
      <c r="E30" s="394">
        <f>IF(ISNUMBER(Impervious[[#This Row],[impervFraction_manualEntry]]),Impervious[[#This Row],[impervFraction_manualEntry]],Impervious[[#This Row],[impervFraction_defaultMapShed]])</f>
        <v>0.87</v>
      </c>
    </row>
    <row r="31" spans="2:5" ht="15.75" x14ac:dyDescent="0.25">
      <c r="B31" s="393" t="s">
        <v>60</v>
      </c>
      <c r="C31">
        <v>0.15</v>
      </c>
      <c r="D31"/>
      <c r="E31" s="394">
        <f>IF(ISNUMBER(Impervious[[#This Row],[impervFraction_manualEntry]]),Impervious[[#This Row],[impervFraction_manualEntry]],Impervious[[#This Row],[impervFraction_defaultMapShed]])</f>
        <v>0.15</v>
      </c>
    </row>
    <row r="32" spans="2:5" ht="15.75" x14ac:dyDescent="0.25">
      <c r="B32" s="393" t="s">
        <v>61</v>
      </c>
      <c r="C32">
        <v>0.52</v>
      </c>
      <c r="D32"/>
      <c r="E32" s="394">
        <f>IF(ISNUMBER(Impervious[[#This Row],[impervFraction_manualEntry]]),Impervious[[#This Row],[impervFraction_manualEntry]],Impervious[[#This Row],[impervFraction_defaultMapShed]])</f>
        <v>0.52</v>
      </c>
    </row>
    <row r="33" spans="2:6" ht="15.75" x14ac:dyDescent="0.25">
      <c r="B33" s="393" t="s">
        <v>62</v>
      </c>
      <c r="C33">
        <v>0.87</v>
      </c>
      <c r="D33"/>
      <c r="E33" s="394">
        <f>IF(ISNUMBER(Impervious[[#This Row],[impervFraction_manualEntry]]),Impervious[[#This Row],[impervFraction_manualEntry]],Impervious[[#This Row],[impervFraction_defaultMapShed]])</f>
        <v>0.87</v>
      </c>
    </row>
    <row r="34" spans="2:6" ht="15.75" x14ac:dyDescent="0.25">
      <c r="B34" s="393" t="s">
        <v>369</v>
      </c>
      <c r="C34">
        <v>0.15</v>
      </c>
      <c r="D34"/>
      <c r="E34" s="394">
        <f>IF(ISNUMBER(Impervious[[#This Row],[impervFraction_manualEntry]]),Impervious[[#This Row],[impervFraction_manualEntry]],Impervious[[#This Row],[impervFraction_defaultMapShed]])</f>
        <v>0.15</v>
      </c>
    </row>
    <row r="35" spans="2:6" ht="15.75" x14ac:dyDescent="0.25">
      <c r="B35" s="393" t="s">
        <v>472</v>
      </c>
      <c r="C35">
        <v>0.52</v>
      </c>
      <c r="D35"/>
      <c r="E35" s="394">
        <f>IF(ISNUMBER(Impervious[[#This Row],[impervFraction_manualEntry]]),Impervious[[#This Row],[impervFraction_manualEntry]],Impervious[[#This Row],[impervFraction_defaultMapShed]])</f>
        <v>0.52</v>
      </c>
    </row>
    <row r="36" spans="2:6" ht="15.75" x14ac:dyDescent="0.25">
      <c r="B36" s="393" t="s">
        <v>371</v>
      </c>
      <c r="C36">
        <v>0.87</v>
      </c>
      <c r="D36"/>
      <c r="E36" s="394">
        <f>IF(ISNUMBER(Impervious[[#This Row],[impervFraction_manualEntry]]),Impervious[[#This Row],[impervFraction_manualEntry]],Impervious[[#This Row],[impervFraction_defaultMapShed]])</f>
        <v>0.87</v>
      </c>
    </row>
    <row r="37" spans="2:6" ht="15.75" x14ac:dyDescent="0.25">
      <c r="B37" s="393" t="s">
        <v>473</v>
      </c>
      <c r="C37">
        <v>0.15</v>
      </c>
      <c r="D37"/>
      <c r="E37" s="394">
        <f>IF(ISNUMBER(Impervious[[#This Row],[impervFraction_manualEntry]]),Impervious[[#This Row],[impervFraction_manualEntry]],Impervious[[#This Row],[impervFraction_defaultMapShed]])</f>
        <v>0.15</v>
      </c>
    </row>
    <row r="38" spans="2:6" ht="15.75" x14ac:dyDescent="0.25">
      <c r="B38" s="393" t="s">
        <v>474</v>
      </c>
      <c r="C38">
        <v>0.52</v>
      </c>
      <c r="D38"/>
      <c r="E38" s="394">
        <f>IF(ISNUMBER(Impervious[[#This Row],[impervFraction_manualEntry]]),Impervious[[#This Row],[impervFraction_manualEntry]],Impervious[[#This Row],[impervFraction_defaultMapShed]])</f>
        <v>0.52</v>
      </c>
    </row>
    <row r="39" spans="2:6" ht="15.75" x14ac:dyDescent="0.25">
      <c r="B39" s="393" t="s">
        <v>475</v>
      </c>
      <c r="C39">
        <v>0.87</v>
      </c>
      <c r="D39"/>
      <c r="E39" s="394">
        <f>IF(ISNUMBER(Impervious[[#This Row],[impervFraction_manualEntry]]),Impervious[[#This Row],[impervFraction_manualEntry]],Impervious[[#This Row],[impervFraction_defaultMapShed]])</f>
        <v>0.87</v>
      </c>
    </row>
    <row r="41" spans="2:6" x14ac:dyDescent="0.25">
      <c r="B41" s="1" t="s">
        <v>486</v>
      </c>
    </row>
    <row r="42" spans="2:6" ht="15.75" x14ac:dyDescent="0.25">
      <c r="B42" s="396" t="s">
        <v>368</v>
      </c>
      <c r="C42" t="s">
        <v>350</v>
      </c>
      <c r="D42" t="s">
        <v>351</v>
      </c>
      <c r="E42" s="397" t="s">
        <v>352</v>
      </c>
      <c r="F42" s="397" t="s">
        <v>479</v>
      </c>
    </row>
    <row r="43" spans="2:6" ht="15.75" x14ac:dyDescent="0.25">
      <c r="B43" t="s">
        <v>480</v>
      </c>
      <c r="C43" s="398">
        <f>0.1</f>
        <v>0.1</v>
      </c>
      <c r="D43" s="398">
        <f t="shared" ref="D43:E43" si="0">0.1</f>
        <v>0.1</v>
      </c>
      <c r="E43" s="398">
        <f t="shared" si="0"/>
        <v>0.1</v>
      </c>
      <c r="F43" s="394">
        <v>20</v>
      </c>
    </row>
    <row r="44" spans="2:6" ht="15.75" x14ac:dyDescent="0.25">
      <c r="B44"/>
      <c r="C44"/>
      <c r="D44"/>
      <c r="E44"/>
      <c r="F44"/>
    </row>
    <row r="45" spans="2:6" ht="15.75" x14ac:dyDescent="0.25">
      <c r="B45" s="396" t="s">
        <v>481</v>
      </c>
      <c r="C45" t="s">
        <v>482</v>
      </c>
      <c r="D45" t="s">
        <v>483</v>
      </c>
      <c r="E45" t="s">
        <v>484</v>
      </c>
      <c r="F45"/>
    </row>
    <row r="46" spans="2:6" ht="15.75" x14ac:dyDescent="0.25">
      <c r="B46" t="s">
        <v>485</v>
      </c>
      <c r="C46">
        <v>115</v>
      </c>
      <c r="D46">
        <v>0.17399999999999999</v>
      </c>
      <c r="E46">
        <v>0.192</v>
      </c>
      <c r="F46"/>
    </row>
  </sheetData>
  <mergeCells count="1">
    <mergeCell ref="A2:B2"/>
  </mergeCells>
  <pageMargins left="0.7" right="0.7" top="0.75" bottom="0.75" header="0.3" footer="0.3"/>
  <pageSetup orientation="portrait" r:id="rId1"/>
  <headerFooter>
    <oddHeader>&amp;L&amp;"-,Bold"&amp;14Look-Up Table: Christina Basin MapShed Land Use Loading Rates</oddHeader>
    <oddFooter>&amp;L&amp;"Arial,Regular"&amp;9Section 1: Instructions and O&amp;Overview&amp;C&amp;"Arial,Regular"&amp;9Page &amp;P of &amp;N&amp;R&amp;"Arial,Regular"&amp;9Christina Basin Loading Rates Tool (May 5, 2017)</oddFooter>
  </headerFooter>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3"/>
  <sheetViews>
    <sheetView topLeftCell="H8" zoomScale="80" zoomScaleNormal="80" workbookViewId="0">
      <selection activeCell="P17" sqref="P17"/>
    </sheetView>
  </sheetViews>
  <sheetFormatPr defaultColWidth="11" defaultRowHeight="15.75" x14ac:dyDescent="0.25"/>
  <cols>
    <col min="1" max="1" width="3.375" style="21" customWidth="1"/>
    <col min="2" max="2" width="16.5" style="21" customWidth="1"/>
    <col min="3" max="3" width="13" style="21" customWidth="1"/>
    <col min="4" max="4" width="10.875" style="21" customWidth="1"/>
    <col min="5" max="5" width="14.375" style="21" customWidth="1"/>
    <col min="6" max="6" width="10.875" style="21" customWidth="1"/>
    <col min="7" max="7" width="15.625" style="21" customWidth="1"/>
    <col min="8" max="8" width="9.5" style="21" customWidth="1"/>
    <col min="9" max="9" width="10.875" style="21" customWidth="1"/>
    <col min="10" max="10" width="13.375" style="21" customWidth="1"/>
    <col min="11" max="11" width="9.5" style="21" customWidth="1"/>
    <col min="12" max="12" width="10.875" style="21" customWidth="1"/>
    <col min="13" max="13" width="16" style="21" customWidth="1"/>
    <col min="14" max="14" width="10.875" style="23" customWidth="1"/>
    <col min="15" max="15" width="31.125" style="21" customWidth="1"/>
    <col min="16" max="16" width="32.375" style="22" customWidth="1"/>
    <col min="17" max="17" width="27.125" style="21" customWidth="1"/>
    <col min="18" max="18" width="10.875" style="21" customWidth="1"/>
    <col min="19" max="19" width="30" style="21" customWidth="1"/>
    <col min="20" max="20" width="31.125" style="21" customWidth="1"/>
    <col min="21" max="21" width="31.625" style="21" customWidth="1"/>
    <col min="22" max="22" width="26" style="21" customWidth="1"/>
    <col min="23" max="23" width="10.875" style="21" customWidth="1"/>
    <col min="24" max="24" width="30" style="21" customWidth="1"/>
    <col min="25" max="25" width="31.125" style="21" customWidth="1"/>
    <col min="26" max="26" width="31.625" style="21" customWidth="1"/>
    <col min="27" max="27" width="26" style="21" customWidth="1"/>
    <col min="28" max="28" width="14.625" style="21" customWidth="1"/>
  </cols>
  <sheetData>
    <row r="1" spans="1:28" x14ac:dyDescent="0.25">
      <c r="A1" s="20" t="s">
        <v>17</v>
      </c>
      <c r="B1" s="20"/>
      <c r="C1" s="20"/>
      <c r="D1" s="20"/>
      <c r="E1" s="20"/>
      <c r="F1" s="20"/>
      <c r="G1" s="20"/>
      <c r="H1" s="20"/>
      <c r="I1" s="20"/>
      <c r="J1" s="20"/>
    </row>
    <row r="3" spans="1:28" x14ac:dyDescent="0.25">
      <c r="A3" s="20" t="str">
        <f>CONCATENATE("Watershed: ",'MMW Output'!B3)</f>
        <v>Watershed: User Specified</v>
      </c>
      <c r="B3" s="20"/>
      <c r="C3" s="20"/>
    </row>
    <row r="4" spans="1:28" x14ac:dyDescent="0.25">
      <c r="A4" s="20"/>
      <c r="B4" s="20"/>
      <c r="C4" s="20"/>
    </row>
    <row r="5" spans="1:28" x14ac:dyDescent="0.25">
      <c r="A5" s="20" t="str">
        <f>CONCATENATE("Year: ",'MMW Output'!C16)</f>
        <v>Year: User Specified</v>
      </c>
      <c r="B5" s="20"/>
      <c r="C5" s="20"/>
      <c r="D5" s="23"/>
      <c r="E5" s="23"/>
      <c r="F5" s="23"/>
      <c r="G5" s="104"/>
    </row>
    <row r="6" spans="1:28" x14ac:dyDescent="0.25">
      <c r="A6" s="21" t="str">
        <f>CONCATENATE("Source File: ",'MMW Output'!$C$14)</f>
        <v>Source File: User Specified</v>
      </c>
      <c r="D6" s="23"/>
      <c r="E6" s="23"/>
      <c r="F6" s="23"/>
      <c r="G6" s="24"/>
      <c r="I6" s="21">
        <f>COLUMN(LoadRates[TSS_LoadRate_lbPerAcPerY])</f>
        <v>17</v>
      </c>
    </row>
    <row r="7" spans="1:28" x14ac:dyDescent="0.25">
      <c r="A7" s="25"/>
      <c r="D7" s="23"/>
      <c r="E7" s="23"/>
      <c r="F7" s="23"/>
      <c r="G7" s="23"/>
    </row>
    <row r="8" spans="1:28" ht="18" x14ac:dyDescent="0.25">
      <c r="A8" s="26" t="s">
        <v>18</v>
      </c>
      <c r="C8" s="27"/>
      <c r="D8" s="28"/>
      <c r="E8" s="28"/>
      <c r="F8" s="28"/>
      <c r="G8" s="27"/>
    </row>
    <row r="10" spans="1:28" x14ac:dyDescent="0.25">
      <c r="B10" s="29"/>
      <c r="C10" s="30"/>
      <c r="D10" s="30"/>
      <c r="E10" s="30"/>
      <c r="F10" s="30"/>
      <c r="G10" s="30"/>
      <c r="H10" s="30"/>
      <c r="I10" s="30"/>
      <c r="J10" s="30"/>
      <c r="K10" s="30"/>
      <c r="L10" s="30"/>
      <c r="M10" s="30"/>
    </row>
    <row r="11" spans="1:28" x14ac:dyDescent="0.25">
      <c r="B11" s="458" t="s">
        <v>19</v>
      </c>
      <c r="C11" s="458"/>
      <c r="D11" s="458"/>
      <c r="E11" s="458"/>
      <c r="F11" s="458"/>
      <c r="G11" s="458"/>
      <c r="H11" s="458"/>
      <c r="I11" s="458"/>
      <c r="J11" s="458"/>
      <c r="K11" s="458"/>
      <c r="L11" s="458"/>
      <c r="M11" s="458"/>
      <c r="O11" s="459" t="s">
        <v>20</v>
      </c>
      <c r="P11" s="460"/>
      <c r="Q11" s="460"/>
      <c r="R11" s="460"/>
      <c r="S11" s="460"/>
      <c r="T11" s="460"/>
      <c r="U11" s="460"/>
      <c r="V11" s="460"/>
      <c r="W11" s="460"/>
      <c r="X11" s="460"/>
      <c r="Y11" s="460"/>
      <c r="Z11" s="460"/>
      <c r="AA11" s="460"/>
      <c r="AB11" s="460"/>
    </row>
    <row r="13" spans="1:28" ht="16.5" thickBot="1" x14ac:dyDescent="0.3">
      <c r="B13" s="31"/>
      <c r="C13" s="32"/>
      <c r="D13" s="32"/>
      <c r="E13" s="32"/>
      <c r="F13" s="32"/>
      <c r="G13" s="32"/>
      <c r="H13" s="32"/>
      <c r="I13" s="32"/>
      <c r="J13" s="32"/>
      <c r="K13" s="32"/>
      <c r="L13" s="32"/>
      <c r="M13" s="33"/>
      <c r="O13" s="461" t="s">
        <v>21</v>
      </c>
      <c r="P13" s="462"/>
      <c r="Q13" s="463"/>
      <c r="R13" s="34"/>
      <c r="S13" s="461" t="s">
        <v>22</v>
      </c>
      <c r="T13" s="462"/>
      <c r="U13" s="462"/>
      <c r="V13" s="463"/>
      <c r="W13" s="34"/>
      <c r="X13" s="461" t="s">
        <v>23</v>
      </c>
      <c r="Y13" s="462"/>
      <c r="Z13" s="462"/>
      <c r="AA13" s="463"/>
    </row>
    <row r="14" spans="1:28" ht="39" x14ac:dyDescent="0.25">
      <c r="B14" s="35" t="s">
        <v>24</v>
      </c>
      <c r="C14" s="36" t="s">
        <v>25</v>
      </c>
      <c r="D14" s="37" t="s">
        <v>26</v>
      </c>
      <c r="E14" s="37" t="s">
        <v>27</v>
      </c>
      <c r="F14" s="37"/>
      <c r="G14" s="37" t="s">
        <v>28</v>
      </c>
      <c r="H14" s="37" t="s">
        <v>29</v>
      </c>
      <c r="I14" s="37"/>
      <c r="J14" s="37" t="s">
        <v>30</v>
      </c>
      <c r="K14" s="37" t="s">
        <v>31</v>
      </c>
      <c r="L14" s="37"/>
      <c r="M14" s="38" t="s">
        <v>32</v>
      </c>
      <c r="O14" s="39" t="s">
        <v>70</v>
      </c>
      <c r="P14" s="40" t="s">
        <v>71</v>
      </c>
      <c r="Q14" s="41" t="s">
        <v>33</v>
      </c>
      <c r="R14" s="42"/>
      <c r="S14" s="39" t="s">
        <v>72</v>
      </c>
      <c r="T14" s="40" t="s">
        <v>73</v>
      </c>
      <c r="U14" s="40" t="s">
        <v>74</v>
      </c>
      <c r="V14" s="41" t="s">
        <v>34</v>
      </c>
      <c r="W14" s="42"/>
      <c r="X14" s="39" t="s">
        <v>72</v>
      </c>
      <c r="Y14" s="40" t="s">
        <v>73</v>
      </c>
      <c r="Z14" s="40" t="s">
        <v>75</v>
      </c>
      <c r="AA14" s="41" t="s">
        <v>35</v>
      </c>
    </row>
    <row r="15" spans="1:28" x14ac:dyDescent="0.25">
      <c r="B15" s="43" t="s">
        <v>36</v>
      </c>
      <c r="C15" s="44" t="s">
        <v>37</v>
      </c>
      <c r="D15" s="45" t="s">
        <v>38</v>
      </c>
      <c r="E15" s="45" t="s">
        <v>39</v>
      </c>
      <c r="F15" s="45"/>
      <c r="G15" s="45" t="s">
        <v>39</v>
      </c>
      <c r="H15" s="45" t="s">
        <v>40</v>
      </c>
      <c r="I15" s="45"/>
      <c r="J15" s="45" t="s">
        <v>40</v>
      </c>
      <c r="K15" s="45" t="s">
        <v>40</v>
      </c>
      <c r="L15" s="45"/>
      <c r="M15" s="46" t="s">
        <v>40</v>
      </c>
      <c r="O15" s="47" t="s">
        <v>41</v>
      </c>
      <c r="P15" s="48" t="s">
        <v>41</v>
      </c>
      <c r="Q15" s="49" t="s">
        <v>41</v>
      </c>
      <c r="R15" s="50"/>
      <c r="S15" s="47" t="s">
        <v>41</v>
      </c>
      <c r="T15" s="48" t="s">
        <v>41</v>
      </c>
      <c r="U15" s="48" t="s">
        <v>41</v>
      </c>
      <c r="V15" s="49" t="s">
        <v>41</v>
      </c>
      <c r="W15" s="50"/>
      <c r="X15" s="47" t="s">
        <v>41</v>
      </c>
      <c r="Y15" s="48" t="s">
        <v>41</v>
      </c>
      <c r="Z15" s="48" t="s">
        <v>41</v>
      </c>
      <c r="AA15" s="49" t="s">
        <v>41</v>
      </c>
    </row>
    <row r="16" spans="1:28" s="410" customFormat="1" ht="12.75" x14ac:dyDescent="0.2">
      <c r="A16" s="409"/>
      <c r="B16" s="446" t="s">
        <v>24</v>
      </c>
      <c r="C16" s="447" t="s">
        <v>487</v>
      </c>
      <c r="D16" s="447" t="s">
        <v>488</v>
      </c>
      <c r="E16" s="447" t="s">
        <v>489</v>
      </c>
      <c r="F16" s="447" t="s">
        <v>459</v>
      </c>
      <c r="G16" s="447" t="s">
        <v>490</v>
      </c>
      <c r="H16" s="447" t="s">
        <v>491</v>
      </c>
      <c r="I16" s="447" t="s">
        <v>506</v>
      </c>
      <c r="J16" s="447" t="s">
        <v>492</v>
      </c>
      <c r="K16" s="447" t="s">
        <v>493</v>
      </c>
      <c r="L16" s="447" t="s">
        <v>507</v>
      </c>
      <c r="M16" s="447" t="s">
        <v>494</v>
      </c>
      <c r="N16" s="446" t="s">
        <v>508</v>
      </c>
      <c r="O16" s="446" t="s">
        <v>496</v>
      </c>
      <c r="P16" s="446" t="s">
        <v>497</v>
      </c>
      <c r="Q16" s="446" t="s">
        <v>495</v>
      </c>
      <c r="R16" s="446" t="s">
        <v>509</v>
      </c>
      <c r="S16" s="446" t="s">
        <v>498</v>
      </c>
      <c r="T16" s="446" t="s">
        <v>499</v>
      </c>
      <c r="U16" s="446" t="s">
        <v>500</v>
      </c>
      <c r="V16" s="446" t="s">
        <v>501</v>
      </c>
      <c r="W16" s="446" t="s">
        <v>510</v>
      </c>
      <c r="X16" s="446" t="s">
        <v>502</v>
      </c>
      <c r="Y16" s="446" t="s">
        <v>503</v>
      </c>
      <c r="Z16" s="446" t="s">
        <v>504</v>
      </c>
      <c r="AA16" s="448" t="s">
        <v>505</v>
      </c>
      <c r="AB16" s="409"/>
    </row>
    <row r="17" spans="1:28" x14ac:dyDescent="0.25">
      <c r="A17" s="452" t="s">
        <v>45</v>
      </c>
      <c r="B17" s="411" t="s">
        <v>46</v>
      </c>
      <c r="C17" s="412">
        <f>+'MMW Output'!C22</f>
        <v>23560.493827160491</v>
      </c>
      <c r="D17" s="413" t="e">
        <f>+'MMW Output'!#REF!</f>
        <v>#REF!</v>
      </c>
      <c r="E17" s="413" t="e">
        <f>+'MMW Output'!#REF!</f>
        <v>#REF!</v>
      </c>
      <c r="F17" s="413"/>
      <c r="G17" s="413">
        <f>+'MMW Output'!D22</f>
        <v>976.70816775000003</v>
      </c>
      <c r="H17" s="413" t="e">
        <f>+'MMW Output'!#REF!</f>
        <v>#REF!</v>
      </c>
      <c r="I17" s="413"/>
      <c r="J17" s="413">
        <f>+'MMW Output'!E22</f>
        <v>12210.1875</v>
      </c>
      <c r="K17" s="413" t="e">
        <f>+'MMW Output'!#REF!</f>
        <v>#REF!</v>
      </c>
      <c r="L17" s="413"/>
      <c r="M17" s="413">
        <f>+'MMW Output'!F22</f>
        <v>5079.4380000000001</v>
      </c>
      <c r="N17" s="414"/>
      <c r="O17" s="415">
        <f t="shared" ref="O17:O32" si="0">IF(C17=0,0,(G17*2000/C17))</f>
        <v>82.910670286889555</v>
      </c>
      <c r="P17" s="415">
        <f>IF(C17=0,0,'Stream Bank SedimentLoadingRate'!C$165)</f>
        <v>443.85710129148538</v>
      </c>
      <c r="Q17" s="416">
        <f>SUM(O17:P17)</f>
        <v>526.76777157837489</v>
      </c>
      <c r="R17" s="417"/>
      <c r="S17" s="415">
        <f t="shared" ref="S17:S32" si="1">IF(C17=0,0,ROUND((J17/C17),2))</f>
        <v>0.52</v>
      </c>
      <c r="T17" s="418">
        <f>IF(C17=0,0,ROUND('Stream Bank Nitrogen Loading'!$C$162,2))</f>
        <v>0.24</v>
      </c>
      <c r="U17" s="419">
        <f>IF(C17=0,0,ROUND('Farm Animal TN and TP Loading'!$D$35,2))</f>
        <v>8.6999999999999993</v>
      </c>
      <c r="V17" s="420">
        <f>SUM(S17:U17)</f>
        <v>9.4599999999999991</v>
      </c>
      <c r="W17" s="417"/>
      <c r="X17" s="415">
        <f t="shared" ref="X17:X32" si="2">IF(C17=0,0,ROUND((M17/C17),2))</f>
        <v>0.22</v>
      </c>
      <c r="Y17" s="415">
        <f>IF(C17=0,0,ROUND('Stream Bank Phosphorus Loading'!C$162,2))</f>
        <v>0.11</v>
      </c>
      <c r="Z17" s="419">
        <f>IF(C17=0,0,ROUND('Farm Animal TN and TP Loading'!$E$35,2))</f>
        <v>2.1800000000000002</v>
      </c>
      <c r="AA17" s="53">
        <f>SUM(X17:Z17)</f>
        <v>2.5100000000000002</v>
      </c>
      <c r="AB17" s="54" t="s">
        <v>46</v>
      </c>
    </row>
    <row r="18" spans="1:28" x14ac:dyDescent="0.25">
      <c r="A18" s="453"/>
      <c r="B18" s="421" t="s">
        <v>47</v>
      </c>
      <c r="C18" s="422">
        <f>+'MMW Output'!C23</f>
        <v>34311.111111111109</v>
      </c>
      <c r="D18" s="423" t="e">
        <f>+'MMW Output'!#REF!</f>
        <v>#REF!</v>
      </c>
      <c r="E18" s="423" t="e">
        <f>+'MMW Output'!#REF!</f>
        <v>#REF!</v>
      </c>
      <c r="F18" s="423"/>
      <c r="G18" s="423">
        <f>+'MMW Output'!D23</f>
        <v>19255.817274749999</v>
      </c>
      <c r="H18" s="423" t="e">
        <f>+'MMW Output'!#REF!</f>
        <v>#REF!</v>
      </c>
      <c r="I18" s="423"/>
      <c r="J18" s="423">
        <f>+'MMW Output'!E23</f>
        <v>156649.37400000001</v>
      </c>
      <c r="K18" s="423" t="e">
        <f>+'MMW Output'!#REF!</f>
        <v>#REF!</v>
      </c>
      <c r="L18" s="423"/>
      <c r="M18" s="423">
        <f>+'MMW Output'!F23</f>
        <v>48194.243999999999</v>
      </c>
      <c r="N18" s="424"/>
      <c r="O18" s="425">
        <f t="shared" si="0"/>
        <v>1122.4245820773963</v>
      </c>
      <c r="P18" s="425">
        <f>IF(C18=0,0,'Stream Bank SedimentLoadingRate'!C$165)</f>
        <v>443.85710129148538</v>
      </c>
      <c r="Q18" s="426">
        <f t="shared" ref="Q18:Q32" si="3">SUM(O18:P18)</f>
        <v>1566.2816833688817</v>
      </c>
      <c r="R18" s="427"/>
      <c r="S18" s="425">
        <f t="shared" si="1"/>
        <v>4.57</v>
      </c>
      <c r="T18" s="428">
        <f>IF(C18=0,0,ROUND('Stream Bank Nitrogen Loading'!$C$162,2))</f>
        <v>0.24</v>
      </c>
      <c r="U18" s="429">
        <f>IF(C18=0,0,ROUND('Farm Animal TN and TP Loading'!$D$35,2))</f>
        <v>8.6999999999999993</v>
      </c>
      <c r="V18" s="430">
        <f t="shared" ref="V18:V32" si="4">SUM(S18:U18)</f>
        <v>13.51</v>
      </c>
      <c r="W18" s="427"/>
      <c r="X18" s="425">
        <f t="shared" si="2"/>
        <v>1.4</v>
      </c>
      <c r="Y18" s="415">
        <f>IF(C18=0,0,ROUND('Stream Bank Phosphorus Loading'!C$162,2))</f>
        <v>0.11</v>
      </c>
      <c r="Z18" s="429">
        <f>IF(C18=0,0,ROUND('Farm Animal TN and TP Loading'!$E$35,2))</f>
        <v>2.1800000000000002</v>
      </c>
      <c r="AA18" s="431">
        <f t="shared" ref="AA18:AA32" si="5">SUM(X18:Z18)</f>
        <v>3.6900000000000004</v>
      </c>
      <c r="AB18" s="55" t="s">
        <v>47</v>
      </c>
    </row>
    <row r="19" spans="1:28" x14ac:dyDescent="0.25">
      <c r="A19" s="453"/>
      <c r="B19" s="432" t="s">
        <v>48</v>
      </c>
      <c r="C19" s="433">
        <f>+'MMW Output'!C24</f>
        <v>26165.432098765428</v>
      </c>
      <c r="D19" s="434" t="e">
        <f>+'MMW Output'!#REF!</f>
        <v>#REF!</v>
      </c>
      <c r="E19" s="434" t="e">
        <f>+'MMW Output'!#REF!</f>
        <v>#REF!</v>
      </c>
      <c r="F19" s="434"/>
      <c r="G19" s="434">
        <f>+'MMW Output'!D24</f>
        <v>22.606101000000002</v>
      </c>
      <c r="H19" s="434" t="e">
        <f>+'MMW Output'!#REF!</f>
        <v>#REF!</v>
      </c>
      <c r="I19" s="434"/>
      <c r="J19" s="434">
        <f>+'MMW Output'!E24</f>
        <v>1606.1220000000001</v>
      </c>
      <c r="K19" s="434" t="e">
        <f>+'MMW Output'!#REF!</f>
        <v>#REF!</v>
      </c>
      <c r="L19" s="434"/>
      <c r="M19" s="434">
        <f>+'MMW Output'!F24</f>
        <v>124.80300000000001</v>
      </c>
      <c r="N19" s="435"/>
      <c r="O19" s="425">
        <f t="shared" si="0"/>
        <v>1.7279363791639148</v>
      </c>
      <c r="P19" s="425">
        <f>IF(C19=0,0,'Stream Bank SedimentLoadingRate'!C$165)</f>
        <v>443.85710129148538</v>
      </c>
      <c r="Q19" s="436">
        <f t="shared" si="3"/>
        <v>445.58503767064929</v>
      </c>
      <c r="R19" s="437"/>
      <c r="S19" s="425">
        <f t="shared" si="1"/>
        <v>0.06</v>
      </c>
      <c r="T19" s="428">
        <f>IF(C19=0,0,ROUND('Stream Bank Nitrogen Loading'!$C$162,2))</f>
        <v>0.24</v>
      </c>
      <c r="U19" s="429" t="s">
        <v>49</v>
      </c>
      <c r="V19" s="438">
        <f>SUM(S19:U19)</f>
        <v>0.3</v>
      </c>
      <c r="W19" s="437"/>
      <c r="X19" s="425">
        <f t="shared" si="2"/>
        <v>0</v>
      </c>
      <c r="Y19" s="415">
        <f>IF(C19=0,0,ROUND('Stream Bank Phosphorus Loading'!C$162,2))</f>
        <v>0.11</v>
      </c>
      <c r="Z19" s="429" t="s">
        <v>49</v>
      </c>
      <c r="AA19" s="439">
        <f t="shared" si="5"/>
        <v>0.11</v>
      </c>
      <c r="AB19" s="56" t="s">
        <v>48</v>
      </c>
    </row>
    <row r="20" spans="1:28" x14ac:dyDescent="0.25">
      <c r="A20" s="453"/>
      <c r="B20" s="421" t="s">
        <v>50</v>
      </c>
      <c r="C20" s="422">
        <f>+'MMW Output'!C25</f>
        <v>424.69135802469134</v>
      </c>
      <c r="D20" s="423" t="e">
        <f>+'MMW Output'!#REF!</f>
        <v>#REF!</v>
      </c>
      <c r="E20" s="423" t="e">
        <f>+'MMW Output'!#REF!</f>
        <v>#REF!</v>
      </c>
      <c r="F20" s="423"/>
      <c r="G20" s="423">
        <f>+'MMW Output'!D25</f>
        <v>0.36283275000000004</v>
      </c>
      <c r="H20" s="423" t="e">
        <f>+'MMW Output'!#REF!</f>
        <v>#REF!</v>
      </c>
      <c r="I20" s="423"/>
      <c r="J20" s="423">
        <f>+'MMW Output'!E25</f>
        <v>147.29400000000001</v>
      </c>
      <c r="K20" s="423" t="e">
        <f>+'MMW Output'!#REF!</f>
        <v>#REF!</v>
      </c>
      <c r="L20" s="423"/>
      <c r="M20" s="423">
        <f>+'MMW Output'!F25</f>
        <v>8.3789999999999996</v>
      </c>
      <c r="N20" s="424"/>
      <c r="O20" s="425">
        <f t="shared" si="0"/>
        <v>1.7086891133720932</v>
      </c>
      <c r="P20" s="425">
        <f>IF(C20=0,0,'Stream Bank SedimentLoadingRate'!C$165)</f>
        <v>443.85710129148538</v>
      </c>
      <c r="Q20" s="426">
        <f t="shared" si="3"/>
        <v>445.56579040485747</v>
      </c>
      <c r="R20" s="427"/>
      <c r="S20" s="425">
        <f t="shared" si="1"/>
        <v>0.35</v>
      </c>
      <c r="T20" s="428">
        <f>IF(C20=0,0,ROUND('Stream Bank Nitrogen Loading'!$C$162,2))</f>
        <v>0.24</v>
      </c>
      <c r="U20" s="440" t="s">
        <v>49</v>
      </c>
      <c r="V20" s="430">
        <f t="shared" si="4"/>
        <v>0.59</v>
      </c>
      <c r="W20" s="427"/>
      <c r="X20" s="425">
        <f t="shared" si="2"/>
        <v>0.02</v>
      </c>
      <c r="Y20" s="415">
        <f>IF(C20=0,0,ROUND('Stream Bank Phosphorus Loading'!C$162,2))</f>
        <v>0.11</v>
      </c>
      <c r="Z20" s="440" t="s">
        <v>49</v>
      </c>
      <c r="AA20" s="431">
        <f t="shared" si="5"/>
        <v>0.13</v>
      </c>
      <c r="AB20" s="55" t="s">
        <v>50</v>
      </c>
    </row>
    <row r="21" spans="1:28" x14ac:dyDescent="0.25">
      <c r="A21" s="453"/>
      <c r="B21" s="432" t="s">
        <v>51</v>
      </c>
      <c r="C21" s="433">
        <f>+'MMW Output'!C26</f>
        <v>0</v>
      </c>
      <c r="D21" s="434" t="e">
        <f>+'MMW Output'!#REF!</f>
        <v>#REF!</v>
      </c>
      <c r="E21" s="434" t="e">
        <f>+'MMW Output'!#REF!</f>
        <v>#REF!</v>
      </c>
      <c r="F21" s="434"/>
      <c r="G21" s="434">
        <f>+'MMW Output'!D26</f>
        <v>0</v>
      </c>
      <c r="H21" s="434" t="e">
        <f>+'MMW Output'!#REF!</f>
        <v>#REF!</v>
      </c>
      <c r="I21" s="434"/>
      <c r="J21" s="434">
        <f>+'MMW Output'!E26</f>
        <v>0</v>
      </c>
      <c r="K21" s="434" t="e">
        <f>+'MMW Output'!#REF!</f>
        <v>#REF!</v>
      </c>
      <c r="L21" s="434"/>
      <c r="M21" s="434">
        <f>+'MMW Output'!F26</f>
        <v>0</v>
      </c>
      <c r="N21" s="435"/>
      <c r="O21" s="425">
        <f t="shared" si="0"/>
        <v>0</v>
      </c>
      <c r="P21" s="425">
        <f>IF(C21=0,0,'Stream Bank SedimentLoadingRate'!C$165)</f>
        <v>0</v>
      </c>
      <c r="Q21" s="436">
        <f t="shared" si="3"/>
        <v>0</v>
      </c>
      <c r="R21" s="437"/>
      <c r="S21" s="425">
        <f t="shared" si="1"/>
        <v>0</v>
      </c>
      <c r="T21" s="428">
        <f>IF(C21=0,0,ROUND('Stream Bank Nitrogen Loading'!$C$162,2))</f>
        <v>0</v>
      </c>
      <c r="U21" s="429" t="s">
        <v>49</v>
      </c>
      <c r="V21" s="438">
        <f t="shared" si="4"/>
        <v>0</v>
      </c>
      <c r="W21" s="437"/>
      <c r="X21" s="425">
        <f t="shared" si="2"/>
        <v>0</v>
      </c>
      <c r="Y21" s="415">
        <f>IF(C21=0,0,ROUND('Stream Bank Phosphorus Loading'!C$162,2))</f>
        <v>0</v>
      </c>
      <c r="Z21" s="429" t="s">
        <v>49</v>
      </c>
      <c r="AA21" s="439">
        <f t="shared" si="5"/>
        <v>0</v>
      </c>
      <c r="AB21" s="56" t="s">
        <v>51</v>
      </c>
    </row>
    <row r="22" spans="1:28" x14ac:dyDescent="0.25">
      <c r="A22" s="453"/>
      <c r="B22" s="421" t="s">
        <v>52</v>
      </c>
      <c r="C22" s="422">
        <f>+'MMW Output'!C27</f>
        <v>0</v>
      </c>
      <c r="D22" s="423" t="e">
        <f>+'MMW Output'!#REF!</f>
        <v>#REF!</v>
      </c>
      <c r="E22" s="423" t="e">
        <f>+'MMW Output'!#REF!</f>
        <v>#REF!</v>
      </c>
      <c r="F22" s="423"/>
      <c r="G22" s="423">
        <f>+'MMW Output'!D27</f>
        <v>0</v>
      </c>
      <c r="H22" s="423" t="e">
        <f>+'MMW Output'!#REF!</f>
        <v>#REF!</v>
      </c>
      <c r="I22" s="423"/>
      <c r="J22" s="423">
        <f>+'MMW Output'!E27</f>
        <v>0</v>
      </c>
      <c r="K22" s="423" t="e">
        <f>+'MMW Output'!#REF!</f>
        <v>#REF!</v>
      </c>
      <c r="L22" s="423"/>
      <c r="M22" s="423">
        <f>+'MMW Output'!F27</f>
        <v>0</v>
      </c>
      <c r="N22" s="424"/>
      <c r="O22" s="425">
        <f t="shared" si="0"/>
        <v>0</v>
      </c>
      <c r="P22" s="425">
        <f>IF(C22=0,0,'Stream Bank SedimentLoadingRate'!C$165)</f>
        <v>0</v>
      </c>
      <c r="Q22" s="426">
        <f t="shared" si="3"/>
        <v>0</v>
      </c>
      <c r="R22" s="427"/>
      <c r="S22" s="425">
        <f t="shared" si="1"/>
        <v>0</v>
      </c>
      <c r="T22" s="428">
        <f>IF(C22=0,0,ROUND('Stream Bank Nitrogen Loading'!$C$162,2))</f>
        <v>0</v>
      </c>
      <c r="U22" s="440" t="s">
        <v>49</v>
      </c>
      <c r="V22" s="430">
        <f t="shared" si="4"/>
        <v>0</v>
      </c>
      <c r="W22" s="427"/>
      <c r="X22" s="425">
        <f t="shared" si="2"/>
        <v>0</v>
      </c>
      <c r="Y22" s="415">
        <f>IF(C22=0,0,ROUND('Stream Bank Phosphorus Loading'!C$162,2))</f>
        <v>0</v>
      </c>
      <c r="Z22" s="440" t="s">
        <v>49</v>
      </c>
      <c r="AA22" s="431">
        <f t="shared" si="5"/>
        <v>0</v>
      </c>
      <c r="AB22" s="55" t="s">
        <v>52</v>
      </c>
    </row>
    <row r="23" spans="1:28" x14ac:dyDescent="0.25">
      <c r="A23" s="453"/>
      <c r="B23" s="432" t="s">
        <v>53</v>
      </c>
      <c r="C23" s="433">
        <f>+'MMW Output'!C28</f>
        <v>291.35802469135803</v>
      </c>
      <c r="D23" s="434" t="e">
        <f>+'MMW Output'!#REF!</f>
        <v>#REF!</v>
      </c>
      <c r="E23" s="434" t="e">
        <f>+'MMW Output'!#REF!</f>
        <v>#REF!</v>
      </c>
      <c r="F23" s="434"/>
      <c r="G23" s="434">
        <f>+'MMW Output'!D28</f>
        <v>4.9661010000000001</v>
      </c>
      <c r="H23" s="434" t="e">
        <f>+'MMW Output'!#REF!</f>
        <v>#REF!</v>
      </c>
      <c r="I23" s="434"/>
      <c r="J23" s="434">
        <f>+'MMW Output'!E28</f>
        <v>200.214</v>
      </c>
      <c r="K23" s="434" t="e">
        <f>+'MMW Output'!#REF!</f>
        <v>#REF!</v>
      </c>
      <c r="L23" s="434"/>
      <c r="M23" s="434">
        <f>+'MMW Output'!F28</f>
        <v>13.4505</v>
      </c>
      <c r="N23" s="435"/>
      <c r="O23" s="425">
        <f t="shared" si="0"/>
        <v>34.089337372881353</v>
      </c>
      <c r="P23" s="425">
        <f>IF(C23=0,0,'Stream Bank SedimentLoadingRate'!C$165)</f>
        <v>443.85710129148538</v>
      </c>
      <c r="Q23" s="436">
        <f t="shared" si="3"/>
        <v>477.94643866436672</v>
      </c>
      <c r="R23" s="437"/>
      <c r="S23" s="425">
        <f t="shared" si="1"/>
        <v>0.69</v>
      </c>
      <c r="T23" s="428">
        <f>IF(C23=0,0,ROUND('Stream Bank Nitrogen Loading'!$C$162,2))</f>
        <v>0.24</v>
      </c>
      <c r="U23" s="429" t="s">
        <v>49</v>
      </c>
      <c r="V23" s="438">
        <f t="shared" si="4"/>
        <v>0.92999999999999994</v>
      </c>
      <c r="W23" s="437"/>
      <c r="X23" s="425">
        <f t="shared" si="2"/>
        <v>0.05</v>
      </c>
      <c r="Y23" s="415">
        <f>IF(C23=0,0,ROUND('Stream Bank Phosphorus Loading'!C$162,2))</f>
        <v>0.11</v>
      </c>
      <c r="Z23" s="429" t="s">
        <v>49</v>
      </c>
      <c r="AA23" s="439">
        <f t="shared" si="5"/>
        <v>0.16</v>
      </c>
      <c r="AB23" s="56" t="s">
        <v>53</v>
      </c>
    </row>
    <row r="24" spans="1:28" x14ac:dyDescent="0.25">
      <c r="A24" s="453"/>
      <c r="B24" s="421" t="s">
        <v>54</v>
      </c>
      <c r="C24" s="422">
        <f>+'MMW Output'!C29</f>
        <v>175.30864197530863</v>
      </c>
      <c r="D24" s="423" t="e">
        <f>+'MMW Output'!#REF!</f>
        <v>#REF!</v>
      </c>
      <c r="E24" s="423" t="e">
        <f>+'MMW Output'!#REF!</f>
        <v>#REF!</v>
      </c>
      <c r="F24" s="423"/>
      <c r="G24" s="423">
        <f>+'MMW Output'!D29</f>
        <v>8.533350000000002E-2</v>
      </c>
      <c r="H24" s="423" t="e">
        <f>+'MMW Output'!#REF!</f>
        <v>#REF!</v>
      </c>
      <c r="I24" s="423"/>
      <c r="J24" s="423">
        <f>+'MMW Output'!E29</f>
        <v>65.047499999999999</v>
      </c>
      <c r="K24" s="423" t="e">
        <f>+'MMW Output'!#REF!</f>
        <v>#REF!</v>
      </c>
      <c r="L24" s="423"/>
      <c r="M24" s="423">
        <f>+'MMW Output'!F29</f>
        <v>2.4255000000000004</v>
      </c>
      <c r="N24" s="424"/>
      <c r="O24" s="425">
        <f t="shared" si="0"/>
        <v>0.97352302816901426</v>
      </c>
      <c r="P24" s="425">
        <f>IF(C24=0,0,'Stream Bank SedimentLoadingRate'!C$165)</f>
        <v>443.85710129148538</v>
      </c>
      <c r="Q24" s="426">
        <f t="shared" si="3"/>
        <v>444.83062431965442</v>
      </c>
      <c r="R24" s="427"/>
      <c r="S24" s="425">
        <f t="shared" si="1"/>
        <v>0.37</v>
      </c>
      <c r="T24" s="428">
        <f>IF(C24=0,0,ROUND('Stream Bank Nitrogen Loading'!$C$162,2))</f>
        <v>0.24</v>
      </c>
      <c r="U24" s="440" t="s">
        <v>49</v>
      </c>
      <c r="V24" s="430">
        <f t="shared" si="4"/>
        <v>0.61</v>
      </c>
      <c r="W24" s="427"/>
      <c r="X24" s="425">
        <f t="shared" si="2"/>
        <v>0.01</v>
      </c>
      <c r="Y24" s="415">
        <f>IF(C24=0,0,ROUND('Stream Bank Phosphorus Loading'!C$162,2))</f>
        <v>0.11</v>
      </c>
      <c r="Z24" s="440" t="s">
        <v>49</v>
      </c>
      <c r="AA24" s="431">
        <f t="shared" si="5"/>
        <v>0.12</v>
      </c>
      <c r="AB24" s="55" t="s">
        <v>54</v>
      </c>
    </row>
    <row r="25" spans="1:28" x14ac:dyDescent="0.25">
      <c r="A25" s="453"/>
      <c r="B25" s="432" t="s">
        <v>55</v>
      </c>
      <c r="C25" s="433">
        <f>+'MMW Output'!C30</f>
        <v>0</v>
      </c>
      <c r="D25" s="434" t="e">
        <f>+'MMW Output'!#REF!</f>
        <v>#REF!</v>
      </c>
      <c r="E25" s="434" t="e">
        <f>+'MMW Output'!#REF!</f>
        <v>#REF!</v>
      </c>
      <c r="F25" s="434"/>
      <c r="G25" s="434">
        <f>+'MMW Output'!D30</f>
        <v>0</v>
      </c>
      <c r="H25" s="434" t="e">
        <f>+'MMW Output'!#REF!</f>
        <v>#REF!</v>
      </c>
      <c r="I25" s="434"/>
      <c r="J25" s="434">
        <f>+'MMW Output'!E30</f>
        <v>0</v>
      </c>
      <c r="K25" s="434" t="e">
        <f>+'MMW Output'!#REF!</f>
        <v>#REF!</v>
      </c>
      <c r="L25" s="434"/>
      <c r="M25" s="434">
        <f>+'MMW Output'!F30</f>
        <v>0</v>
      </c>
      <c r="N25" s="435"/>
      <c r="O25" s="425">
        <f t="shared" si="0"/>
        <v>0</v>
      </c>
      <c r="P25" s="425">
        <f>IF(C25=0,0,'Stream Bank SedimentLoadingRate'!C$165)</f>
        <v>0</v>
      </c>
      <c r="Q25" s="436">
        <f t="shared" si="3"/>
        <v>0</v>
      </c>
      <c r="R25" s="437"/>
      <c r="S25" s="425">
        <f t="shared" si="1"/>
        <v>0</v>
      </c>
      <c r="T25" s="428">
        <f>IF(C25=0,0,ROUND('Stream Bank Nitrogen Loading'!$C$162,2))</f>
        <v>0</v>
      </c>
      <c r="U25" s="429" t="s">
        <v>49</v>
      </c>
      <c r="V25" s="438">
        <f t="shared" si="4"/>
        <v>0</v>
      </c>
      <c r="W25" s="437"/>
      <c r="X25" s="425">
        <f t="shared" si="2"/>
        <v>0</v>
      </c>
      <c r="Y25" s="415">
        <f>IF(C25=0,0,ROUND('Stream Bank Phosphorus Loading'!C$162,2))</f>
        <v>0</v>
      </c>
      <c r="Z25" s="429" t="s">
        <v>49</v>
      </c>
      <c r="AA25" s="439">
        <f t="shared" si="5"/>
        <v>0</v>
      </c>
      <c r="AB25" s="56" t="s">
        <v>55</v>
      </c>
    </row>
    <row r="26" spans="1:28" x14ac:dyDescent="0.25">
      <c r="A26" s="453"/>
      <c r="B26" s="421" t="s">
        <v>56</v>
      </c>
      <c r="C26" s="422">
        <f>+'MMW Output'!C31</f>
        <v>0</v>
      </c>
      <c r="D26" s="423" t="e">
        <f>+'MMW Output'!#REF!</f>
        <v>#REF!</v>
      </c>
      <c r="E26" s="423" t="e">
        <f>+'MMW Output'!#REF!</f>
        <v>#REF!</v>
      </c>
      <c r="F26" s="423"/>
      <c r="G26" s="423">
        <f>+'MMW Output'!D31</f>
        <v>0</v>
      </c>
      <c r="H26" s="423" t="e">
        <f>+'MMW Output'!#REF!</f>
        <v>#REF!</v>
      </c>
      <c r="I26" s="423"/>
      <c r="J26" s="423">
        <f>+'MMW Output'!E31</f>
        <v>0</v>
      </c>
      <c r="K26" s="423" t="e">
        <f>+'MMW Output'!#REF!</f>
        <v>#REF!</v>
      </c>
      <c r="L26" s="423"/>
      <c r="M26" s="423">
        <f>+'MMW Output'!F31</f>
        <v>0</v>
      </c>
      <c r="N26" s="424"/>
      <c r="O26" s="425">
        <f t="shared" si="0"/>
        <v>0</v>
      </c>
      <c r="P26" s="425">
        <f>IF(C26=0,0,'Stream Bank SedimentLoadingRate'!C$165)</f>
        <v>0</v>
      </c>
      <c r="Q26" s="426">
        <f t="shared" si="3"/>
        <v>0</v>
      </c>
      <c r="R26" s="427"/>
      <c r="S26" s="425">
        <f t="shared" si="1"/>
        <v>0</v>
      </c>
      <c r="T26" s="428">
        <f>IF(C26=0,0,ROUND('Stream Bank Nitrogen Loading'!$C$162,2))</f>
        <v>0</v>
      </c>
      <c r="U26" s="440" t="s">
        <v>49</v>
      </c>
      <c r="V26" s="430">
        <f t="shared" si="4"/>
        <v>0</v>
      </c>
      <c r="W26" s="427"/>
      <c r="X26" s="425">
        <f t="shared" si="2"/>
        <v>0</v>
      </c>
      <c r="Y26" s="415">
        <f>IF(C26=0,0,ROUND('Stream Bank Phosphorus Loading'!C$162,2))</f>
        <v>0</v>
      </c>
      <c r="Z26" s="440" t="s">
        <v>49</v>
      </c>
      <c r="AA26" s="431">
        <f t="shared" si="5"/>
        <v>0</v>
      </c>
      <c r="AB26" s="55" t="s">
        <v>56</v>
      </c>
    </row>
    <row r="27" spans="1:28" x14ac:dyDescent="0.25">
      <c r="A27" s="453"/>
      <c r="B27" s="432" t="s">
        <v>57</v>
      </c>
      <c r="C27" s="433">
        <f>+'MMW Output'!C32</f>
        <v>12380.246913580246</v>
      </c>
      <c r="D27" s="434" t="e">
        <f>+'MMW Output'!#REF!</f>
        <v>#REF!</v>
      </c>
      <c r="E27" s="434" t="e">
        <f>+'MMW Output'!#REF!</f>
        <v>#REF!</v>
      </c>
      <c r="F27" s="434"/>
      <c r="G27" s="434">
        <f>+'MMW Output'!D32</f>
        <v>55.6822035</v>
      </c>
      <c r="H27" s="434" t="e">
        <f>+'MMW Output'!#REF!</f>
        <v>#REF!</v>
      </c>
      <c r="I27" s="434"/>
      <c r="J27" s="434">
        <f>+'MMW Output'!E32</f>
        <v>3056.3505</v>
      </c>
      <c r="K27" s="434" t="e">
        <f>+'MMW Output'!#REF!</f>
        <v>#REF!</v>
      </c>
      <c r="L27" s="434"/>
      <c r="M27" s="434">
        <f>+'MMW Output'!F32</f>
        <v>341.33400000000006</v>
      </c>
      <c r="N27" s="435"/>
      <c r="O27" s="425">
        <f t="shared" si="0"/>
        <v>8.995330042879937</v>
      </c>
      <c r="P27" s="425">
        <f>IF(C27=0,0,'Stream Bank SedimentLoadingRate'!E151)</f>
        <v>1270.9346806232518</v>
      </c>
      <c r="Q27" s="436">
        <f t="shared" si="3"/>
        <v>1279.9300106661317</v>
      </c>
      <c r="R27" s="437"/>
      <c r="S27" s="425">
        <f t="shared" si="1"/>
        <v>0.25</v>
      </c>
      <c r="T27" s="428">
        <f>IF(C27=0,0,ROUND('Stream Bank Nitrogen Loading'!E148,2))</f>
        <v>0.75</v>
      </c>
      <c r="U27" s="429" t="s">
        <v>49</v>
      </c>
      <c r="V27" s="438">
        <f t="shared" si="4"/>
        <v>1</v>
      </c>
      <c r="W27" s="437"/>
      <c r="X27" s="425">
        <f t="shared" si="2"/>
        <v>0.03</v>
      </c>
      <c r="Y27" s="425">
        <f>IF(C27=0,0,ROUND('Stream Bank Phosphorus Loading'!E148,2))</f>
        <v>0.32</v>
      </c>
      <c r="Z27" s="429" t="s">
        <v>49</v>
      </c>
      <c r="AA27" s="439">
        <f t="shared" si="5"/>
        <v>0.35</v>
      </c>
      <c r="AB27" s="56" t="s">
        <v>57</v>
      </c>
    </row>
    <row r="28" spans="1:28" x14ac:dyDescent="0.25">
      <c r="A28" s="453"/>
      <c r="B28" s="421" t="s">
        <v>58</v>
      </c>
      <c r="C28" s="422">
        <f>+'MMW Output'!C33</f>
        <v>1081.4814814814815</v>
      </c>
      <c r="D28" s="423" t="e">
        <f>+'MMW Output'!#REF!</f>
        <v>#REF!</v>
      </c>
      <c r="E28" s="423" t="e">
        <f>+'MMW Output'!#REF!</f>
        <v>#REF!</v>
      </c>
      <c r="F28" s="423"/>
      <c r="G28" s="423">
        <f>+'MMW Output'!D33</f>
        <v>28.199965500000001</v>
      </c>
      <c r="H28" s="423" t="e">
        <f>+'MMW Output'!#REF!</f>
        <v>#REF!</v>
      </c>
      <c r="I28" s="423"/>
      <c r="J28" s="423">
        <f>+'MMW Output'!E33</f>
        <v>1145.9385000000002</v>
      </c>
      <c r="K28" s="423" t="e">
        <f>+'MMW Output'!#REF!</f>
        <v>#REF!</v>
      </c>
      <c r="L28" s="423"/>
      <c r="M28" s="423">
        <f>+'MMW Output'!F33</f>
        <v>117.9675</v>
      </c>
      <c r="N28" s="424"/>
      <c r="O28" s="425">
        <f t="shared" si="0"/>
        <v>52.15062113013699</v>
      </c>
      <c r="P28" s="425">
        <f>IF(C28=0,0,'Stream Bank SedimentLoadingRate'!E152)</f>
        <v>3311.0593763082761</v>
      </c>
      <c r="Q28" s="426">
        <f t="shared" si="3"/>
        <v>3363.2099974384132</v>
      </c>
      <c r="R28" s="427"/>
      <c r="S28" s="425">
        <f t="shared" si="1"/>
        <v>1.06</v>
      </c>
      <c r="T28" s="428">
        <f>IF(C28=0,0,ROUND('Stream Bank Nitrogen Loading'!E149,2))</f>
        <v>1.2</v>
      </c>
      <c r="U28" s="440" t="s">
        <v>49</v>
      </c>
      <c r="V28" s="430">
        <f t="shared" si="4"/>
        <v>2.2599999999999998</v>
      </c>
      <c r="W28" s="427"/>
      <c r="X28" s="425">
        <f t="shared" si="2"/>
        <v>0.11</v>
      </c>
      <c r="Y28" s="425">
        <f>IF(C28=0,0,ROUND('Stream Bank Phosphorus Loading'!E149,2))</f>
        <v>0.83</v>
      </c>
      <c r="Z28" s="440" t="s">
        <v>49</v>
      </c>
      <c r="AA28" s="431">
        <f t="shared" si="5"/>
        <v>0.94</v>
      </c>
      <c r="AB28" s="55" t="s">
        <v>58</v>
      </c>
    </row>
    <row r="29" spans="1:28" x14ac:dyDescent="0.25">
      <c r="A29" s="453"/>
      <c r="B29" s="432" t="s">
        <v>59</v>
      </c>
      <c r="C29" s="433">
        <f>+'MMW Output'!C34</f>
        <v>261.72839506172835</v>
      </c>
      <c r="D29" s="434" t="e">
        <f>+'MMW Output'!#REF!</f>
        <v>#REF!</v>
      </c>
      <c r="E29" s="434" t="e">
        <f>+'MMW Output'!#REF!</f>
        <v>#REF!</v>
      </c>
      <c r="F29" s="434"/>
      <c r="G29" s="434">
        <f>+'MMW Output'!D34</f>
        <v>6.8283337499999996</v>
      </c>
      <c r="H29" s="434" t="e">
        <f>+'MMW Output'!#REF!</f>
        <v>#REF!</v>
      </c>
      <c r="I29" s="434"/>
      <c r="J29" s="434">
        <f>+'MMW Output'!E34</f>
        <v>277.38900000000001</v>
      </c>
      <c r="K29" s="434" t="e">
        <f>+'MMW Output'!#REF!</f>
        <v>#REF!</v>
      </c>
      <c r="L29" s="434"/>
      <c r="M29" s="434">
        <f>+'MMW Output'!F34</f>
        <v>28.664999999999999</v>
      </c>
      <c r="N29" s="435"/>
      <c r="O29" s="425">
        <f t="shared" si="0"/>
        <v>52.178776768867934</v>
      </c>
      <c r="P29" s="425">
        <f>IF(C29=0,0,'Stream Bank SedimentLoadingRate'!E153)</f>
        <v>5240.9070614157317</v>
      </c>
      <c r="Q29" s="436">
        <f t="shared" si="3"/>
        <v>5293.0858381846001</v>
      </c>
      <c r="R29" s="437"/>
      <c r="S29" s="425">
        <f t="shared" si="1"/>
        <v>1.06</v>
      </c>
      <c r="T29" s="428">
        <f>IF(C29=0,0,ROUND('Stream Bank Nitrogen Loading'!E150,2))</f>
        <v>1.63</v>
      </c>
      <c r="U29" s="429" t="s">
        <v>49</v>
      </c>
      <c r="V29" s="438">
        <f t="shared" si="4"/>
        <v>2.69</v>
      </c>
      <c r="W29" s="437"/>
      <c r="X29" s="425">
        <f t="shared" si="2"/>
        <v>0.11</v>
      </c>
      <c r="Y29" s="425">
        <f>IF(C29=0,0,ROUND('Stream Bank Phosphorus Loading'!E150,2))</f>
        <v>1.31</v>
      </c>
      <c r="Z29" s="429" t="s">
        <v>49</v>
      </c>
      <c r="AA29" s="439">
        <f t="shared" si="5"/>
        <v>1.4200000000000002</v>
      </c>
      <c r="AB29" s="56" t="s">
        <v>59</v>
      </c>
    </row>
    <row r="30" spans="1:28" x14ac:dyDescent="0.25">
      <c r="A30" s="453"/>
      <c r="B30" s="421" t="s">
        <v>60</v>
      </c>
      <c r="C30" s="422">
        <f>+'MMW Output'!C35</f>
        <v>0</v>
      </c>
      <c r="D30" s="423"/>
      <c r="E30" s="423"/>
      <c r="F30" s="423"/>
      <c r="G30" s="423">
        <f>+'MMW Output'!D35</f>
        <v>0</v>
      </c>
      <c r="H30" s="423"/>
      <c r="I30" s="423"/>
      <c r="J30" s="423">
        <f>+'MMW Output'!E35</f>
        <v>0</v>
      </c>
      <c r="K30" s="423"/>
      <c r="L30" s="423"/>
      <c r="M30" s="423">
        <f>+'MMW Output'!F35</f>
        <v>0</v>
      </c>
      <c r="N30" s="424"/>
      <c r="O30" s="425">
        <f t="shared" si="0"/>
        <v>0</v>
      </c>
      <c r="P30" s="425">
        <f>IF(C30=0,0,'Stream Bank SedimentLoadingRate'!E154)</f>
        <v>0</v>
      </c>
      <c r="Q30" s="426">
        <f t="shared" si="3"/>
        <v>0</v>
      </c>
      <c r="R30" s="427"/>
      <c r="S30" s="425">
        <f t="shared" si="1"/>
        <v>0</v>
      </c>
      <c r="T30" s="428">
        <f>IF(C30=0,0,ROUND('Stream Bank Nitrogen Loading'!E151,2))</f>
        <v>0</v>
      </c>
      <c r="U30" s="440" t="s">
        <v>49</v>
      </c>
      <c r="V30" s="430">
        <f t="shared" si="4"/>
        <v>0</v>
      </c>
      <c r="W30" s="427"/>
      <c r="X30" s="425">
        <f t="shared" si="2"/>
        <v>0</v>
      </c>
      <c r="Y30" s="425">
        <f>IF(C30=0,0,ROUND('Stream Bank Phosphorus Loading'!E151,2))</f>
        <v>0</v>
      </c>
      <c r="Z30" s="440" t="s">
        <v>49</v>
      </c>
      <c r="AA30" s="431">
        <f t="shared" si="5"/>
        <v>0</v>
      </c>
      <c r="AB30" s="55" t="s">
        <v>60</v>
      </c>
    </row>
    <row r="31" spans="1:28" x14ac:dyDescent="0.25">
      <c r="A31" s="453"/>
      <c r="B31" s="432" t="s">
        <v>61</v>
      </c>
      <c r="C31" s="433">
        <f>+'MMW Output'!C36</f>
        <v>0</v>
      </c>
      <c r="D31" s="434"/>
      <c r="E31" s="434"/>
      <c r="F31" s="434"/>
      <c r="G31" s="434">
        <f>+'MMW Output'!D36</f>
        <v>0</v>
      </c>
      <c r="H31" s="434"/>
      <c r="I31" s="434"/>
      <c r="J31" s="434">
        <f>+'MMW Output'!E36</f>
        <v>0</v>
      </c>
      <c r="K31" s="434"/>
      <c r="L31" s="434"/>
      <c r="M31" s="434">
        <f>+'MMW Output'!F36</f>
        <v>0</v>
      </c>
      <c r="N31" s="435"/>
      <c r="O31" s="425">
        <f t="shared" si="0"/>
        <v>0</v>
      </c>
      <c r="P31" s="425">
        <f>IF(C31=0,0,'Stream Bank SedimentLoadingRate'!E155)</f>
        <v>0</v>
      </c>
      <c r="Q31" s="436">
        <f t="shared" si="3"/>
        <v>0</v>
      </c>
      <c r="R31" s="437"/>
      <c r="S31" s="425">
        <f t="shared" si="1"/>
        <v>0</v>
      </c>
      <c r="T31" s="428">
        <f>IF(C31=0,0,ROUND('Stream Bank Nitrogen Loading'!E152,2))</f>
        <v>0</v>
      </c>
      <c r="U31" s="429" t="s">
        <v>49</v>
      </c>
      <c r="V31" s="438">
        <f t="shared" si="4"/>
        <v>0</v>
      </c>
      <c r="W31" s="437"/>
      <c r="X31" s="425">
        <f t="shared" si="2"/>
        <v>0</v>
      </c>
      <c r="Y31" s="425">
        <f>IF(C31=0,0,ROUND('Stream Bank Phosphorus Loading'!E152,2))</f>
        <v>0</v>
      </c>
      <c r="Z31" s="429" t="s">
        <v>49</v>
      </c>
      <c r="AA31" s="439">
        <f t="shared" si="5"/>
        <v>0</v>
      </c>
      <c r="AB31" s="56" t="s">
        <v>61</v>
      </c>
    </row>
    <row r="32" spans="1:28" ht="16.5" thickBot="1" x14ac:dyDescent="0.3">
      <c r="A32" s="454"/>
      <c r="B32" s="406" t="s">
        <v>62</v>
      </c>
      <c r="C32" s="405">
        <f>+'MMW Output'!C37</f>
        <v>0</v>
      </c>
      <c r="D32" s="402"/>
      <c r="E32" s="402"/>
      <c r="F32" s="402"/>
      <c r="G32" s="402">
        <f>+'MMW Output'!D37</f>
        <v>0</v>
      </c>
      <c r="H32" s="402"/>
      <c r="I32" s="402"/>
      <c r="J32" s="402">
        <f>+'MMW Output'!E37</f>
        <v>0</v>
      </c>
      <c r="K32" s="402"/>
      <c r="L32" s="402"/>
      <c r="M32" s="402">
        <f>+'MMW Output'!F37</f>
        <v>0</v>
      </c>
      <c r="N32" s="403"/>
      <c r="O32" s="441">
        <f t="shared" si="0"/>
        <v>0</v>
      </c>
      <c r="P32" s="441">
        <f>IF(C32=0,0,'Stream Bank SedimentLoadingRate'!E156)</f>
        <v>0</v>
      </c>
      <c r="Q32" s="442">
        <f t="shared" si="3"/>
        <v>0</v>
      </c>
      <c r="R32" s="443"/>
      <c r="S32" s="441">
        <f t="shared" si="1"/>
        <v>0</v>
      </c>
      <c r="T32" s="444">
        <f>IF(C32=0,0,ROUND('Stream Bank Nitrogen Loading'!E153,2))</f>
        <v>0</v>
      </c>
      <c r="U32" s="404" t="s">
        <v>49</v>
      </c>
      <c r="V32" s="445">
        <f t="shared" si="4"/>
        <v>0</v>
      </c>
      <c r="W32" s="443"/>
      <c r="X32" s="441">
        <f t="shared" si="2"/>
        <v>0</v>
      </c>
      <c r="Y32" s="441">
        <f>IF(C32=0,0,ROUND('Stream Bank Phosphorus Loading'!E153,2))</f>
        <v>0</v>
      </c>
      <c r="Z32" s="404" t="s">
        <v>49</v>
      </c>
      <c r="AA32" s="407">
        <f t="shared" si="5"/>
        <v>0</v>
      </c>
      <c r="AB32" s="57" t="s">
        <v>62</v>
      </c>
    </row>
    <row r="34" spans="1:28" ht="16.5" x14ac:dyDescent="0.25">
      <c r="A34" s="455" t="s">
        <v>63</v>
      </c>
      <c r="B34" s="58" t="s">
        <v>24</v>
      </c>
      <c r="C34" s="59"/>
      <c r="D34" s="60"/>
      <c r="E34" s="60"/>
      <c r="F34" s="60"/>
      <c r="G34" s="61" t="s">
        <v>28</v>
      </c>
      <c r="H34" s="52"/>
      <c r="I34" s="52"/>
      <c r="J34" s="61" t="s">
        <v>30</v>
      </c>
      <c r="K34" s="61" t="s">
        <v>31</v>
      </c>
      <c r="L34" s="61"/>
      <c r="M34" s="62" t="s">
        <v>32</v>
      </c>
      <c r="O34" s="399" t="s">
        <v>42</v>
      </c>
      <c r="P34" s="400"/>
      <c r="Q34" s="399" t="s">
        <v>43</v>
      </c>
      <c r="R34" s="51"/>
      <c r="S34" s="399" t="s">
        <v>42</v>
      </c>
      <c r="T34" s="401"/>
      <c r="U34" s="399"/>
      <c r="V34" s="399" t="s">
        <v>44</v>
      </c>
      <c r="W34" s="51"/>
      <c r="X34" s="399" t="s">
        <v>42</v>
      </c>
      <c r="Y34" s="401"/>
      <c r="Z34" s="399"/>
      <c r="AA34" s="399" t="s">
        <v>44</v>
      </c>
      <c r="AB34" s="23"/>
    </row>
    <row r="35" spans="1:28" x14ac:dyDescent="0.25">
      <c r="A35" s="456"/>
      <c r="B35" s="63" t="s">
        <v>36</v>
      </c>
      <c r="C35" s="64"/>
      <c r="D35" s="65" t="s">
        <v>38</v>
      </c>
      <c r="E35" s="65" t="s">
        <v>39</v>
      </c>
      <c r="F35" s="65"/>
      <c r="G35" s="65" t="s">
        <v>39</v>
      </c>
      <c r="H35" s="66"/>
      <c r="I35" s="66"/>
      <c r="J35" s="65" t="s">
        <v>40</v>
      </c>
      <c r="K35" s="65" t="s">
        <v>40</v>
      </c>
      <c r="L35" s="65"/>
      <c r="M35" s="67" t="s">
        <v>40</v>
      </c>
      <c r="Y35" s="23"/>
      <c r="Z35" s="23"/>
      <c r="AA35" s="23"/>
      <c r="AB35" s="23"/>
    </row>
    <row r="36" spans="1:28" x14ac:dyDescent="0.25">
      <c r="A36" s="456"/>
      <c r="B36" s="68" t="s">
        <v>64</v>
      </c>
      <c r="C36" s="69" t="str">
        <f>+'MMW Output'!C38</f>
        <v xml:space="preserve"> </v>
      </c>
      <c r="D36" s="69" t="e">
        <f>+'MMW Output'!#REF!</f>
        <v>#REF!</v>
      </c>
      <c r="E36" s="69" t="e">
        <f>+'MMW Output'!#REF!</f>
        <v>#REF!</v>
      </c>
      <c r="F36" s="69"/>
      <c r="G36" s="70">
        <f>+'MMW Output'!D38</f>
        <v>0</v>
      </c>
      <c r="H36" s="70" t="e">
        <f>+'MMW Output'!#REF!</f>
        <v>#REF!</v>
      </c>
      <c r="I36" s="70"/>
      <c r="J36" s="70">
        <f>+'MMW Output'!E38</f>
        <v>503222.01300000004</v>
      </c>
      <c r="K36" s="70" t="e">
        <f>+'MMW Output'!#REF!</f>
        <v>#REF!</v>
      </c>
      <c r="L36" s="70"/>
      <c r="M36" s="71">
        <f>+'MMW Output'!F38</f>
        <v>125948.05650000001</v>
      </c>
      <c r="Y36" s="23"/>
      <c r="Z36" s="23"/>
      <c r="AA36" s="23"/>
      <c r="AB36" s="23"/>
    </row>
    <row r="37" spans="1:28" x14ac:dyDescent="0.25">
      <c r="A37" s="456"/>
      <c r="B37" s="72" t="s">
        <v>65</v>
      </c>
      <c r="C37" s="73" t="str">
        <f>+'MMW Output'!C39</f>
        <v xml:space="preserve"> </v>
      </c>
      <c r="D37" s="73" t="e">
        <f>+'MMW Output'!#REF!</f>
        <v>#REF!</v>
      </c>
      <c r="E37" s="73" t="e">
        <f>+'MMW Output'!#REF!</f>
        <v>#REF!</v>
      </c>
      <c r="F37" s="73"/>
      <c r="G37" s="74">
        <f>+'MMW Output'!D39</f>
        <v>0</v>
      </c>
      <c r="H37" s="74" t="e">
        <f>+'MMW Output'!#REF!</f>
        <v>#REF!</v>
      </c>
      <c r="I37" s="74"/>
      <c r="J37" s="74">
        <f>+'MMW Output'!E39</f>
        <v>0</v>
      </c>
      <c r="K37" s="74" t="e">
        <f>+'MMW Output'!#REF!</f>
        <v>#REF!</v>
      </c>
      <c r="L37" s="74"/>
      <c r="M37" s="75">
        <f>+'MMW Output'!F39</f>
        <v>0</v>
      </c>
      <c r="P37" s="21"/>
    </row>
    <row r="38" spans="1:28" x14ac:dyDescent="0.25">
      <c r="A38" s="454"/>
      <c r="B38" s="76" t="s">
        <v>77</v>
      </c>
      <c r="C38" s="77" t="str">
        <f>+'MMW Output'!C40</f>
        <v xml:space="preserve"> </v>
      </c>
      <c r="D38" s="78" t="e">
        <f>+'MMW Output'!#REF!</f>
        <v>#REF!</v>
      </c>
      <c r="E38" s="78" t="e">
        <f>+'MMW Output'!#REF!</f>
        <v>#REF!</v>
      </c>
      <c r="F38" s="78"/>
      <c r="G38" s="79">
        <f>+'MMW Output'!D40</f>
        <v>29191.545180000001</v>
      </c>
      <c r="H38" s="79" t="e">
        <f>+'MMW Output'!#REF!</f>
        <v>#REF!</v>
      </c>
      <c r="I38" s="79"/>
      <c r="J38" s="79">
        <f>+'MMW Output'!E40</f>
        <v>31002.3</v>
      </c>
      <c r="K38" s="79" t="e">
        <f>+'MMW Output'!#REF!</f>
        <v>#REF!</v>
      </c>
      <c r="L38" s="79"/>
      <c r="M38" s="80">
        <f>+'MMW Output'!F40</f>
        <v>14638.995000000001</v>
      </c>
      <c r="P38" s="21"/>
      <c r="Q38" s="81"/>
    </row>
    <row r="39" spans="1:28" x14ac:dyDescent="0.25">
      <c r="A39" s="82"/>
      <c r="B39" s="83" t="s">
        <v>66</v>
      </c>
      <c r="C39" s="84"/>
      <c r="D39" s="85"/>
      <c r="E39" s="85"/>
      <c r="F39" s="85"/>
      <c r="G39" s="86">
        <v>0</v>
      </c>
      <c r="H39" s="86"/>
      <c r="I39" s="86"/>
      <c r="J39" s="86">
        <f>+'MMW Output'!E41</f>
        <v>2435375.0925000003</v>
      </c>
      <c r="K39" s="86"/>
      <c r="L39" s="86"/>
      <c r="M39" s="87">
        <f>+'MMW Output'!F41</f>
        <v>18529.056</v>
      </c>
      <c r="P39" s="21"/>
    </row>
    <row r="40" spans="1:28" x14ac:dyDescent="0.25">
      <c r="A40" s="88"/>
      <c r="B40" s="89" t="s">
        <v>67</v>
      </c>
      <c r="C40" s="90"/>
      <c r="D40" s="91"/>
      <c r="E40" s="91"/>
      <c r="F40" s="91"/>
      <c r="G40" s="92">
        <v>0</v>
      </c>
      <c r="H40" s="92"/>
      <c r="I40" s="92"/>
      <c r="J40" s="79">
        <f>+'MMW Output'!E42</f>
        <v>2220.4349999999999</v>
      </c>
      <c r="K40" s="92"/>
      <c r="L40" s="92"/>
      <c r="M40" s="80">
        <f>+'MMW Output'!F42</f>
        <v>670.32</v>
      </c>
      <c r="O40" s="23"/>
      <c r="P40" s="23"/>
      <c r="Q40" s="23"/>
      <c r="R40" s="23"/>
      <c r="S40" s="23"/>
      <c r="T40" s="23"/>
      <c r="U40" s="23"/>
      <c r="V40" s="23"/>
      <c r="W40" s="23"/>
      <c r="X40" s="23"/>
      <c r="Y40" s="23"/>
      <c r="Z40" s="23"/>
      <c r="AA40" s="23"/>
      <c r="AB40" s="23"/>
    </row>
    <row r="41" spans="1:28" x14ac:dyDescent="0.25">
      <c r="A41" s="82"/>
      <c r="B41" s="93" t="s">
        <v>68</v>
      </c>
      <c r="C41" s="94"/>
      <c r="D41" s="95"/>
      <c r="E41" s="95"/>
      <c r="F41" s="95"/>
      <c r="G41" s="96">
        <v>0</v>
      </c>
      <c r="H41" s="96"/>
      <c r="I41" s="96"/>
      <c r="J41" s="96">
        <f>+'MMW Output'!E43</f>
        <v>3392.3924999999999</v>
      </c>
      <c r="K41" s="96"/>
      <c r="L41" s="96"/>
      <c r="M41" s="97">
        <f>+'MMW Output'!F43</f>
        <v>0</v>
      </c>
      <c r="P41" s="21"/>
    </row>
    <row r="42" spans="1:28" x14ac:dyDescent="0.25">
      <c r="A42" s="88"/>
      <c r="B42" s="98"/>
      <c r="C42" s="85"/>
      <c r="D42" s="85"/>
      <c r="E42" s="85"/>
      <c r="F42" s="85"/>
      <c r="G42" s="86"/>
      <c r="H42" s="86"/>
      <c r="I42" s="86"/>
      <c r="J42" s="86"/>
      <c r="K42" s="86"/>
      <c r="L42" s="86"/>
      <c r="M42" s="86"/>
      <c r="O42" s="23"/>
      <c r="P42" s="23"/>
      <c r="Q42" s="23"/>
      <c r="R42" s="23"/>
      <c r="S42" s="23"/>
      <c r="T42" s="23"/>
      <c r="U42" s="23"/>
      <c r="V42" s="23"/>
      <c r="W42" s="23"/>
      <c r="X42" s="23"/>
      <c r="Y42" s="23"/>
      <c r="Z42" s="23"/>
      <c r="AA42" s="23"/>
      <c r="AB42" s="23"/>
    </row>
    <row r="43" spans="1:28" x14ac:dyDescent="0.25">
      <c r="A43" s="88"/>
      <c r="B43" s="98"/>
      <c r="C43" s="85"/>
      <c r="D43" s="85"/>
      <c r="E43" s="85"/>
      <c r="F43" s="85"/>
      <c r="G43" s="86"/>
      <c r="H43" s="86"/>
      <c r="I43" s="86"/>
      <c r="J43" s="86"/>
      <c r="K43" s="86"/>
      <c r="L43" s="86"/>
      <c r="M43" s="86"/>
      <c r="O43" s="23"/>
      <c r="P43" s="23"/>
      <c r="Q43" s="23"/>
      <c r="R43" s="23"/>
      <c r="S43" s="23"/>
      <c r="T43" s="23"/>
      <c r="U43" s="23"/>
      <c r="V43" s="23"/>
      <c r="W43" s="23"/>
      <c r="X43" s="23"/>
      <c r="Y43" s="23"/>
      <c r="Z43" s="23"/>
      <c r="AA43" s="23"/>
      <c r="AB43" s="23"/>
    </row>
    <row r="44" spans="1:28" x14ac:dyDescent="0.25">
      <c r="P44" s="21"/>
      <c r="AB44" s="23"/>
    </row>
    <row r="45" spans="1:28" x14ac:dyDescent="0.25">
      <c r="A45" s="99"/>
      <c r="B45" s="99" t="s">
        <v>69</v>
      </c>
      <c r="C45" s="99"/>
      <c r="D45" s="99"/>
      <c r="E45" s="99"/>
      <c r="F45" s="99"/>
      <c r="G45" s="99"/>
      <c r="H45" s="99"/>
      <c r="I45" s="99"/>
      <c r="J45" s="99"/>
      <c r="K45" s="99"/>
      <c r="L45" s="99"/>
      <c r="M45" s="99"/>
      <c r="N45" s="408"/>
      <c r="O45" s="99"/>
      <c r="P45" s="99"/>
      <c r="Q45" s="99"/>
      <c r="R45" s="99"/>
      <c r="S45" s="99"/>
      <c r="T45" s="99"/>
      <c r="U45" s="99"/>
      <c r="V45" s="99"/>
      <c r="W45" s="99"/>
      <c r="X45" s="99"/>
      <c r="Y45" s="99"/>
      <c r="Z45" s="99"/>
      <c r="AA45" s="99"/>
      <c r="AB45" s="99"/>
    </row>
    <row r="46" spans="1:28" x14ac:dyDescent="0.25">
      <c r="B46" s="457" t="s">
        <v>78</v>
      </c>
      <c r="C46" s="457"/>
      <c r="D46" s="457"/>
      <c r="E46" s="457"/>
      <c r="F46" s="457"/>
      <c r="G46" s="457"/>
      <c r="H46" s="457"/>
      <c r="I46" s="457"/>
      <c r="J46" s="457"/>
      <c r="K46" s="457"/>
      <c r="L46" s="457"/>
      <c r="M46" s="457"/>
      <c r="N46" s="457"/>
      <c r="O46" s="457"/>
      <c r="P46" s="457"/>
      <c r="Q46" s="457"/>
      <c r="R46" s="457"/>
      <c r="S46" s="457"/>
      <c r="T46" s="457"/>
      <c r="U46" s="457"/>
      <c r="V46" s="457"/>
      <c r="W46" s="457"/>
      <c r="X46" s="457"/>
      <c r="Y46" s="457"/>
      <c r="Z46" s="457"/>
      <c r="AA46" s="457"/>
    </row>
    <row r="47" spans="1:28" x14ac:dyDescent="0.25">
      <c r="B47" s="457" t="s">
        <v>79</v>
      </c>
      <c r="C47" s="457"/>
      <c r="D47" s="457"/>
      <c r="E47" s="457"/>
      <c r="F47" s="457"/>
      <c r="G47" s="457"/>
      <c r="H47" s="457"/>
      <c r="I47" s="457"/>
      <c r="J47" s="457"/>
      <c r="K47" s="457"/>
      <c r="L47" s="457"/>
      <c r="M47" s="457"/>
      <c r="N47" s="457"/>
      <c r="O47" s="457"/>
      <c r="P47" s="457"/>
      <c r="Q47" s="457"/>
      <c r="R47" s="457"/>
      <c r="S47" s="457"/>
      <c r="T47" s="457"/>
      <c r="U47" s="457"/>
      <c r="V47" s="457"/>
      <c r="W47" s="457"/>
      <c r="X47" s="457"/>
      <c r="Y47" s="457"/>
      <c r="Z47" s="457"/>
      <c r="AA47" s="457"/>
    </row>
    <row r="48" spans="1:28" x14ac:dyDescent="0.25">
      <c r="B48" s="100" t="s">
        <v>66</v>
      </c>
      <c r="C48" s="101" t="str">
        <f>+'MMW Output'!C41</f>
        <v xml:space="preserve"> </v>
      </c>
      <c r="D48" s="101" t="e">
        <f>+'MMW Output'!#REF!</f>
        <v>#REF!</v>
      </c>
      <c r="E48" s="101" t="e">
        <f>+'MMW Output'!#REF!</f>
        <v>#REF!</v>
      </c>
      <c r="F48" s="101"/>
      <c r="G48" s="101">
        <f>+'MMW Output'!D41</f>
        <v>0</v>
      </c>
      <c r="H48" s="101" t="e">
        <f>+'MMW Output'!#REF!</f>
        <v>#REF!</v>
      </c>
      <c r="I48" s="101"/>
      <c r="J48" s="101">
        <f>+'MMW Output'!E41</f>
        <v>2435375.0925000003</v>
      </c>
      <c r="K48" s="101" t="e">
        <f>+'MMW Output'!#REF!</f>
        <v>#REF!</v>
      </c>
      <c r="L48" s="101"/>
      <c r="M48" s="101">
        <f>+'MMW Output'!F41</f>
        <v>18529.056</v>
      </c>
    </row>
    <row r="49" spans="2:17" x14ac:dyDescent="0.25">
      <c r="B49" s="100" t="s">
        <v>67</v>
      </c>
      <c r="C49" s="101" t="str">
        <f>+'MMW Output'!C42</f>
        <v xml:space="preserve"> </v>
      </c>
      <c r="D49" s="101" t="e">
        <f>+'MMW Output'!#REF!</f>
        <v>#REF!</v>
      </c>
      <c r="E49" s="101" t="e">
        <f>+'MMW Output'!#REF!</f>
        <v>#REF!</v>
      </c>
      <c r="F49" s="101"/>
      <c r="G49" s="101">
        <f>+'MMW Output'!D42</f>
        <v>0</v>
      </c>
      <c r="H49" s="101" t="e">
        <f>+'MMW Output'!#REF!</f>
        <v>#REF!</v>
      </c>
      <c r="I49" s="101"/>
      <c r="J49" s="101">
        <f>+'MMW Output'!E42</f>
        <v>2220.4349999999999</v>
      </c>
      <c r="K49" s="101" t="e">
        <f>+'MMW Output'!#REF!</f>
        <v>#REF!</v>
      </c>
      <c r="L49" s="101"/>
      <c r="M49" s="101">
        <f>+'MMW Output'!F42</f>
        <v>670.32</v>
      </c>
    </row>
    <row r="50" spans="2:17" ht="16.5" thickBot="1" x14ac:dyDescent="0.3">
      <c r="B50" s="102" t="s">
        <v>68</v>
      </c>
      <c r="C50" s="101" t="str">
        <f>+'MMW Output'!C43</f>
        <v xml:space="preserve"> </v>
      </c>
      <c r="D50" s="101" t="e">
        <f>+'MMW Output'!#REF!</f>
        <v>#REF!</v>
      </c>
      <c r="E50" s="101" t="e">
        <f>+'MMW Output'!#REF!</f>
        <v>#REF!</v>
      </c>
      <c r="F50" s="101"/>
      <c r="G50" s="101">
        <f>+'MMW Output'!D43</f>
        <v>0</v>
      </c>
      <c r="H50" s="101" t="e">
        <f>+'MMW Output'!#REF!</f>
        <v>#REF!</v>
      </c>
      <c r="I50" s="101"/>
      <c r="J50" s="101">
        <f>+'MMW Output'!E43</f>
        <v>3392.3924999999999</v>
      </c>
      <c r="K50" s="101" t="e">
        <f>+'MMW Output'!#REF!</f>
        <v>#REF!</v>
      </c>
      <c r="L50" s="101"/>
      <c r="M50" s="101">
        <f>+'MMW Output'!F43</f>
        <v>0</v>
      </c>
    </row>
    <row r="51" spans="2:17" ht="18" x14ac:dyDescent="0.25">
      <c r="B51" s="103"/>
      <c r="C51" s="23"/>
      <c r="D51" s="23"/>
      <c r="E51" s="23"/>
      <c r="F51" s="23"/>
      <c r="G51" s="23"/>
      <c r="H51" s="23"/>
      <c r="I51" s="23"/>
      <c r="J51" s="23"/>
      <c r="K51" s="23"/>
      <c r="L51" s="23"/>
      <c r="M51" s="23"/>
    </row>
    <row r="52" spans="2:17" x14ac:dyDescent="0.25">
      <c r="P52" s="21"/>
      <c r="Q52" s="22"/>
    </row>
    <row r="53" spans="2:17" ht="18" x14ac:dyDescent="0.25">
      <c r="B53" s="103"/>
    </row>
  </sheetData>
  <mergeCells count="9">
    <mergeCell ref="A17:A32"/>
    <mergeCell ref="A34:A38"/>
    <mergeCell ref="B46:AA46"/>
    <mergeCell ref="B47:AA47"/>
    <mergeCell ref="B11:M11"/>
    <mergeCell ref="O11:AB11"/>
    <mergeCell ref="O13:Q13"/>
    <mergeCell ref="S13:V13"/>
    <mergeCell ref="X13:AA1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3"/>
  <sheetViews>
    <sheetView topLeftCell="A77" zoomScale="80" zoomScaleNormal="80" zoomScaleSheetLayoutView="100" workbookViewId="0">
      <selection activeCell="K98" sqref="K98"/>
    </sheetView>
  </sheetViews>
  <sheetFormatPr defaultColWidth="8.875" defaultRowHeight="12.75" x14ac:dyDescent="0.2"/>
  <cols>
    <col min="1" max="1" width="15.125" style="105" customWidth="1"/>
    <col min="2" max="2" width="1.5" style="105" customWidth="1"/>
    <col min="3" max="3" width="13.5" style="105" customWidth="1"/>
    <col min="4" max="4" width="13.375" style="105" customWidth="1"/>
    <col min="5" max="5" width="14" style="105" customWidth="1"/>
    <col min="6" max="6" width="13.875" style="105" customWidth="1"/>
    <col min="7" max="8" width="8.875" style="105"/>
    <col min="9" max="9" width="10.125" style="105" customWidth="1"/>
    <col min="10" max="10" width="8.875" style="105"/>
    <col min="11" max="11" width="14.625" style="105" customWidth="1"/>
    <col min="12" max="12" width="14.5" style="105" customWidth="1"/>
    <col min="13" max="13" width="12.375" style="105" customWidth="1"/>
    <col min="14" max="14" width="16.5" style="105" customWidth="1"/>
    <col min="15" max="15" width="14.875" style="105" customWidth="1"/>
    <col min="16" max="16" width="14" style="105" customWidth="1"/>
    <col min="17" max="16384" width="8.875" style="105"/>
  </cols>
  <sheetData>
    <row r="1" spans="1:6" ht="15.75" x14ac:dyDescent="0.25">
      <c r="A1" s="105" t="s">
        <v>80</v>
      </c>
      <c r="B1" s="106"/>
    </row>
    <row r="2" spans="1:6" ht="6.6" customHeight="1" x14ac:dyDescent="0.2"/>
    <row r="3" spans="1:6" x14ac:dyDescent="0.2">
      <c r="A3" s="107" t="s">
        <v>81</v>
      </c>
      <c r="B3" s="105" t="str">
        <f>+C15</f>
        <v>User Specified</v>
      </c>
    </row>
    <row r="4" spans="1:6" ht="6" customHeight="1" x14ac:dyDescent="0.2"/>
    <row r="5" spans="1:6" x14ac:dyDescent="0.2">
      <c r="A5" s="105" t="s">
        <v>82</v>
      </c>
      <c r="B5" s="464" t="str">
        <f>+C16</f>
        <v>User Specified</v>
      </c>
      <c r="C5" s="464"/>
    </row>
    <row r="7" spans="1:6" x14ac:dyDescent="0.2">
      <c r="A7" s="108" t="s">
        <v>83</v>
      </c>
      <c r="B7" s="108" t="s">
        <v>84</v>
      </c>
    </row>
    <row r="9" spans="1:6" ht="133.5" customHeight="1" x14ac:dyDescent="0.2">
      <c r="A9" s="465" t="s">
        <v>85</v>
      </c>
      <c r="B9" s="465"/>
      <c r="C9" s="465"/>
      <c r="D9" s="465"/>
      <c r="E9" s="465"/>
      <c r="F9" s="465"/>
    </row>
    <row r="10" spans="1:6" ht="15" x14ac:dyDescent="0.25">
      <c r="A10" s="109"/>
    </row>
    <row r="11" spans="1:6" ht="9" customHeight="1" x14ac:dyDescent="0.2"/>
    <row r="12" spans="1:6" x14ac:dyDescent="0.2">
      <c r="A12" s="110"/>
      <c r="B12" s="111" t="s">
        <v>86</v>
      </c>
      <c r="C12" s="112" t="s">
        <v>87</v>
      </c>
    </row>
    <row r="13" spans="1:6" x14ac:dyDescent="0.2">
      <c r="B13" s="111" t="s">
        <v>88</v>
      </c>
      <c r="C13" s="113" t="s">
        <v>87</v>
      </c>
      <c r="F13" s="114"/>
    </row>
    <row r="14" spans="1:6" x14ac:dyDescent="0.2">
      <c r="A14" s="115"/>
      <c r="B14" s="115" t="s">
        <v>89</v>
      </c>
      <c r="C14" s="112" t="s">
        <v>87</v>
      </c>
      <c r="D14" s="116"/>
    </row>
    <row r="15" spans="1:6" x14ac:dyDescent="0.2">
      <c r="B15" s="115" t="s">
        <v>90</v>
      </c>
      <c r="C15" s="112" t="s">
        <v>87</v>
      </c>
    </row>
    <row r="16" spans="1:6" x14ac:dyDescent="0.2">
      <c r="A16" s="111"/>
      <c r="B16" s="111" t="s">
        <v>91</v>
      </c>
      <c r="C16" s="117" t="s">
        <v>87</v>
      </c>
    </row>
    <row r="17" spans="1:8" ht="5.0999999999999996" customHeight="1" x14ac:dyDescent="0.2">
      <c r="A17" s="111"/>
      <c r="B17" s="111"/>
      <c r="C17" s="116"/>
    </row>
    <row r="18" spans="1:8" ht="13.5" thickBot="1" x14ac:dyDescent="0.25">
      <c r="C18" s="466" t="s">
        <v>92</v>
      </c>
      <c r="D18" s="466"/>
      <c r="E18" s="466"/>
      <c r="F18" s="466"/>
    </row>
    <row r="19" spans="1:8" ht="4.3499999999999996" customHeight="1" thickBot="1" x14ac:dyDescent="0.25"/>
    <row r="20" spans="1:8" ht="16.350000000000001" customHeight="1" x14ac:dyDescent="0.2">
      <c r="A20" s="118" t="s">
        <v>24</v>
      </c>
      <c r="B20" s="119"/>
      <c r="C20" s="120" t="s">
        <v>25</v>
      </c>
      <c r="D20" s="120" t="s">
        <v>28</v>
      </c>
      <c r="E20" s="120" t="s">
        <v>93</v>
      </c>
      <c r="F20" s="121" t="s">
        <v>94</v>
      </c>
    </row>
    <row r="21" spans="1:8" ht="13.35" customHeight="1" thickBot="1" x14ac:dyDescent="0.25">
      <c r="A21" s="122" t="s">
        <v>36</v>
      </c>
      <c r="B21" s="123"/>
      <c r="C21" s="124" t="s">
        <v>95</v>
      </c>
      <c r="D21" s="124" t="s">
        <v>96</v>
      </c>
      <c r="E21" s="124" t="s">
        <v>97</v>
      </c>
      <c r="F21" s="125" t="s">
        <v>97</v>
      </c>
    </row>
    <row r="22" spans="1:8" ht="13.35" customHeight="1" x14ac:dyDescent="0.2">
      <c r="A22" s="126" t="s">
        <v>46</v>
      </c>
      <c r="B22" s="127"/>
      <c r="C22" s="128">
        <f>F62</f>
        <v>23560.493827160491</v>
      </c>
      <c r="D22" s="128">
        <f t="shared" ref="D22:F25" si="0">N50</f>
        <v>976.70816775000003</v>
      </c>
      <c r="E22" s="128">
        <f t="shared" si="0"/>
        <v>12210.1875</v>
      </c>
      <c r="F22" s="129">
        <f t="shared" si="0"/>
        <v>5079.4380000000001</v>
      </c>
    </row>
    <row r="23" spans="1:8" ht="13.35" customHeight="1" x14ac:dyDescent="0.2">
      <c r="A23" s="126" t="s">
        <v>47</v>
      </c>
      <c r="B23" s="127"/>
      <c r="C23" s="128">
        <f>F63</f>
        <v>34311.111111111109</v>
      </c>
      <c r="D23" s="128">
        <f t="shared" si="0"/>
        <v>19255.817274749999</v>
      </c>
      <c r="E23" s="128">
        <f t="shared" si="0"/>
        <v>156649.37400000001</v>
      </c>
      <c r="F23" s="129">
        <f t="shared" si="0"/>
        <v>48194.243999999999</v>
      </c>
    </row>
    <row r="24" spans="1:8" ht="13.35" customHeight="1" x14ac:dyDescent="0.2">
      <c r="A24" s="126" t="s">
        <v>48</v>
      </c>
      <c r="B24" s="127"/>
      <c r="C24" s="128">
        <f>SUM(F57:F59)+F60</f>
        <v>26165.432098765428</v>
      </c>
      <c r="D24" s="128">
        <f t="shared" si="0"/>
        <v>22.606101000000002</v>
      </c>
      <c r="E24" s="128">
        <f t="shared" si="0"/>
        <v>1606.1220000000001</v>
      </c>
      <c r="F24" s="129">
        <f t="shared" si="0"/>
        <v>124.80300000000001</v>
      </c>
    </row>
    <row r="25" spans="1:8" ht="13.35" customHeight="1" x14ac:dyDescent="0.2">
      <c r="A25" s="126" t="s">
        <v>50</v>
      </c>
      <c r="B25" s="127"/>
      <c r="C25" s="128">
        <f>F64+F65</f>
        <v>424.69135802469134</v>
      </c>
      <c r="D25" s="128">
        <f t="shared" si="0"/>
        <v>0.36283275000000004</v>
      </c>
      <c r="E25" s="128">
        <f t="shared" si="0"/>
        <v>147.29400000000001</v>
      </c>
      <c r="F25" s="129">
        <f t="shared" si="0"/>
        <v>8.3789999999999996</v>
      </c>
    </row>
    <row r="26" spans="1:8" ht="13.35" customHeight="1" x14ac:dyDescent="0.2">
      <c r="A26" s="126" t="s">
        <v>51</v>
      </c>
      <c r="B26" s="127"/>
      <c r="C26" s="128">
        <v>0</v>
      </c>
      <c r="D26" s="128">
        <v>0</v>
      </c>
      <c r="E26" s="128">
        <v>0</v>
      </c>
      <c r="F26" s="129">
        <v>0</v>
      </c>
      <c r="H26" s="130"/>
    </row>
    <row r="27" spans="1:8" ht="13.35" customHeight="1" x14ac:dyDescent="0.2">
      <c r="A27" s="126" t="s">
        <v>52</v>
      </c>
      <c r="B27" s="127"/>
      <c r="C27" s="128">
        <v>0</v>
      </c>
      <c r="D27" s="128">
        <v>0</v>
      </c>
      <c r="E27" s="128">
        <v>0</v>
      </c>
      <c r="F27" s="129">
        <v>0</v>
      </c>
    </row>
    <row r="28" spans="1:8" ht="13.35" customHeight="1" x14ac:dyDescent="0.2">
      <c r="A28" s="126" t="s">
        <v>53</v>
      </c>
      <c r="B28" s="127"/>
      <c r="C28" s="128">
        <f>F61</f>
        <v>291.35802469135803</v>
      </c>
      <c r="D28" s="128">
        <f t="shared" ref="D28:F29" si="1">N54</f>
        <v>4.9661010000000001</v>
      </c>
      <c r="E28" s="128">
        <f t="shared" si="1"/>
        <v>200.214</v>
      </c>
      <c r="F28" s="129">
        <f t="shared" si="1"/>
        <v>13.4505</v>
      </c>
    </row>
    <row r="29" spans="1:8" ht="13.35" customHeight="1" x14ac:dyDescent="0.2">
      <c r="A29" s="126" t="s">
        <v>54</v>
      </c>
      <c r="B29" s="127"/>
      <c r="C29" s="128">
        <f>F56</f>
        <v>175.30864197530863</v>
      </c>
      <c r="D29" s="128">
        <f t="shared" si="1"/>
        <v>8.533350000000002E-2</v>
      </c>
      <c r="E29" s="128">
        <f t="shared" si="1"/>
        <v>65.047499999999999</v>
      </c>
      <c r="F29" s="129">
        <f t="shared" si="1"/>
        <v>2.4255000000000004</v>
      </c>
    </row>
    <row r="30" spans="1:8" ht="13.35" customHeight="1" x14ac:dyDescent="0.2">
      <c r="A30" s="126" t="s">
        <v>55</v>
      </c>
      <c r="B30" s="127"/>
      <c r="C30" s="128">
        <v>0</v>
      </c>
      <c r="D30" s="128">
        <v>0</v>
      </c>
      <c r="E30" s="128">
        <v>0</v>
      </c>
      <c r="F30" s="129">
        <v>0</v>
      </c>
    </row>
    <row r="31" spans="1:8" ht="13.35" customHeight="1" x14ac:dyDescent="0.2">
      <c r="A31" s="126" t="s">
        <v>56</v>
      </c>
      <c r="B31" s="127"/>
      <c r="C31" s="128">
        <v>0</v>
      </c>
      <c r="D31" s="128">
        <v>0</v>
      </c>
      <c r="E31" s="128">
        <v>0</v>
      </c>
      <c r="F31" s="129">
        <v>0</v>
      </c>
    </row>
    <row r="32" spans="1:8" x14ac:dyDescent="0.2">
      <c r="A32" s="126" t="s">
        <v>57</v>
      </c>
      <c r="B32" s="127"/>
      <c r="C32" s="128">
        <f>F52+F53</f>
        <v>12380.246913580246</v>
      </c>
      <c r="D32" s="128">
        <f t="shared" ref="D32:F34" si="2">N56</f>
        <v>55.6822035</v>
      </c>
      <c r="E32" s="128">
        <f t="shared" si="2"/>
        <v>3056.3505</v>
      </c>
      <c r="F32" s="129">
        <f t="shared" si="2"/>
        <v>341.33400000000006</v>
      </c>
    </row>
    <row r="33" spans="1:11" ht="13.35" customHeight="1" x14ac:dyDescent="0.2">
      <c r="A33" s="126" t="s">
        <v>58</v>
      </c>
      <c r="B33" s="127"/>
      <c r="C33" s="128">
        <f>F54</f>
        <v>1081.4814814814815</v>
      </c>
      <c r="D33" s="128">
        <f t="shared" si="2"/>
        <v>28.199965500000001</v>
      </c>
      <c r="E33" s="128">
        <f t="shared" si="2"/>
        <v>1145.9385000000002</v>
      </c>
      <c r="F33" s="129">
        <f t="shared" si="2"/>
        <v>117.9675</v>
      </c>
      <c r="K33" s="131"/>
    </row>
    <row r="34" spans="1:11" ht="13.35" customHeight="1" x14ac:dyDescent="0.2">
      <c r="A34" s="126" t="s">
        <v>59</v>
      </c>
      <c r="B34" s="127"/>
      <c r="C34" s="128">
        <f>F55</f>
        <v>261.72839506172835</v>
      </c>
      <c r="D34" s="128">
        <f t="shared" si="2"/>
        <v>6.8283337499999996</v>
      </c>
      <c r="E34" s="128">
        <f t="shared" si="2"/>
        <v>277.38900000000001</v>
      </c>
      <c r="F34" s="129">
        <f t="shared" si="2"/>
        <v>28.664999999999999</v>
      </c>
    </row>
    <row r="35" spans="1:11" ht="13.35" customHeight="1" x14ac:dyDescent="0.2">
      <c r="A35" s="126" t="s">
        <v>60</v>
      </c>
      <c r="B35" s="127"/>
      <c r="C35" s="128">
        <v>0</v>
      </c>
      <c r="D35" s="128">
        <v>0</v>
      </c>
      <c r="E35" s="128">
        <v>0</v>
      </c>
      <c r="F35" s="129">
        <v>0</v>
      </c>
      <c r="K35" s="131"/>
    </row>
    <row r="36" spans="1:11" ht="13.35" customHeight="1" x14ac:dyDescent="0.2">
      <c r="A36" s="126" t="s">
        <v>61</v>
      </c>
      <c r="B36" s="127"/>
      <c r="C36" s="128">
        <v>0</v>
      </c>
      <c r="D36" s="128">
        <v>0</v>
      </c>
      <c r="E36" s="128">
        <v>0</v>
      </c>
      <c r="F36" s="129">
        <v>0</v>
      </c>
      <c r="K36" s="131"/>
    </row>
    <row r="37" spans="1:11" ht="13.35" customHeight="1" x14ac:dyDescent="0.2">
      <c r="A37" s="126" t="s">
        <v>62</v>
      </c>
      <c r="B37" s="127"/>
      <c r="C37" s="128">
        <v>0</v>
      </c>
      <c r="D37" s="128">
        <v>0</v>
      </c>
      <c r="E37" s="128">
        <v>0</v>
      </c>
      <c r="F37" s="129">
        <v>0</v>
      </c>
      <c r="K37" s="131"/>
    </row>
    <row r="38" spans="1:11" ht="13.35" customHeight="1" x14ac:dyDescent="0.2">
      <c r="A38" s="126" t="s">
        <v>64</v>
      </c>
      <c r="B38" s="127"/>
      <c r="C38" s="128" t="s">
        <v>76</v>
      </c>
      <c r="D38" s="128">
        <f>N60</f>
        <v>0</v>
      </c>
      <c r="E38" s="128">
        <f>O60</f>
        <v>503222.01300000004</v>
      </c>
      <c r="F38" s="129">
        <f>P60</f>
        <v>125948.05650000001</v>
      </c>
    </row>
    <row r="39" spans="1:11" ht="13.35" customHeight="1" x14ac:dyDescent="0.2">
      <c r="A39" s="126" t="s">
        <v>65</v>
      </c>
      <c r="B39" s="127"/>
      <c r="C39" s="128" t="s">
        <v>76</v>
      </c>
      <c r="D39" s="128">
        <v>0</v>
      </c>
      <c r="E39" s="128">
        <v>0</v>
      </c>
      <c r="F39" s="129">
        <v>0</v>
      </c>
    </row>
    <row r="40" spans="1:11" ht="13.35" customHeight="1" x14ac:dyDescent="0.2">
      <c r="A40" s="126" t="s">
        <v>98</v>
      </c>
      <c r="B40" s="127"/>
      <c r="C40" s="128" t="s">
        <v>76</v>
      </c>
      <c r="D40" s="128">
        <f t="shared" ref="D40:F43" si="3">N61</f>
        <v>29191.545180000001</v>
      </c>
      <c r="E40" s="128">
        <f t="shared" si="3"/>
        <v>31002.3</v>
      </c>
      <c r="F40" s="129">
        <f t="shared" si="3"/>
        <v>14638.995000000001</v>
      </c>
    </row>
    <row r="41" spans="1:11" ht="13.35" customHeight="1" x14ac:dyDescent="0.2">
      <c r="A41" s="126" t="s">
        <v>66</v>
      </c>
      <c r="B41" s="127"/>
      <c r="C41" s="128" t="s">
        <v>76</v>
      </c>
      <c r="D41" s="128">
        <f t="shared" si="3"/>
        <v>0</v>
      </c>
      <c r="E41" s="128">
        <f t="shared" si="3"/>
        <v>2435375.0925000003</v>
      </c>
      <c r="F41" s="129">
        <f t="shared" si="3"/>
        <v>18529.056</v>
      </c>
    </row>
    <row r="42" spans="1:11" ht="13.35" customHeight="1" x14ac:dyDescent="0.2">
      <c r="A42" s="126" t="s">
        <v>67</v>
      </c>
      <c r="B42" s="127"/>
      <c r="C42" s="128" t="s">
        <v>76</v>
      </c>
      <c r="D42" s="128">
        <f t="shared" si="3"/>
        <v>0</v>
      </c>
      <c r="E42" s="128">
        <f t="shared" si="3"/>
        <v>2220.4349999999999</v>
      </c>
      <c r="F42" s="129">
        <f t="shared" si="3"/>
        <v>670.32</v>
      </c>
    </row>
    <row r="43" spans="1:11" ht="14.1" customHeight="1" thickBot="1" x14ac:dyDescent="0.25">
      <c r="A43" s="132" t="s">
        <v>68</v>
      </c>
      <c r="B43" s="133"/>
      <c r="C43" s="134" t="s">
        <v>76</v>
      </c>
      <c r="D43" s="134">
        <f t="shared" si="3"/>
        <v>0</v>
      </c>
      <c r="E43" s="134">
        <f t="shared" si="3"/>
        <v>3392.3924999999999</v>
      </c>
      <c r="F43" s="135">
        <f t="shared" si="3"/>
        <v>0</v>
      </c>
    </row>
    <row r="44" spans="1:11" x14ac:dyDescent="0.2">
      <c r="A44" s="116"/>
      <c r="B44" s="116"/>
      <c r="C44" s="116"/>
      <c r="D44" s="116"/>
      <c r="E44" s="116"/>
      <c r="F44" s="116"/>
    </row>
    <row r="45" spans="1:11" s="138" customFormat="1" x14ac:dyDescent="0.2">
      <c r="A45" s="136" t="s">
        <v>99</v>
      </c>
      <c r="B45" s="136"/>
      <c r="C45" s="137">
        <f>SUM(C22:C43)</f>
        <v>98651.851851851825</v>
      </c>
      <c r="D45" s="137">
        <f t="shared" ref="D45:F45" si="4">SUM(D22:D43)</f>
        <v>49542.801493500003</v>
      </c>
      <c r="E45" s="137">
        <f t="shared" si="4"/>
        <v>3150570.1500000004</v>
      </c>
      <c r="F45" s="137">
        <f t="shared" si="4"/>
        <v>213697.13400000002</v>
      </c>
    </row>
    <row r="47" spans="1:11" x14ac:dyDescent="0.2">
      <c r="A47" s="110" t="s">
        <v>100</v>
      </c>
      <c r="H47" s="110" t="s">
        <v>101</v>
      </c>
    </row>
    <row r="48" spans="1:11" x14ac:dyDescent="0.2">
      <c r="A48" s="110"/>
    </row>
    <row r="49" spans="1:16" x14ac:dyDescent="0.2">
      <c r="A49" s="105" t="s">
        <v>102</v>
      </c>
      <c r="C49" s="131"/>
      <c r="D49" s="105" t="s">
        <v>103</v>
      </c>
      <c r="F49" s="131" t="s">
        <v>104</v>
      </c>
      <c r="H49" s="105" t="s">
        <v>105</v>
      </c>
      <c r="K49" s="105" t="s">
        <v>106</v>
      </c>
      <c r="L49" s="105" t="s">
        <v>107</v>
      </c>
      <c r="M49" s="105" t="s">
        <v>108</v>
      </c>
      <c r="N49" s="105" t="s">
        <v>109</v>
      </c>
      <c r="O49" s="105" t="s">
        <v>110</v>
      </c>
      <c r="P49" s="105" t="s">
        <v>111</v>
      </c>
    </row>
    <row r="50" spans="1:16" x14ac:dyDescent="0.2">
      <c r="A50" s="105" t="s">
        <v>112</v>
      </c>
      <c r="D50" s="139">
        <v>0.32</v>
      </c>
      <c r="F50" s="131">
        <f t="shared" ref="F50:F65" si="5">(D50*100)/0.405</f>
        <v>79.012345679012341</v>
      </c>
      <c r="H50" s="105" t="s">
        <v>113</v>
      </c>
      <c r="K50" s="140">
        <v>885903.1</v>
      </c>
      <c r="L50" s="140">
        <v>5537.5</v>
      </c>
      <c r="M50" s="140">
        <v>2303.6</v>
      </c>
      <c r="N50" s="105">
        <f>(2.205*K50)/2000</f>
        <v>976.70816775000003</v>
      </c>
      <c r="O50" s="105">
        <f>L50*2.205</f>
        <v>12210.1875</v>
      </c>
      <c r="P50" s="105">
        <f>M50*2.205</f>
        <v>5079.4380000000001</v>
      </c>
    </row>
    <row r="51" spans="1:16" x14ac:dyDescent="0.2">
      <c r="A51" s="105" t="s">
        <v>114</v>
      </c>
      <c r="D51" s="139">
        <v>0</v>
      </c>
      <c r="F51" s="131">
        <f t="shared" si="5"/>
        <v>0</v>
      </c>
      <c r="H51" s="105" t="s">
        <v>47</v>
      </c>
      <c r="K51" s="140">
        <v>17465593.899999999</v>
      </c>
      <c r="L51" s="140">
        <v>71042.8</v>
      </c>
      <c r="M51" s="140">
        <v>21856.799999999999</v>
      </c>
      <c r="N51" s="105">
        <f t="shared" ref="N51:N64" si="6">(2.205*K51)/2000</f>
        <v>19255.817274749999</v>
      </c>
      <c r="O51" s="105">
        <f t="shared" ref="O51:P64" si="7">L51*2.205</f>
        <v>156649.37400000001</v>
      </c>
      <c r="P51" s="105">
        <f t="shared" si="7"/>
        <v>48194.243999999999</v>
      </c>
    </row>
    <row r="52" spans="1:16" x14ac:dyDescent="0.2">
      <c r="A52" s="105" t="s">
        <v>115</v>
      </c>
      <c r="D52" s="139">
        <v>33.21</v>
      </c>
      <c r="F52" s="131">
        <f t="shared" si="5"/>
        <v>8200</v>
      </c>
      <c r="H52" s="105" t="s">
        <v>116</v>
      </c>
      <c r="K52" s="140">
        <v>20504.400000000001</v>
      </c>
      <c r="L52" s="139">
        <v>728.4</v>
      </c>
      <c r="M52" s="139">
        <v>56.6</v>
      </c>
      <c r="N52" s="105">
        <f t="shared" si="6"/>
        <v>22.606101000000002</v>
      </c>
      <c r="O52" s="105">
        <f t="shared" si="7"/>
        <v>1606.1220000000001</v>
      </c>
      <c r="P52" s="105">
        <f t="shared" si="7"/>
        <v>124.80300000000001</v>
      </c>
    </row>
    <row r="53" spans="1:16" x14ac:dyDescent="0.2">
      <c r="A53" s="105" t="s">
        <v>117</v>
      </c>
      <c r="D53" s="139">
        <v>16.93</v>
      </c>
      <c r="F53" s="131">
        <f t="shared" si="5"/>
        <v>4180.2469135802467</v>
      </c>
      <c r="H53" s="105" t="s">
        <v>118</v>
      </c>
      <c r="K53" s="139">
        <v>329.1</v>
      </c>
      <c r="L53" s="139">
        <v>66.8</v>
      </c>
      <c r="M53" s="139">
        <v>3.8</v>
      </c>
      <c r="N53" s="105">
        <f t="shared" si="6"/>
        <v>0.36283275000000004</v>
      </c>
      <c r="O53" s="105">
        <f t="shared" si="7"/>
        <v>147.29400000000001</v>
      </c>
      <c r="P53" s="105">
        <f t="shared" si="7"/>
        <v>8.3789999999999996</v>
      </c>
    </row>
    <row r="54" spans="1:16" x14ac:dyDescent="0.2">
      <c r="A54" s="105" t="s">
        <v>119</v>
      </c>
      <c r="D54" s="139">
        <v>4.38</v>
      </c>
      <c r="F54" s="131">
        <f t="shared" si="5"/>
        <v>1081.4814814814815</v>
      </c>
      <c r="H54" s="105" t="s">
        <v>120</v>
      </c>
      <c r="K54" s="140">
        <v>4504.3999999999996</v>
      </c>
      <c r="L54" s="139">
        <v>90.8</v>
      </c>
      <c r="M54" s="139">
        <v>6.1</v>
      </c>
      <c r="N54" s="105">
        <f t="shared" si="6"/>
        <v>4.9661010000000001</v>
      </c>
      <c r="O54" s="105">
        <f t="shared" si="7"/>
        <v>200.214</v>
      </c>
      <c r="P54" s="105">
        <f t="shared" si="7"/>
        <v>13.4505</v>
      </c>
    </row>
    <row r="55" spans="1:16" x14ac:dyDescent="0.2">
      <c r="A55" s="105" t="s">
        <v>121</v>
      </c>
      <c r="D55" s="139">
        <v>1.06</v>
      </c>
      <c r="F55" s="131">
        <f t="shared" si="5"/>
        <v>261.72839506172835</v>
      </c>
      <c r="H55" s="105" t="s">
        <v>122</v>
      </c>
      <c r="K55" s="139">
        <v>77.400000000000006</v>
      </c>
      <c r="L55" s="139">
        <v>29.5</v>
      </c>
      <c r="M55" s="139">
        <v>1.1000000000000001</v>
      </c>
      <c r="N55" s="105">
        <f t="shared" si="6"/>
        <v>8.533350000000002E-2</v>
      </c>
      <c r="O55" s="105">
        <f t="shared" si="7"/>
        <v>65.047499999999999</v>
      </c>
      <c r="P55" s="105">
        <f t="shared" si="7"/>
        <v>2.4255000000000004</v>
      </c>
    </row>
    <row r="56" spans="1:16" x14ac:dyDescent="0.2">
      <c r="A56" s="105" t="s">
        <v>123</v>
      </c>
      <c r="D56" s="139">
        <v>0.71</v>
      </c>
      <c r="F56" s="131">
        <f t="shared" si="5"/>
        <v>175.30864197530863</v>
      </c>
      <c r="H56" s="105" t="s">
        <v>124</v>
      </c>
      <c r="K56" s="140">
        <v>50505.4</v>
      </c>
      <c r="L56" s="140">
        <v>1386.1</v>
      </c>
      <c r="M56" s="139">
        <v>154.80000000000001</v>
      </c>
      <c r="N56" s="105">
        <f t="shared" si="6"/>
        <v>55.6822035</v>
      </c>
      <c r="O56" s="105">
        <f t="shared" si="7"/>
        <v>3056.3505</v>
      </c>
      <c r="P56" s="105">
        <f t="shared" si="7"/>
        <v>341.33400000000006</v>
      </c>
    </row>
    <row r="57" spans="1:16" x14ac:dyDescent="0.2">
      <c r="A57" s="105" t="s">
        <v>125</v>
      </c>
      <c r="D57" s="139">
        <v>86.74</v>
      </c>
      <c r="F57" s="131">
        <f t="shared" si="5"/>
        <v>21417.283950617282</v>
      </c>
      <c r="H57" s="105" t="s">
        <v>126</v>
      </c>
      <c r="K57" s="140">
        <v>25578.2</v>
      </c>
      <c r="L57" s="139">
        <v>519.70000000000005</v>
      </c>
      <c r="M57" s="139">
        <v>53.5</v>
      </c>
      <c r="N57" s="105">
        <f t="shared" si="6"/>
        <v>28.199965500000001</v>
      </c>
      <c r="O57" s="105">
        <f t="shared" si="7"/>
        <v>1145.9385000000002</v>
      </c>
      <c r="P57" s="105">
        <f t="shared" si="7"/>
        <v>117.9675</v>
      </c>
    </row>
    <row r="58" spans="1:16" x14ac:dyDescent="0.2">
      <c r="A58" s="105" t="s">
        <v>127</v>
      </c>
      <c r="D58" s="139">
        <v>1.1100000000000001</v>
      </c>
      <c r="F58" s="131">
        <f t="shared" si="5"/>
        <v>274.07407407407408</v>
      </c>
      <c r="H58" s="105" t="s">
        <v>128</v>
      </c>
      <c r="K58" s="140">
        <v>6193.5</v>
      </c>
      <c r="L58" s="139">
        <v>125.8</v>
      </c>
      <c r="M58" s="139">
        <v>13</v>
      </c>
      <c r="N58" s="105">
        <f t="shared" si="6"/>
        <v>6.8283337499999996</v>
      </c>
      <c r="O58" s="105">
        <f t="shared" si="7"/>
        <v>277.38900000000001</v>
      </c>
      <c r="P58" s="105">
        <f t="shared" si="7"/>
        <v>28.664999999999999</v>
      </c>
    </row>
    <row r="59" spans="1:16" x14ac:dyDescent="0.2">
      <c r="A59" s="105" t="s">
        <v>129</v>
      </c>
      <c r="D59" s="139">
        <v>4.5199999999999996</v>
      </c>
      <c r="F59" s="131">
        <f t="shared" si="5"/>
        <v>1116.0493827160492</v>
      </c>
      <c r="H59" s="105" t="s">
        <v>130</v>
      </c>
      <c r="K59" s="139">
        <v>0</v>
      </c>
      <c r="L59" s="139">
        <v>0</v>
      </c>
      <c r="M59" s="139">
        <v>0</v>
      </c>
      <c r="N59" s="105">
        <f t="shared" si="6"/>
        <v>0</v>
      </c>
      <c r="O59" s="105">
        <f t="shared" si="7"/>
        <v>0</v>
      </c>
      <c r="P59" s="105">
        <f t="shared" si="7"/>
        <v>0</v>
      </c>
    </row>
    <row r="60" spans="1:16" x14ac:dyDescent="0.2">
      <c r="A60" s="105" t="s">
        <v>131</v>
      </c>
      <c r="D60" s="139">
        <v>13.6</v>
      </c>
      <c r="F60" s="131">
        <f t="shared" si="5"/>
        <v>3358.0246913580245</v>
      </c>
      <c r="H60" s="105" t="s">
        <v>64</v>
      </c>
      <c r="K60" s="139">
        <v>0</v>
      </c>
      <c r="L60" s="140">
        <v>228218.6</v>
      </c>
      <c r="M60" s="140">
        <v>57119.3</v>
      </c>
      <c r="N60" s="105">
        <f t="shared" si="6"/>
        <v>0</v>
      </c>
      <c r="O60" s="105">
        <f t="shared" si="7"/>
        <v>503222.01300000004</v>
      </c>
      <c r="P60" s="105">
        <f t="shared" si="7"/>
        <v>125948.05650000001</v>
      </c>
    </row>
    <row r="61" spans="1:16" x14ac:dyDescent="0.2">
      <c r="A61" s="105" t="s">
        <v>132</v>
      </c>
      <c r="D61" s="139">
        <v>1.18</v>
      </c>
      <c r="F61" s="131">
        <f t="shared" si="5"/>
        <v>291.35802469135803</v>
      </c>
      <c r="H61" s="105" t="s">
        <v>133</v>
      </c>
      <c r="K61" s="140">
        <v>26477592</v>
      </c>
      <c r="L61" s="140">
        <v>14060</v>
      </c>
      <c r="M61" s="140">
        <v>6639</v>
      </c>
      <c r="N61" s="105">
        <f t="shared" si="6"/>
        <v>29191.545180000001</v>
      </c>
      <c r="O61" s="105">
        <f t="shared" si="7"/>
        <v>31002.3</v>
      </c>
      <c r="P61" s="105">
        <f t="shared" si="7"/>
        <v>14638.995000000001</v>
      </c>
    </row>
    <row r="62" spans="1:16" x14ac:dyDescent="0.2">
      <c r="A62" s="105" t="s">
        <v>134</v>
      </c>
      <c r="D62" s="139">
        <v>95.42</v>
      </c>
      <c r="F62" s="131">
        <f t="shared" si="5"/>
        <v>23560.493827160491</v>
      </c>
      <c r="H62" s="105" t="s">
        <v>135</v>
      </c>
      <c r="K62" s="139">
        <v>0</v>
      </c>
      <c r="L62" s="140">
        <v>1104478.5</v>
      </c>
      <c r="M62" s="140">
        <v>8403.2000000000007</v>
      </c>
      <c r="N62" s="105">
        <f t="shared" si="6"/>
        <v>0</v>
      </c>
      <c r="O62" s="105">
        <f t="shared" si="7"/>
        <v>2435375.0925000003</v>
      </c>
      <c r="P62" s="105">
        <f t="shared" si="7"/>
        <v>18529.056</v>
      </c>
    </row>
    <row r="63" spans="1:16" x14ac:dyDescent="0.2">
      <c r="A63" s="105" t="s">
        <v>136</v>
      </c>
      <c r="D63" s="139">
        <v>138.96</v>
      </c>
      <c r="F63" s="131">
        <f t="shared" si="5"/>
        <v>34311.111111111109</v>
      </c>
      <c r="H63" s="105" t="s">
        <v>137</v>
      </c>
      <c r="K63" s="139">
        <v>0</v>
      </c>
      <c r="L63" s="140">
        <v>1007</v>
      </c>
      <c r="M63" s="140">
        <v>304</v>
      </c>
      <c r="N63" s="105">
        <f t="shared" si="6"/>
        <v>0</v>
      </c>
      <c r="O63" s="105">
        <f t="shared" si="7"/>
        <v>2220.4349999999999</v>
      </c>
      <c r="P63" s="105">
        <f t="shared" si="7"/>
        <v>670.32</v>
      </c>
    </row>
    <row r="64" spans="1:16" x14ac:dyDescent="0.2">
      <c r="A64" s="105" t="s">
        <v>138</v>
      </c>
      <c r="D64" s="139">
        <v>1.4</v>
      </c>
      <c r="F64" s="131">
        <f t="shared" si="5"/>
        <v>345.67901234567898</v>
      </c>
      <c r="H64" s="105" t="s">
        <v>68</v>
      </c>
      <c r="K64" s="139">
        <v>0</v>
      </c>
      <c r="L64" s="140">
        <v>1538.5</v>
      </c>
      <c r="M64" s="139">
        <v>0</v>
      </c>
      <c r="N64" s="105">
        <f t="shared" si="6"/>
        <v>0</v>
      </c>
      <c r="O64" s="105">
        <f t="shared" si="7"/>
        <v>3392.3924999999999</v>
      </c>
      <c r="P64" s="105">
        <f t="shared" si="7"/>
        <v>0</v>
      </c>
    </row>
    <row r="65" spans="1:16" x14ac:dyDescent="0.2">
      <c r="A65" s="105" t="s">
        <v>139</v>
      </c>
      <c r="D65" s="139">
        <v>0.32</v>
      </c>
      <c r="F65" s="131">
        <f t="shared" si="5"/>
        <v>79.012345679012341</v>
      </c>
    </row>
    <row r="67" spans="1:16" s="138" customFormat="1" x14ac:dyDescent="0.2">
      <c r="A67" s="138" t="s">
        <v>99</v>
      </c>
      <c r="D67" s="141">
        <f>SUM(D51:D65)</f>
        <v>399.54</v>
      </c>
      <c r="F67" s="141">
        <f>SUM(F51:F65)</f>
        <v>98651.851851851839</v>
      </c>
      <c r="H67" s="138" t="s">
        <v>99</v>
      </c>
      <c r="K67" s="141">
        <f>SUM(K50:K65)</f>
        <v>44936781.399999991</v>
      </c>
      <c r="L67" s="141">
        <f t="shared" ref="L67:P67" si="8">SUM(L50:L65)</f>
        <v>1428830</v>
      </c>
      <c r="M67" s="141">
        <f t="shared" si="8"/>
        <v>96914.799999999988</v>
      </c>
      <c r="N67" s="141">
        <f t="shared" si="8"/>
        <v>49542.801493500003</v>
      </c>
      <c r="O67" s="141">
        <f t="shared" si="8"/>
        <v>3150570.1500000004</v>
      </c>
      <c r="P67" s="141">
        <f t="shared" si="8"/>
        <v>213697.13400000002</v>
      </c>
    </row>
    <row r="70" spans="1:16" x14ac:dyDescent="0.2">
      <c r="A70" s="142" t="s">
        <v>140</v>
      </c>
    </row>
    <row r="72" spans="1:16" x14ac:dyDescent="0.2">
      <c r="A72" s="110" t="s">
        <v>141</v>
      </c>
    </row>
    <row r="74" spans="1:16" x14ac:dyDescent="0.2">
      <c r="A74" s="105" t="s">
        <v>102</v>
      </c>
      <c r="C74" s="131"/>
      <c r="D74" s="105" t="s">
        <v>103</v>
      </c>
      <c r="F74" s="131" t="s">
        <v>104</v>
      </c>
      <c r="I74" s="105" t="s">
        <v>517</v>
      </c>
      <c r="J74" s="105" t="s">
        <v>518</v>
      </c>
      <c r="K74" s="105" t="s">
        <v>519</v>
      </c>
    </row>
    <row r="75" spans="1:16" x14ac:dyDescent="0.2">
      <c r="A75" s="105" t="s">
        <v>112</v>
      </c>
      <c r="D75" s="139">
        <v>0</v>
      </c>
      <c r="F75" s="131">
        <f t="shared" ref="F75:F90" si="9">(D75*100)/0.405</f>
        <v>0</v>
      </c>
    </row>
    <row r="76" spans="1:16" x14ac:dyDescent="0.2">
      <c r="A76" s="105" t="s">
        <v>114</v>
      </c>
      <c r="D76" s="139">
        <v>0</v>
      </c>
      <c r="F76" s="131">
        <f t="shared" si="9"/>
        <v>0</v>
      </c>
    </row>
    <row r="77" spans="1:16" x14ac:dyDescent="0.2">
      <c r="A77" s="105" t="s">
        <v>115</v>
      </c>
      <c r="D77" s="139">
        <v>2.97</v>
      </c>
      <c r="F77" s="131">
        <f t="shared" si="9"/>
        <v>733.33333333333326</v>
      </c>
      <c r="I77" s="266">
        <f>(+LandUseLoadingRatesLookUpTable!V27)*F77</f>
        <v>733.33333333333326</v>
      </c>
      <c r="J77" s="266">
        <f>(+LandUseLoadingRatesLookUpTable!AA27)*F77</f>
        <v>256.66666666666663</v>
      </c>
      <c r="K77" s="266">
        <f>(+LandUseLoadingRatesLookUpTable!Q27)*F77</f>
        <v>938615.34115516313</v>
      </c>
    </row>
    <row r="78" spans="1:16" x14ac:dyDescent="0.2">
      <c r="A78" s="105" t="s">
        <v>117</v>
      </c>
      <c r="D78" s="139">
        <v>1.82</v>
      </c>
      <c r="F78" s="131">
        <f t="shared" si="9"/>
        <v>449.38271604938268</v>
      </c>
      <c r="I78" s="266">
        <f>(+LandUseLoadingRatesLookUpTable!V27)*F78</f>
        <v>449.38271604938268</v>
      </c>
      <c r="J78" s="266">
        <f>(+LandUseLoadingRatesLookUpTable!AA27)*F78</f>
        <v>157.28395061728392</v>
      </c>
      <c r="K78" s="266">
        <f>(+LandUseLoadingRatesLookUpTable!Q27)*F78</f>
        <v>575178.42454626155</v>
      </c>
    </row>
    <row r="79" spans="1:16" x14ac:dyDescent="0.2">
      <c r="A79" s="105" t="s">
        <v>119</v>
      </c>
      <c r="D79" s="139">
        <v>0.53</v>
      </c>
      <c r="F79" s="131">
        <f t="shared" si="9"/>
        <v>130.86419753086417</v>
      </c>
      <c r="I79" s="266">
        <f>(+LandUseLoadingRatesLookUpTable!V28)*F79</f>
        <v>295.753086419753</v>
      </c>
      <c r="J79" s="266">
        <f>(+LandUseLoadingRatesLookUpTable!AA28)*F79</f>
        <v>123.01234567901231</v>
      </c>
      <c r="K79" s="266">
        <f>(+LandUseLoadingRatesLookUpTable!Q28)*F79</f>
        <v>440123.77744255768</v>
      </c>
    </row>
    <row r="80" spans="1:16" x14ac:dyDescent="0.2">
      <c r="A80" s="105" t="s">
        <v>121</v>
      </c>
      <c r="D80" s="139">
        <v>0.16</v>
      </c>
      <c r="F80" s="131">
        <f t="shared" si="9"/>
        <v>39.506172839506171</v>
      </c>
      <c r="I80" s="266">
        <f>(+LandUseLoadingRatesLookUpTable!V29)*F80</f>
        <v>106.27160493827159</v>
      </c>
      <c r="J80" s="266">
        <f>(+LandUseLoadingRatesLookUpTable!AA29)*F80</f>
        <v>56.098765432098766</v>
      </c>
      <c r="K80" s="266">
        <f>(+LandUseLoadingRatesLookUpTable!Q29)*F80</f>
        <v>209109.5639776632</v>
      </c>
    </row>
    <row r="81" spans="1:11" x14ac:dyDescent="0.2">
      <c r="A81" s="105" t="s">
        <v>123</v>
      </c>
      <c r="D81" s="139">
        <v>0.09</v>
      </c>
      <c r="F81" s="131">
        <f t="shared" si="9"/>
        <v>22.222222222222221</v>
      </c>
      <c r="I81" s="266">
        <f>(+LandUseLoadingRatesLookUpTable!V24)*F81</f>
        <v>13.555555555555555</v>
      </c>
      <c r="J81" s="266">
        <f>(+LandUseLoadingRatesLookUpTable!AA24)*F81</f>
        <v>2.6666666666666665</v>
      </c>
      <c r="K81" s="266">
        <f>(+LandUseLoadingRatesLookUpTable!Q24)*F81</f>
        <v>9885.1249848812095</v>
      </c>
    </row>
    <row r="82" spans="1:11" x14ac:dyDescent="0.2">
      <c r="A82" s="105" t="s">
        <v>125</v>
      </c>
      <c r="D82" s="139">
        <v>0.56999999999999995</v>
      </c>
      <c r="F82" s="131">
        <f t="shared" si="9"/>
        <v>140.7407407407407</v>
      </c>
      <c r="I82" s="266">
        <f>(+LandUseLoadingRatesLookUpTable!V19)*F82</f>
        <v>42.222222222222207</v>
      </c>
      <c r="J82" s="266">
        <f>(+LandUseLoadingRatesLookUpTable!AA19)*F82</f>
        <v>15.481481481481477</v>
      </c>
      <c r="K82" s="266">
        <f>(+LandUseLoadingRatesLookUpTable!Q19)*F82</f>
        <v>62711.968264758034</v>
      </c>
    </row>
    <row r="83" spans="1:11" x14ac:dyDescent="0.2">
      <c r="A83" s="105" t="s">
        <v>127</v>
      </c>
      <c r="D83" s="139">
        <v>0</v>
      </c>
      <c r="F83" s="131">
        <f t="shared" si="9"/>
        <v>0</v>
      </c>
      <c r="I83" s="266">
        <f>(+LandUseLoadingRatesLookUpTable!V19)*F83</f>
        <v>0</v>
      </c>
      <c r="J83" s="266">
        <f>(+LandUseLoadingRatesLookUpTable!AA19)*F83</f>
        <v>0</v>
      </c>
      <c r="K83" s="266">
        <f>(+LandUseLoadingRatesLookUpTable!Q19)*F83</f>
        <v>0</v>
      </c>
    </row>
    <row r="84" spans="1:11" x14ac:dyDescent="0.2">
      <c r="A84" s="105" t="s">
        <v>129</v>
      </c>
      <c r="D84" s="139">
        <v>0.01</v>
      </c>
      <c r="F84" s="131">
        <f t="shared" si="9"/>
        <v>2.4691358024691357</v>
      </c>
      <c r="I84" s="266">
        <f>(+LandUseLoadingRatesLookUpTable!V19)*F84</f>
        <v>0.7407407407407407</v>
      </c>
      <c r="J84" s="266">
        <f>(+LandUseLoadingRatesLookUpTable!AA19)*F84</f>
        <v>0.27160493827160492</v>
      </c>
      <c r="K84" s="266">
        <f>(+LandUseLoadingRatesLookUpTable!Q19)*F84</f>
        <v>1100.2099695571587</v>
      </c>
    </row>
    <row r="85" spans="1:11" x14ac:dyDescent="0.2">
      <c r="A85" s="105" t="s">
        <v>131</v>
      </c>
      <c r="D85" s="139">
        <v>0.38</v>
      </c>
      <c r="F85" s="131">
        <f t="shared" si="9"/>
        <v>93.827160493827151</v>
      </c>
      <c r="I85" s="266">
        <f>(+LandUseLoadingRatesLookUpTable!V19)*F85</f>
        <v>28.148148148148145</v>
      </c>
      <c r="J85" s="266">
        <f>(+LandUseLoadingRatesLookUpTable!AA19)*F85</f>
        <v>10.320987654320987</v>
      </c>
      <c r="K85" s="266">
        <f>(+LandUseLoadingRatesLookUpTable!Q19)*F85</f>
        <v>41807.97884317203</v>
      </c>
    </row>
    <row r="86" spans="1:11" x14ac:dyDescent="0.2">
      <c r="A86" s="105" t="s">
        <v>132</v>
      </c>
      <c r="D86" s="139">
        <v>0.21</v>
      </c>
      <c r="F86" s="131">
        <f t="shared" si="9"/>
        <v>51.851851851851848</v>
      </c>
      <c r="I86" s="266">
        <f>(+LandUseLoadingRatesLookUpTable!V19)*F86</f>
        <v>15.555555555555554</v>
      </c>
      <c r="J86" s="266">
        <f>(+LandUseLoadingRatesLookUpTable!AA19)*F86</f>
        <v>5.7037037037037033</v>
      </c>
      <c r="K86" s="266">
        <f>(+LandUseLoadingRatesLookUpTable!Q19)*F86</f>
        <v>23104.409360700331</v>
      </c>
    </row>
    <row r="87" spans="1:11" x14ac:dyDescent="0.2">
      <c r="A87" s="105" t="s">
        <v>134</v>
      </c>
      <c r="D87" s="139">
        <v>3.51</v>
      </c>
      <c r="F87" s="131">
        <f t="shared" si="9"/>
        <v>866.66666666666663</v>
      </c>
      <c r="I87" s="266">
        <f>(+LandUseLoadingRatesLookUpTable!V17)*F87</f>
        <v>8198.6666666666661</v>
      </c>
      <c r="J87" s="266">
        <f>(+LandUseLoadingRatesLookUpTable!AA17)*F87</f>
        <v>2175.3333333333335</v>
      </c>
      <c r="K87" s="266">
        <f>(+LandUseLoadingRatesLookUpTable!Q17)*F87</f>
        <v>456532.06870125822</v>
      </c>
    </row>
    <row r="88" spans="1:11" x14ac:dyDescent="0.2">
      <c r="A88" s="105" t="s">
        <v>136</v>
      </c>
      <c r="D88" s="139">
        <v>0.87</v>
      </c>
      <c r="F88" s="131">
        <f t="shared" si="9"/>
        <v>214.81481481481481</v>
      </c>
      <c r="I88" s="266">
        <f>(+LandUseLoadingRatesLookUpTable!V18)*F88</f>
        <v>2902.1481481481478</v>
      </c>
      <c r="J88" s="266">
        <f>(+LandUseLoadingRatesLookUpTable!AA18)*F88</f>
        <v>792.66666666666674</v>
      </c>
      <c r="K88" s="266">
        <f>(+LandUseLoadingRatesLookUpTable!Q18)*F88</f>
        <v>336460.50976072269</v>
      </c>
    </row>
    <row r="89" spans="1:11" x14ac:dyDescent="0.2">
      <c r="A89" s="105" t="s">
        <v>138</v>
      </c>
      <c r="D89" s="139">
        <v>0.01</v>
      </c>
      <c r="F89" s="131">
        <f t="shared" si="9"/>
        <v>2.4691358024691357</v>
      </c>
      <c r="I89" s="266">
        <f>(+LandUseLoadingRatesLookUpTable!V20)*F89</f>
        <v>1.4567901234567899</v>
      </c>
      <c r="J89" s="266">
        <f>(+LandUseLoadingRatesLookUpTable!AA20)*F89</f>
        <v>0.32098765432098764</v>
      </c>
      <c r="K89" s="266">
        <f>(+LandUseLoadingRatesLookUpTable!Q20)*F89</f>
        <v>1100.1624454440926</v>
      </c>
    </row>
    <row r="90" spans="1:11" x14ac:dyDescent="0.2">
      <c r="A90" s="105" t="s">
        <v>139</v>
      </c>
      <c r="D90" s="139">
        <v>0</v>
      </c>
      <c r="F90" s="131">
        <f t="shared" si="9"/>
        <v>0</v>
      </c>
      <c r="I90" s="266">
        <f>(+LandUseLoadingRatesLookUpTable!V20)*F90</f>
        <v>0</v>
      </c>
      <c r="J90" s="266">
        <f>(+LandUseLoadingRatesLookUpTable!AA20)*F90</f>
        <v>0</v>
      </c>
      <c r="K90" s="266">
        <f>(+LandUseLoadingRatesLookUpTable!Q20)*F90</f>
        <v>0</v>
      </c>
    </row>
    <row r="92" spans="1:11" x14ac:dyDescent="0.2">
      <c r="A92" s="138" t="s">
        <v>99</v>
      </c>
      <c r="B92" s="138"/>
      <c r="C92" s="138"/>
      <c r="D92" s="141">
        <f>SUM(D76:D90)</f>
        <v>11.129999999999999</v>
      </c>
      <c r="E92" s="138"/>
      <c r="F92" s="141">
        <f>SUM(F76:F90)</f>
        <v>2748.1481481481478</v>
      </c>
      <c r="I92" s="141">
        <f>SUM(I76:I90)</f>
        <v>12787.234567901232</v>
      </c>
      <c r="J92" s="141">
        <f>SUM(J76:J90)</f>
        <v>3595.8271604938277</v>
      </c>
      <c r="K92" s="141">
        <f>SUM(K76:K90)</f>
        <v>3095729.5394521402</v>
      </c>
    </row>
    <row r="95" spans="1:11" x14ac:dyDescent="0.2">
      <c r="A95" s="105" t="s">
        <v>102</v>
      </c>
      <c r="D95" s="105" t="s">
        <v>515</v>
      </c>
      <c r="F95" s="105" t="s">
        <v>516</v>
      </c>
    </row>
    <row r="96" spans="1:11" x14ac:dyDescent="0.2">
      <c r="A96" s="105" t="s">
        <v>112</v>
      </c>
      <c r="D96" s="105">
        <v>0</v>
      </c>
      <c r="F96" s="114">
        <f>((D96/1000000)*100)/0.405</f>
        <v>0</v>
      </c>
    </row>
    <row r="97" spans="1:6" x14ac:dyDescent="0.2">
      <c r="A97" s="105" t="s">
        <v>114</v>
      </c>
      <c r="D97" s="105">
        <v>0</v>
      </c>
      <c r="F97" s="114">
        <f t="shared" ref="F97:F111" si="10">((D97/1000000)*100)/0.405</f>
        <v>0</v>
      </c>
    </row>
    <row r="98" spans="1:6" x14ac:dyDescent="0.2">
      <c r="A98" s="105" t="s">
        <v>115</v>
      </c>
      <c r="D98" s="105">
        <v>0</v>
      </c>
      <c r="F98" s="114">
        <f t="shared" si="10"/>
        <v>0</v>
      </c>
    </row>
    <row r="99" spans="1:6" x14ac:dyDescent="0.2">
      <c r="A99" s="105" t="s">
        <v>117</v>
      </c>
      <c r="D99" s="105">
        <v>0</v>
      </c>
      <c r="F99" s="114">
        <f t="shared" si="10"/>
        <v>0</v>
      </c>
    </row>
    <row r="100" spans="1:6" x14ac:dyDescent="0.2">
      <c r="A100" s="105" t="s">
        <v>119</v>
      </c>
      <c r="D100" s="105">
        <v>0</v>
      </c>
      <c r="F100" s="114">
        <f t="shared" si="10"/>
        <v>0</v>
      </c>
    </row>
    <row r="101" spans="1:6" x14ac:dyDescent="0.2">
      <c r="A101" s="105" t="s">
        <v>121</v>
      </c>
      <c r="D101" s="105">
        <v>0</v>
      </c>
      <c r="F101" s="114">
        <f t="shared" si="10"/>
        <v>0</v>
      </c>
    </row>
    <row r="102" spans="1:6" x14ac:dyDescent="0.2">
      <c r="A102" s="105" t="s">
        <v>123</v>
      </c>
      <c r="D102" s="105">
        <v>0</v>
      </c>
      <c r="F102" s="114">
        <f t="shared" si="10"/>
        <v>0</v>
      </c>
    </row>
    <row r="103" spans="1:6" x14ac:dyDescent="0.2">
      <c r="A103" s="105" t="s">
        <v>125</v>
      </c>
      <c r="D103" s="105">
        <v>0</v>
      </c>
      <c r="F103" s="114">
        <f t="shared" si="10"/>
        <v>0</v>
      </c>
    </row>
    <row r="104" spans="1:6" x14ac:dyDescent="0.2">
      <c r="A104" s="105" t="s">
        <v>127</v>
      </c>
      <c r="D104" s="105">
        <v>0</v>
      </c>
      <c r="F104" s="114">
        <f t="shared" si="10"/>
        <v>0</v>
      </c>
    </row>
    <row r="105" spans="1:6" x14ac:dyDescent="0.2">
      <c r="A105" s="105" t="s">
        <v>129</v>
      </c>
      <c r="D105" s="105">
        <v>0</v>
      </c>
      <c r="F105" s="114">
        <f t="shared" si="10"/>
        <v>0</v>
      </c>
    </row>
    <row r="106" spans="1:6" x14ac:dyDescent="0.2">
      <c r="A106" s="105" t="s">
        <v>131</v>
      </c>
      <c r="D106" s="105">
        <v>0</v>
      </c>
      <c r="F106" s="114">
        <f t="shared" si="10"/>
        <v>0</v>
      </c>
    </row>
    <row r="107" spans="1:6" x14ac:dyDescent="0.2">
      <c r="A107" s="105" t="s">
        <v>132</v>
      </c>
      <c r="D107" s="105">
        <v>0</v>
      </c>
      <c r="F107" s="114">
        <f t="shared" si="10"/>
        <v>0</v>
      </c>
    </row>
    <row r="108" spans="1:6" x14ac:dyDescent="0.2">
      <c r="A108" s="105" t="s">
        <v>134</v>
      </c>
      <c r="D108" s="105">
        <v>0</v>
      </c>
      <c r="F108" s="114">
        <f t="shared" si="10"/>
        <v>0</v>
      </c>
    </row>
    <row r="109" spans="1:6" x14ac:dyDescent="0.2">
      <c r="A109" s="105" t="s">
        <v>136</v>
      </c>
      <c r="D109" s="105">
        <v>0</v>
      </c>
      <c r="F109" s="114">
        <f t="shared" si="10"/>
        <v>0</v>
      </c>
    </row>
    <row r="110" spans="1:6" x14ac:dyDescent="0.2">
      <c r="A110" s="105" t="s">
        <v>138</v>
      </c>
      <c r="D110" s="105">
        <v>0</v>
      </c>
      <c r="F110" s="114">
        <f t="shared" si="10"/>
        <v>0</v>
      </c>
    </row>
    <row r="111" spans="1:6" x14ac:dyDescent="0.2">
      <c r="A111" s="105" t="s">
        <v>139</v>
      </c>
      <c r="D111" s="105">
        <v>0</v>
      </c>
      <c r="F111" s="114">
        <f t="shared" si="10"/>
        <v>0</v>
      </c>
    </row>
    <row r="113" spans="1:6" s="138" customFormat="1" x14ac:dyDescent="0.2">
      <c r="A113" s="138" t="s">
        <v>99</v>
      </c>
      <c r="D113" s="138">
        <f>SUM(D96:D111)</f>
        <v>0</v>
      </c>
      <c r="F113" s="510">
        <f>SUM(F96:F111)</f>
        <v>0</v>
      </c>
    </row>
  </sheetData>
  <mergeCells count="3">
    <mergeCell ref="B5:C5"/>
    <mergeCell ref="A9:F9"/>
    <mergeCell ref="C18:F18"/>
  </mergeCells>
  <pageMargins left="0.75" right="0.35" top="0.5" bottom="0.75" header="0.3" footer="0.3"/>
  <pageSetup scale="89" orientation="portrait" r:id="rId1"/>
  <headerFooter>
    <oddFooter>&amp;L&amp;"Arial,Regular"&amp;9Section 3: Christina Basin MapShed Output&amp;C&amp;"Arial,Regular"&amp;9Page &amp;P of &amp;N&amp;R&amp;"Arial,Regular"&amp;9Christina Basin Loading Rates Tool (May 5, 2017)</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8"/>
  <sheetViews>
    <sheetView topLeftCell="A12" zoomScale="80" zoomScaleNormal="80" workbookViewId="0">
      <selection activeCell="C5" sqref="C5"/>
    </sheetView>
  </sheetViews>
  <sheetFormatPr defaultColWidth="8.875" defaultRowHeight="12.75" x14ac:dyDescent="0.2"/>
  <cols>
    <col min="1" max="1" width="1.875" style="105" customWidth="1"/>
    <col min="2" max="2" width="3.375" style="105" customWidth="1"/>
    <col min="3" max="3" width="34.625" style="105" customWidth="1"/>
    <col min="4" max="4" width="11.875" style="105" customWidth="1"/>
    <col min="5" max="5" width="13.5" style="105" customWidth="1"/>
    <col min="6" max="6" width="9.5" style="105" customWidth="1"/>
    <col min="7" max="7" width="9.875" style="105" customWidth="1"/>
    <col min="8" max="8" width="11" style="105" customWidth="1"/>
    <col min="9" max="9" width="5" style="105" customWidth="1"/>
    <col min="10" max="10" width="10.5" style="105" customWidth="1"/>
    <col min="11" max="11" width="8.875" style="105"/>
    <col min="12" max="12" width="10.125" style="105" bestFit="1" customWidth="1"/>
    <col min="13" max="13" width="3.5" style="105" customWidth="1"/>
    <col min="14" max="16384" width="8.875" style="105"/>
  </cols>
  <sheetData>
    <row r="1" spans="1:8" ht="14.45" customHeight="1" x14ac:dyDescent="0.25">
      <c r="A1" s="106" t="s">
        <v>17</v>
      </c>
      <c r="B1" s="106"/>
      <c r="C1" s="143"/>
    </row>
    <row r="2" spans="1:8" ht="5.45" customHeight="1" x14ac:dyDescent="0.2"/>
    <row r="3" spans="1:8" ht="14.45" customHeight="1" x14ac:dyDescent="0.2">
      <c r="A3" s="105" t="str">
        <f>CONCATENATE("Watershed: ",'MMW Output'!B3)</f>
        <v>Watershed: User Specified</v>
      </c>
    </row>
    <row r="4" spans="1:8" ht="5.45" customHeight="1" x14ac:dyDescent="0.2"/>
    <row r="5" spans="1:8" ht="14.45" customHeight="1" x14ac:dyDescent="0.2">
      <c r="A5" s="105" t="str">
        <f>CONCATENATE("Year: ",'MMW Output'!C16)</f>
        <v>Year: User Specified</v>
      </c>
    </row>
    <row r="6" spans="1:8" ht="9" customHeight="1" x14ac:dyDescent="0.2"/>
    <row r="7" spans="1:8" ht="18" customHeight="1" x14ac:dyDescent="0.25">
      <c r="A7" s="468" t="s">
        <v>142</v>
      </c>
      <c r="B7" s="468"/>
      <c r="C7" s="468"/>
      <c r="D7" s="468"/>
      <c r="E7" s="468"/>
      <c r="F7" s="468"/>
      <c r="G7" s="144"/>
    </row>
    <row r="8" spans="1:8" ht="99" customHeight="1" x14ac:dyDescent="0.2">
      <c r="A8" s="467" t="s">
        <v>143</v>
      </c>
      <c r="B8" s="467"/>
      <c r="C8" s="467"/>
      <c r="D8" s="467"/>
      <c r="E8" s="467"/>
      <c r="F8" s="467"/>
      <c r="G8" s="467"/>
      <c r="H8" s="467"/>
    </row>
    <row r="9" spans="1:8" ht="6" customHeight="1" x14ac:dyDescent="0.2"/>
    <row r="10" spans="1:8" ht="8.4499999999999993" customHeight="1" x14ac:dyDescent="0.2"/>
    <row r="11" spans="1:8" ht="27.6" customHeight="1" x14ac:dyDescent="0.2">
      <c r="A11" s="467" t="s">
        <v>144</v>
      </c>
      <c r="B11" s="467"/>
      <c r="C11" s="467"/>
      <c r="D11" s="467"/>
      <c r="E11" s="467"/>
      <c r="F11" s="467"/>
      <c r="G11" s="467"/>
      <c r="H11" s="145"/>
    </row>
    <row r="12" spans="1:8" ht="9.6" customHeight="1" x14ac:dyDescent="0.2"/>
    <row r="13" spans="1:8" ht="14.45" customHeight="1" x14ac:dyDescent="0.2">
      <c r="B13" s="110"/>
    </row>
    <row r="14" spans="1:8" ht="45" customHeight="1" x14ac:dyDescent="0.2">
      <c r="B14" s="146" t="s">
        <v>145</v>
      </c>
      <c r="C14" s="147"/>
      <c r="D14" s="148" t="s">
        <v>30</v>
      </c>
      <c r="E14" s="148" t="s">
        <v>32</v>
      </c>
    </row>
    <row r="15" spans="1:8" ht="19.350000000000001" customHeight="1" x14ac:dyDescent="0.2">
      <c r="C15" s="149" t="s">
        <v>146</v>
      </c>
      <c r="D15" s="150">
        <f>+'MMW Output'!E38</f>
        <v>503222.01300000004</v>
      </c>
      <c r="E15" s="150">
        <f>+'MMW Output'!F38</f>
        <v>125948.05650000001</v>
      </c>
      <c r="F15" s="151" t="s">
        <v>147</v>
      </c>
      <c r="G15" s="469" t="s">
        <v>148</v>
      </c>
      <c r="H15" s="470"/>
    </row>
    <row r="16" spans="1:8" ht="8.1" customHeight="1" x14ac:dyDescent="0.2">
      <c r="F16" s="152"/>
      <c r="G16" s="471"/>
      <c r="H16" s="472"/>
    </row>
    <row r="17" spans="1:8" ht="28.35" customHeight="1" x14ac:dyDescent="0.2">
      <c r="B17" s="110" t="s">
        <v>149</v>
      </c>
      <c r="F17" s="152"/>
      <c r="G17" s="473"/>
      <c r="H17" s="474"/>
    </row>
    <row r="18" spans="1:8" ht="30.75" customHeight="1" x14ac:dyDescent="0.2">
      <c r="C18" s="153" t="s">
        <v>24</v>
      </c>
      <c r="D18" s="154" t="s">
        <v>150</v>
      </c>
      <c r="F18" s="152"/>
      <c r="G18" s="155"/>
      <c r="H18" s="155"/>
    </row>
    <row r="19" spans="1:8" ht="18" customHeight="1" x14ac:dyDescent="0.2">
      <c r="B19" s="156"/>
      <c r="C19" s="149" t="s">
        <v>113</v>
      </c>
      <c r="D19" s="150">
        <f>+'MMW Output'!C22</f>
        <v>23560.493827160491</v>
      </c>
      <c r="G19" s="157"/>
      <c r="H19" s="157"/>
    </row>
    <row r="20" spans="1:8" ht="18" customHeight="1" x14ac:dyDescent="0.2">
      <c r="B20" s="156"/>
      <c r="C20" s="158" t="s">
        <v>47</v>
      </c>
      <c r="D20" s="159">
        <f>+'MMW Output'!C23</f>
        <v>34311.111111111109</v>
      </c>
    </row>
    <row r="21" spans="1:8" ht="29.45" customHeight="1" x14ac:dyDescent="0.2">
      <c r="B21" s="475" t="s">
        <v>151</v>
      </c>
      <c r="C21" s="475"/>
      <c r="D21" s="475"/>
      <c r="E21" s="475"/>
      <c r="F21" s="475"/>
      <c r="G21" s="475"/>
    </row>
    <row r="22" spans="1:8" ht="6" customHeight="1" x14ac:dyDescent="0.2">
      <c r="D22" s="160"/>
    </row>
    <row r="23" spans="1:8" ht="15.6" customHeight="1" x14ac:dyDescent="0.2"/>
    <row r="24" spans="1:8" ht="13.35" customHeight="1" x14ac:dyDescent="0.2">
      <c r="A24" s="467" t="s">
        <v>152</v>
      </c>
      <c r="B24" s="467"/>
      <c r="C24" s="467"/>
      <c r="D24" s="467"/>
      <c r="E24" s="467"/>
      <c r="F24" s="467"/>
      <c r="G24" s="467"/>
      <c r="H24" s="467"/>
    </row>
    <row r="25" spans="1:8" ht="6" customHeight="1" x14ac:dyDescent="0.2">
      <c r="C25" s="161"/>
      <c r="D25" s="162"/>
      <c r="E25" s="163"/>
    </row>
    <row r="26" spans="1:8" ht="14.45" customHeight="1" x14ac:dyDescent="0.2">
      <c r="C26" s="164" t="s">
        <v>153</v>
      </c>
      <c r="D26" s="165">
        <f>+D19+D20</f>
        <v>57871.604938271601</v>
      </c>
      <c r="E26" s="166" t="s">
        <v>154</v>
      </c>
      <c r="F26" s="105" t="str">
        <f>CONCATENATE("[ ",ROUND(D19,2)," acres + ",ROUND(D20,2)," acres"," ]")</f>
        <v>[ 23560.49 acres + 34311.11 acres ]</v>
      </c>
    </row>
    <row r="27" spans="1:8" ht="6" customHeight="1" x14ac:dyDescent="0.2">
      <c r="C27" s="161"/>
      <c r="D27" s="162"/>
      <c r="E27" s="163"/>
    </row>
    <row r="28" spans="1:8" ht="11.1" customHeight="1" x14ac:dyDescent="0.2">
      <c r="C28" s="161"/>
      <c r="D28" s="162"/>
      <c r="E28" s="163"/>
    </row>
    <row r="29" spans="1:8" ht="31.35" customHeight="1" x14ac:dyDescent="0.2">
      <c r="A29" s="467" t="s">
        <v>155</v>
      </c>
      <c r="B29" s="467"/>
      <c r="C29" s="467"/>
      <c r="D29" s="467"/>
      <c r="E29" s="467"/>
      <c r="F29" s="467"/>
      <c r="G29" s="467"/>
      <c r="H29" s="467"/>
    </row>
    <row r="30" spans="1:8" ht="6" customHeight="1" x14ac:dyDescent="0.2">
      <c r="D30" s="160"/>
    </row>
    <row r="31" spans="1:8" ht="27.6" customHeight="1" x14ac:dyDescent="0.2">
      <c r="C31" s="167"/>
      <c r="D31" s="148" t="s">
        <v>30</v>
      </c>
      <c r="E31" s="148" t="s">
        <v>32</v>
      </c>
    </row>
    <row r="32" spans="1:8" ht="19.350000000000001" customHeight="1" x14ac:dyDescent="0.2">
      <c r="C32" s="168" t="s">
        <v>146</v>
      </c>
      <c r="D32" s="150">
        <f>+D15</f>
        <v>503222.01300000004</v>
      </c>
      <c r="E32" s="150">
        <f>+E15</f>
        <v>125948.05650000001</v>
      </c>
      <c r="F32" s="169" t="s">
        <v>156</v>
      </c>
      <c r="G32" s="170"/>
      <c r="H32" s="171"/>
    </row>
    <row r="33" spans="1:8" ht="19.350000000000001" customHeight="1" x14ac:dyDescent="0.2">
      <c r="C33" s="172" t="s">
        <v>157</v>
      </c>
      <c r="D33" s="173">
        <f>+D26</f>
        <v>57871.604938271601</v>
      </c>
      <c r="E33" s="173">
        <f>+D26</f>
        <v>57871.604938271601</v>
      </c>
      <c r="F33" s="174" t="s">
        <v>158</v>
      </c>
      <c r="G33" s="175"/>
      <c r="H33" s="171"/>
    </row>
    <row r="34" spans="1:8" ht="5.45" customHeight="1" x14ac:dyDescent="0.2">
      <c r="C34" s="172"/>
      <c r="D34" s="176"/>
      <c r="E34" s="173"/>
      <c r="F34" s="177"/>
      <c r="G34" s="178"/>
      <c r="H34" s="171"/>
    </row>
    <row r="35" spans="1:8" ht="19.350000000000001" customHeight="1" x14ac:dyDescent="0.2">
      <c r="C35" s="168" t="s">
        <v>159</v>
      </c>
      <c r="D35" s="179">
        <f>+D32/D33</f>
        <v>8.6954908808345426</v>
      </c>
      <c r="E35" s="179">
        <f>+E32/E33</f>
        <v>2.1763359878189266</v>
      </c>
      <c r="F35" s="180" t="s">
        <v>160</v>
      </c>
      <c r="G35" s="170"/>
      <c r="H35" s="171"/>
    </row>
    <row r="36" spans="1:8" ht="10.35" customHeight="1" x14ac:dyDescent="0.2">
      <c r="C36" s="181"/>
      <c r="D36" s="182"/>
      <c r="E36" s="183"/>
      <c r="F36" s="184"/>
    </row>
    <row r="37" spans="1:8" x14ac:dyDescent="0.2">
      <c r="C37" s="185"/>
    </row>
    <row r="38" spans="1:8" ht="40.35" customHeight="1" x14ac:dyDescent="0.2">
      <c r="A38" s="467" t="s">
        <v>161</v>
      </c>
      <c r="B38" s="467"/>
      <c r="C38" s="467"/>
      <c r="D38" s="467"/>
      <c r="E38" s="467"/>
      <c r="F38" s="467"/>
      <c r="G38" s="467"/>
      <c r="H38" s="467"/>
    </row>
  </sheetData>
  <mergeCells count="8">
    <mergeCell ref="A29:H29"/>
    <mergeCell ref="A38:H38"/>
    <mergeCell ref="A7:F7"/>
    <mergeCell ref="A8:H8"/>
    <mergeCell ref="A11:G11"/>
    <mergeCell ref="G15:H17"/>
    <mergeCell ref="B21:G21"/>
    <mergeCell ref="A24:H24"/>
  </mergeCells>
  <pageMargins left="0.75" right="0.35" top="0.5" bottom="0.75" header="0.3" footer="0.3"/>
  <pageSetup scale="92" orientation="portrait" r:id="rId1"/>
  <headerFooter>
    <oddFooter>&amp;L&amp;"Arial,Regular"&amp;9Section 5: Backup for Farm Animals TN and TP Loading&amp;C&amp;"Arial,Regular"&amp;9Page &amp;P of &amp;N&amp;R&amp;"Arial,Regular"&amp;9Christina Basin Loading Rates Tool (May 5, 2017)</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8"/>
  <sheetViews>
    <sheetView topLeftCell="A135" zoomScale="80" zoomScaleNormal="80" zoomScaleSheetLayoutView="80" workbookViewId="0">
      <selection activeCell="C79" sqref="C79"/>
    </sheetView>
  </sheetViews>
  <sheetFormatPr defaultColWidth="8.875" defaultRowHeight="12.75" x14ac:dyDescent="0.2"/>
  <cols>
    <col min="1" max="1" width="2.625" style="105" customWidth="1"/>
    <col min="2" max="2" width="25" style="105" customWidth="1"/>
    <col min="3" max="3" width="20" style="105" customWidth="1"/>
    <col min="4" max="4" width="9.875" style="105" customWidth="1"/>
    <col min="5" max="5" width="9.5" style="105" customWidth="1"/>
    <col min="6" max="6" width="9.875" style="105" customWidth="1"/>
    <col min="7" max="7" width="16.5" style="105" customWidth="1"/>
    <col min="8" max="8" width="5" style="105" customWidth="1"/>
    <col min="9" max="9" width="10.5" style="105" customWidth="1"/>
    <col min="10" max="10" width="8.875" style="105"/>
    <col min="11" max="11" width="10.125" style="105" bestFit="1" customWidth="1"/>
    <col min="12" max="12" width="3.5" style="105" customWidth="1"/>
    <col min="13" max="16384" width="8.875" style="105"/>
  </cols>
  <sheetData>
    <row r="1" spans="1:11" ht="14.45" customHeight="1" x14ac:dyDescent="0.25">
      <c r="A1" s="106" t="s">
        <v>162</v>
      </c>
      <c r="B1" s="143"/>
    </row>
    <row r="2" spans="1:11" ht="6" customHeight="1" x14ac:dyDescent="0.2"/>
    <row r="3" spans="1:11" ht="14.45" customHeight="1" x14ac:dyDescent="0.2">
      <c r="A3" s="105" t="str">
        <f>CONCATENATE("Watershed: ",'MMW Output'!$B$3)</f>
        <v>Watershed: User Specified</v>
      </c>
    </row>
    <row r="4" spans="1:11" ht="6" customHeight="1" x14ac:dyDescent="0.2"/>
    <row r="5" spans="1:11" ht="14.45" customHeight="1" x14ac:dyDescent="0.2">
      <c r="A5" s="105" t="str">
        <f>CONCATENATE("Year: ",'MMW Output'!$C$16)</f>
        <v>Year: User Specified</v>
      </c>
    </row>
    <row r="6" spans="1:11" ht="11.45" customHeight="1" x14ac:dyDescent="0.2"/>
    <row r="7" spans="1:11" ht="18.75" customHeight="1" x14ac:dyDescent="0.2">
      <c r="A7" s="468" t="s">
        <v>163</v>
      </c>
      <c r="B7" s="468"/>
      <c r="C7" s="468"/>
      <c r="D7" s="468"/>
      <c r="E7" s="468"/>
      <c r="F7" s="468"/>
    </row>
    <row r="8" spans="1:11" ht="95.1" customHeight="1" x14ac:dyDescent="0.2">
      <c r="A8" s="467" t="s">
        <v>164</v>
      </c>
      <c r="B8" s="467"/>
      <c r="C8" s="467"/>
      <c r="D8" s="467"/>
      <c r="E8" s="467"/>
      <c r="F8" s="467"/>
      <c r="G8" s="467"/>
    </row>
    <row r="9" spans="1:11" ht="8.4499999999999993" customHeight="1" x14ac:dyDescent="0.2"/>
    <row r="10" spans="1:11" ht="8.4499999999999993" customHeight="1" x14ac:dyDescent="0.2"/>
    <row r="11" spans="1:11" ht="27.6" customHeight="1" x14ac:dyDescent="0.2">
      <c r="A11" s="467" t="s">
        <v>165</v>
      </c>
      <c r="B11" s="467"/>
      <c r="C11" s="467"/>
      <c r="D11" s="467"/>
      <c r="E11" s="467"/>
      <c r="F11" s="467"/>
      <c r="G11" s="467"/>
    </row>
    <row r="12" spans="1:11" ht="6" customHeight="1" x14ac:dyDescent="0.2"/>
    <row r="13" spans="1:11" x14ac:dyDescent="0.2">
      <c r="B13" s="186"/>
      <c r="C13" s="187" t="s">
        <v>28</v>
      </c>
      <c r="D13" s="187"/>
    </row>
    <row r="14" spans="1:11" ht="13.35" customHeight="1" x14ac:dyDescent="0.2">
      <c r="B14" s="188" t="s">
        <v>98</v>
      </c>
      <c r="C14" s="189">
        <f>ROUND('MMW Output'!D40,2)</f>
        <v>29191.55</v>
      </c>
      <c r="D14" s="188" t="s">
        <v>166</v>
      </c>
      <c r="E14" s="476" t="s">
        <v>167</v>
      </c>
      <c r="F14" s="477"/>
      <c r="G14" s="478"/>
    </row>
    <row r="15" spans="1:11" ht="8.1" customHeight="1" x14ac:dyDescent="0.2">
      <c r="E15" s="479"/>
      <c r="F15" s="480"/>
      <c r="G15" s="481"/>
    </row>
    <row r="16" spans="1:11" x14ac:dyDescent="0.2">
      <c r="B16" s="153" t="s">
        <v>24</v>
      </c>
      <c r="C16" s="154" t="s">
        <v>150</v>
      </c>
      <c r="E16" s="482"/>
      <c r="F16" s="483"/>
      <c r="G16" s="484"/>
      <c r="K16" s="190"/>
    </row>
    <row r="17" spans="1:3" ht="13.35" customHeight="1" x14ac:dyDescent="0.2">
      <c r="A17" s="485" t="s">
        <v>168</v>
      </c>
      <c r="B17" s="191" t="s">
        <v>113</v>
      </c>
      <c r="C17" s="192">
        <f>+'MMW Output'!C22</f>
        <v>23560.493827160491</v>
      </c>
    </row>
    <row r="18" spans="1:3" ht="13.35" customHeight="1" x14ac:dyDescent="0.2">
      <c r="A18" s="486"/>
      <c r="B18" s="193" t="s">
        <v>47</v>
      </c>
      <c r="C18" s="194">
        <f>+'MMW Output'!C23</f>
        <v>34311.111111111109</v>
      </c>
    </row>
    <row r="19" spans="1:3" ht="13.35" customHeight="1" x14ac:dyDescent="0.2">
      <c r="A19" s="486"/>
      <c r="B19" s="195" t="s">
        <v>48</v>
      </c>
      <c r="C19" s="196">
        <f>+'MMW Output'!C24</f>
        <v>26165.432098765428</v>
      </c>
    </row>
    <row r="20" spans="1:3" ht="13.35" customHeight="1" x14ac:dyDescent="0.2">
      <c r="A20" s="486"/>
      <c r="B20" s="193" t="s">
        <v>50</v>
      </c>
      <c r="C20" s="194">
        <f>+'MMW Output'!C25</f>
        <v>424.69135802469134</v>
      </c>
    </row>
    <row r="21" spans="1:3" ht="13.35" customHeight="1" x14ac:dyDescent="0.2">
      <c r="A21" s="486"/>
      <c r="B21" s="195" t="s">
        <v>51</v>
      </c>
      <c r="C21" s="196">
        <f>+'MMW Output'!C26</f>
        <v>0</v>
      </c>
    </row>
    <row r="22" spans="1:3" ht="13.35" customHeight="1" x14ac:dyDescent="0.2">
      <c r="A22" s="486"/>
      <c r="B22" s="193" t="s">
        <v>52</v>
      </c>
      <c r="C22" s="194">
        <f>+'MMW Output'!C27</f>
        <v>0</v>
      </c>
    </row>
    <row r="23" spans="1:3" ht="13.35" customHeight="1" x14ac:dyDescent="0.2">
      <c r="A23" s="486"/>
      <c r="B23" s="195" t="s">
        <v>53</v>
      </c>
      <c r="C23" s="196">
        <f>+'MMW Output'!C28</f>
        <v>291.35802469135803</v>
      </c>
    </row>
    <row r="24" spans="1:3" ht="13.35" customHeight="1" x14ac:dyDescent="0.2">
      <c r="A24" s="486"/>
      <c r="B24" s="193" t="s">
        <v>54</v>
      </c>
      <c r="C24" s="194">
        <f>+'MMW Output'!C29</f>
        <v>175.30864197530863</v>
      </c>
    </row>
    <row r="25" spans="1:3" ht="13.35" customHeight="1" x14ac:dyDescent="0.2">
      <c r="A25" s="486"/>
      <c r="B25" s="195" t="s">
        <v>55</v>
      </c>
      <c r="C25" s="196">
        <f>+'MMW Output'!C30</f>
        <v>0</v>
      </c>
    </row>
    <row r="26" spans="1:3" ht="13.35" customHeight="1" x14ac:dyDescent="0.2">
      <c r="A26" s="486"/>
      <c r="B26" s="193" t="s">
        <v>56</v>
      </c>
      <c r="C26" s="194">
        <f>+'MMW Output'!C31</f>
        <v>0</v>
      </c>
    </row>
    <row r="27" spans="1:3" ht="13.35" customHeight="1" x14ac:dyDescent="0.2">
      <c r="A27" s="486"/>
      <c r="B27" s="195" t="s">
        <v>57</v>
      </c>
      <c r="C27" s="196">
        <f>+'MMW Output'!C32</f>
        <v>12380.246913580246</v>
      </c>
    </row>
    <row r="28" spans="1:3" ht="13.35" customHeight="1" x14ac:dyDescent="0.2">
      <c r="A28" s="486"/>
      <c r="B28" s="193" t="s">
        <v>58</v>
      </c>
      <c r="C28" s="194">
        <f>+'MMW Output'!C33</f>
        <v>1081.4814814814815</v>
      </c>
    </row>
    <row r="29" spans="1:3" ht="13.35" customHeight="1" x14ac:dyDescent="0.2">
      <c r="A29" s="486"/>
      <c r="B29" s="195" t="s">
        <v>59</v>
      </c>
      <c r="C29" s="196">
        <f>+'MMW Output'!C34</f>
        <v>261.72839506172835</v>
      </c>
    </row>
    <row r="30" spans="1:3" ht="13.35" customHeight="1" x14ac:dyDescent="0.2">
      <c r="A30" s="486"/>
      <c r="B30" s="193" t="s">
        <v>60</v>
      </c>
      <c r="C30" s="194">
        <f>+'MMW Output'!C35</f>
        <v>0</v>
      </c>
    </row>
    <row r="31" spans="1:3" ht="13.35" customHeight="1" x14ac:dyDescent="0.2">
      <c r="A31" s="486"/>
      <c r="B31" s="195" t="s">
        <v>61</v>
      </c>
      <c r="C31" s="196">
        <f>+'MMW Output'!C36</f>
        <v>0</v>
      </c>
    </row>
    <row r="32" spans="1:3" ht="13.35" customHeight="1" x14ac:dyDescent="0.2">
      <c r="A32" s="487"/>
      <c r="B32" s="197" t="s">
        <v>62</v>
      </c>
      <c r="C32" s="198">
        <f>+'MMW Output'!C37</f>
        <v>0</v>
      </c>
    </row>
    <row r="33" spans="1:7" ht="6" customHeight="1" x14ac:dyDescent="0.2">
      <c r="C33" s="199"/>
    </row>
    <row r="34" spans="1:7" ht="15.6" customHeight="1" x14ac:dyDescent="0.2">
      <c r="B34" s="110" t="s">
        <v>169</v>
      </c>
      <c r="C34" s="200">
        <f>SUM(C17:C33)</f>
        <v>98651.851851851825</v>
      </c>
    </row>
    <row r="35" spans="1:7" ht="17.100000000000001" customHeight="1" x14ac:dyDescent="0.2"/>
    <row r="36" spans="1:7" x14ac:dyDescent="0.2">
      <c r="A36" s="467" t="s">
        <v>170</v>
      </c>
      <c r="B36" s="467"/>
      <c r="C36" s="467"/>
      <c r="D36" s="467"/>
      <c r="E36" s="467"/>
      <c r="F36" s="467"/>
      <c r="G36" s="467"/>
    </row>
    <row r="37" spans="1:7" ht="6" customHeight="1" x14ac:dyDescent="0.2">
      <c r="B37" s="161"/>
      <c r="C37" s="162"/>
      <c r="D37" s="163"/>
    </row>
    <row r="38" spans="1:7" x14ac:dyDescent="0.2">
      <c r="B38" s="186"/>
      <c r="C38" s="187" t="s">
        <v>171</v>
      </c>
      <c r="D38" s="187"/>
    </row>
    <row r="39" spans="1:7" x14ac:dyDescent="0.2">
      <c r="B39" s="188" t="s">
        <v>98</v>
      </c>
      <c r="C39" s="188">
        <f>+C14*2000</f>
        <v>58383100</v>
      </c>
      <c r="D39" s="188" t="s">
        <v>147</v>
      </c>
      <c r="E39" s="105" t="str">
        <f>CONCATENATE("= [ ",ROUND(C14,2)," tons x 2,000 pounds per ton]")</f>
        <v>= [ 29191.55 tons x 2,000 pounds per ton]</v>
      </c>
    </row>
    <row r="40" spans="1:7" ht="6" customHeight="1" x14ac:dyDescent="0.2">
      <c r="B40" s="161"/>
      <c r="D40" s="163"/>
    </row>
    <row r="41" spans="1:7" ht="17.100000000000001" customHeight="1" x14ac:dyDescent="0.2">
      <c r="B41" s="161"/>
      <c r="C41" s="162"/>
      <c r="D41" s="163"/>
    </row>
    <row r="42" spans="1:7" x14ac:dyDescent="0.2">
      <c r="A42" s="467" t="str">
        <f>CONCATENATE("Step 3. Sum the total acres in the ", 'MMW Output'!C15," watershed.")</f>
        <v>Step 3. Sum the total acres in the User Specified watershed.</v>
      </c>
      <c r="B42" s="467"/>
      <c r="C42" s="467"/>
      <c r="D42" s="467"/>
      <c r="E42" s="467"/>
      <c r="F42" s="467"/>
      <c r="G42" s="467"/>
    </row>
    <row r="43" spans="1:7" ht="6" customHeight="1" x14ac:dyDescent="0.2">
      <c r="A43" s="201"/>
      <c r="B43" s="201"/>
      <c r="C43" s="201"/>
      <c r="D43" s="201"/>
      <c r="E43" s="201"/>
      <c r="F43" s="201"/>
      <c r="G43" s="201"/>
    </row>
    <row r="44" spans="1:7" x14ac:dyDescent="0.2">
      <c r="B44" s="202" t="s">
        <v>172</v>
      </c>
      <c r="C44" s="165">
        <f>SUM(C17:C33)</f>
        <v>98651.851851851825</v>
      </c>
      <c r="D44" s="181" t="s">
        <v>95</v>
      </c>
    </row>
    <row r="45" spans="1:7" ht="6" customHeight="1" x14ac:dyDescent="0.2">
      <c r="B45" s="161"/>
      <c r="C45" s="162"/>
      <c r="D45" s="163"/>
    </row>
    <row r="46" spans="1:7" ht="4.3499999999999996" customHeight="1" x14ac:dyDescent="0.2">
      <c r="B46" s="161"/>
      <c r="C46" s="162"/>
      <c r="D46" s="163"/>
    </row>
    <row r="47" spans="1:7" ht="14.45" customHeight="1" x14ac:dyDescent="0.2">
      <c r="A47" s="105" t="s">
        <v>173</v>
      </c>
      <c r="B47" s="161"/>
      <c r="C47" s="162"/>
      <c r="D47" s="163"/>
    </row>
    <row r="48" spans="1:7" ht="6" customHeight="1" x14ac:dyDescent="0.2">
      <c r="B48" s="161"/>
      <c r="C48" s="162"/>
      <c r="D48" s="163"/>
    </row>
    <row r="49" spans="1:7" ht="14.1" customHeight="1" x14ac:dyDescent="0.2">
      <c r="A49" s="105" t="str">
        <f>CONCATENATE("Watershed: ",'MMW Output'!$B$3)</f>
        <v>Watershed: User Specified</v>
      </c>
      <c r="B49" s="161"/>
      <c r="C49" s="162"/>
      <c r="D49" s="163"/>
    </row>
    <row r="50" spans="1:7" ht="6" customHeight="1" x14ac:dyDescent="0.2">
      <c r="B50" s="161"/>
      <c r="C50" s="162"/>
      <c r="D50" s="163"/>
    </row>
    <row r="51" spans="1:7" ht="14.1" customHeight="1" x14ac:dyDescent="0.2">
      <c r="A51" s="105" t="str">
        <f>CONCATENATE("Year: ",'MMW Output'!$C$16)</f>
        <v>Year: User Specified</v>
      </c>
      <c r="B51" s="161"/>
      <c r="C51" s="162"/>
      <c r="D51" s="163"/>
    </row>
    <row r="52" spans="1:7" ht="11.1" customHeight="1" x14ac:dyDescent="0.2">
      <c r="B52" s="161"/>
      <c r="C52" s="162"/>
      <c r="D52" s="163"/>
    </row>
    <row r="53" spans="1:7" ht="51" customHeight="1" x14ac:dyDescent="0.2">
      <c r="A53" s="467" t="s">
        <v>174</v>
      </c>
      <c r="B53" s="467"/>
      <c r="C53" s="467"/>
      <c r="D53" s="467"/>
      <c r="E53" s="467"/>
      <c r="F53" s="467"/>
      <c r="G53" s="467"/>
    </row>
    <row r="54" spans="1:7" ht="6" customHeight="1" x14ac:dyDescent="0.2">
      <c r="C54" s="160"/>
    </row>
    <row r="55" spans="1:7" x14ac:dyDescent="0.2">
      <c r="B55" s="167" t="s">
        <v>175</v>
      </c>
      <c r="C55" s="203" t="s">
        <v>95</v>
      </c>
      <c r="D55" s="203" t="s">
        <v>176</v>
      </c>
    </row>
    <row r="56" spans="1:7" x14ac:dyDescent="0.2">
      <c r="B56" s="204" t="s">
        <v>177</v>
      </c>
      <c r="C56" s="205">
        <f>+C27+C30</f>
        <v>12380.246913580246</v>
      </c>
      <c r="D56" s="206">
        <f>+C56/C$59</f>
        <v>0.90212306585102553</v>
      </c>
      <c r="E56" s="207" t="s">
        <v>178</v>
      </c>
      <c r="F56" s="188"/>
      <c r="G56" s="208"/>
    </row>
    <row r="57" spans="1:7" x14ac:dyDescent="0.2">
      <c r="B57" s="209" t="s">
        <v>179</v>
      </c>
      <c r="C57" s="210">
        <f>+C28+C31</f>
        <v>1081.4814814814815</v>
      </c>
      <c r="D57" s="211">
        <f>+C57/C$59</f>
        <v>7.8805325656711056E-2</v>
      </c>
      <c r="E57" s="212" t="s">
        <v>180</v>
      </c>
      <c r="F57" s="213"/>
      <c r="G57" s="214"/>
    </row>
    <row r="58" spans="1:7" ht="13.5" thickBot="1" x14ac:dyDescent="0.25">
      <c r="B58" s="215" t="s">
        <v>181</v>
      </c>
      <c r="C58" s="216">
        <f>+C29+C32</f>
        <v>261.72839506172835</v>
      </c>
      <c r="D58" s="217">
        <f>+C58/C$59</f>
        <v>1.9071608492263404E-2</v>
      </c>
      <c r="E58" s="207" t="s">
        <v>182</v>
      </c>
      <c r="F58" s="188"/>
      <c r="G58" s="208"/>
    </row>
    <row r="59" spans="1:7" x14ac:dyDescent="0.2">
      <c r="B59" s="181" t="s">
        <v>183</v>
      </c>
      <c r="C59" s="218">
        <f>+C56+C57+C58</f>
        <v>13723.456790123455</v>
      </c>
      <c r="D59" s="219">
        <f>+C59/C$59</f>
        <v>1</v>
      </c>
      <c r="E59" s="184" t="s">
        <v>184</v>
      </c>
    </row>
    <row r="60" spans="1:7" ht="6.6" customHeight="1" x14ac:dyDescent="0.2"/>
    <row r="62" spans="1:7" x14ac:dyDescent="0.2">
      <c r="A62" s="105" t="s">
        <v>185</v>
      </c>
    </row>
    <row r="63" spans="1:7" x14ac:dyDescent="0.2">
      <c r="B63" s="105" t="s">
        <v>186</v>
      </c>
    </row>
    <row r="64" spans="1:7" x14ac:dyDescent="0.2">
      <c r="B64" s="105" t="s">
        <v>187</v>
      </c>
    </row>
    <row r="65" spans="1:7" ht="8.1" customHeight="1" x14ac:dyDescent="0.2"/>
    <row r="66" spans="1:7" x14ac:dyDescent="0.2">
      <c r="B66" s="105" t="s">
        <v>188</v>
      </c>
      <c r="C66" s="220">
        <f>C39</f>
        <v>58383100</v>
      </c>
      <c r="D66" s="105" t="s">
        <v>147</v>
      </c>
      <c r="E66" s="184" t="s">
        <v>189</v>
      </c>
    </row>
    <row r="67" spans="1:7" x14ac:dyDescent="0.2">
      <c r="B67" s="105" t="s">
        <v>190</v>
      </c>
      <c r="C67" s="221">
        <f>+C59</f>
        <v>13723.456790123455</v>
      </c>
      <c r="D67" s="105" t="s">
        <v>95</v>
      </c>
      <c r="E67" s="184" t="s">
        <v>191</v>
      </c>
    </row>
    <row r="68" spans="1:7" ht="13.35" customHeight="1" x14ac:dyDescent="0.2">
      <c r="B68" s="105" t="s">
        <v>172</v>
      </c>
      <c r="C68" s="221">
        <f>+C44</f>
        <v>98651.851851851825</v>
      </c>
      <c r="D68" s="105" t="s">
        <v>95</v>
      </c>
      <c r="E68" s="184" t="s">
        <v>192</v>
      </c>
    </row>
    <row r="69" spans="1:7" ht="25.35" customHeight="1" x14ac:dyDescent="0.2">
      <c r="B69" s="222" t="s">
        <v>193</v>
      </c>
      <c r="C69" s="223">
        <f>+C67/C68</f>
        <v>0.1391099764729439</v>
      </c>
      <c r="D69" s="184" t="s">
        <v>194</v>
      </c>
      <c r="E69" s="105" t="str">
        <f>CONCATENATE("[ ",ROUND(C67,2)," acres / ",ROUND(C68,2)," acres ]")</f>
        <v>[ 13723.46 acres / 98651.85 acres ]</v>
      </c>
    </row>
    <row r="70" spans="1:7" s="145" customFormat="1" ht="17.25" customHeight="1" x14ac:dyDescent="0.2"/>
    <row r="71" spans="1:7" ht="42" customHeight="1" x14ac:dyDescent="0.2">
      <c r="A71" s="224"/>
      <c r="B71" s="145" t="s">
        <v>195</v>
      </c>
      <c r="C71" s="225">
        <f>+C66*(C59/C68)*0.75</f>
        <v>6091253.7505631484</v>
      </c>
      <c r="D71" s="105" t="s">
        <v>196</v>
      </c>
      <c r="E71" s="105" t="str">
        <f>CONCATENATE("[ 75% x ",ROUND(C66,2)," pounds x ",ROUND(C69*100,0),"% ]")</f>
        <v>[ 75% x 58383100 pounds x 14% ]</v>
      </c>
    </row>
    <row r="72" spans="1:7" ht="26.25" thickBot="1" x14ac:dyDescent="0.25">
      <c r="A72" s="224"/>
      <c r="B72" s="226" t="s">
        <v>197</v>
      </c>
      <c r="C72" s="227">
        <f>+C66*0.25</f>
        <v>14595775</v>
      </c>
      <c r="D72" s="228" t="s">
        <v>196</v>
      </c>
      <c r="E72" s="105" t="str">
        <f>CONCATENATE("[ 25% x ",ROUND(C66,2)," pounds ]")</f>
        <v>[ 25% x 58383100 pounds ]</v>
      </c>
    </row>
    <row r="73" spans="1:7" ht="29.1" customHeight="1" x14ac:dyDescent="0.2">
      <c r="B73" s="229" t="s">
        <v>198</v>
      </c>
      <c r="C73" s="230">
        <f>+C72+C71</f>
        <v>20687028.750563148</v>
      </c>
      <c r="D73" s="231" t="s">
        <v>147</v>
      </c>
    </row>
    <row r="74" spans="1:7" ht="6.6" customHeight="1" x14ac:dyDescent="0.2"/>
    <row r="75" spans="1:7" ht="8.4499999999999993" customHeight="1" x14ac:dyDescent="0.2"/>
    <row r="76" spans="1:7" ht="42" customHeight="1" x14ac:dyDescent="0.2">
      <c r="A76" s="467" t="s">
        <v>199</v>
      </c>
      <c r="B76" s="467"/>
      <c r="C76" s="467"/>
      <c r="D76" s="467"/>
      <c r="E76" s="467"/>
      <c r="F76" s="467"/>
      <c r="G76" s="467"/>
    </row>
    <row r="77" spans="1:7" ht="6" customHeight="1" x14ac:dyDescent="0.2"/>
    <row r="78" spans="1:7" x14ac:dyDescent="0.2">
      <c r="B78" s="110" t="s">
        <v>200</v>
      </c>
    </row>
    <row r="79" spans="1:7" ht="12.75" customHeight="1" x14ac:dyDescent="0.2">
      <c r="B79" s="204" t="s">
        <v>177</v>
      </c>
      <c r="C79" s="232">
        <v>0.15</v>
      </c>
    </row>
    <row r="80" spans="1:7" x14ac:dyDescent="0.2">
      <c r="B80" s="209" t="s">
        <v>179</v>
      </c>
      <c r="C80" s="233">
        <v>0.52</v>
      </c>
    </row>
    <row r="81" spans="1:7" x14ac:dyDescent="0.2">
      <c r="B81" s="204" t="s">
        <v>181</v>
      </c>
      <c r="C81" s="232">
        <v>0.87</v>
      </c>
    </row>
    <row r="82" spans="1:7" ht="6" customHeight="1" x14ac:dyDescent="0.2"/>
    <row r="83" spans="1:7" ht="11.45" customHeight="1" x14ac:dyDescent="0.2"/>
    <row r="84" spans="1:7" ht="24.6" customHeight="1" x14ac:dyDescent="0.2">
      <c r="A84" s="467" t="s">
        <v>201</v>
      </c>
      <c r="B84" s="467"/>
      <c r="C84" s="467"/>
      <c r="D84" s="467"/>
      <c r="E84" s="467"/>
      <c r="F84" s="467"/>
      <c r="G84" s="467"/>
    </row>
    <row r="85" spans="1:7" ht="6" customHeight="1" x14ac:dyDescent="0.2"/>
    <row r="86" spans="1:7" x14ac:dyDescent="0.2">
      <c r="B86" s="110" t="s">
        <v>202</v>
      </c>
    </row>
    <row r="87" spans="1:7" x14ac:dyDescent="0.2">
      <c r="B87" s="234" t="s">
        <v>177</v>
      </c>
      <c r="C87" s="205">
        <f>+C56*C79</f>
        <v>1857.0370370370367</v>
      </c>
      <c r="D87" s="188" t="s">
        <v>203</v>
      </c>
      <c r="E87" s="235" t="str">
        <f>CONCATENATE(" [ ",ROUND(C56,2)," acres x ",C79*100," percent ]")</f>
        <v xml:space="preserve"> [ 12380.25 acres x 15 percent ]</v>
      </c>
      <c r="F87" s="188"/>
      <c r="G87" s="208"/>
    </row>
    <row r="88" spans="1:7" x14ac:dyDescent="0.2">
      <c r="B88" s="236" t="s">
        <v>179</v>
      </c>
      <c r="C88" s="210">
        <f>+C57*C80</f>
        <v>562.37037037037044</v>
      </c>
      <c r="D88" s="213" t="s">
        <v>203</v>
      </c>
      <c r="E88" s="237" t="str">
        <f>CONCATENATE(" [ ",ROUND(C57,2)," acres x ",C80*100," percent ]")</f>
        <v xml:space="preserve"> [ 1081.48 acres x 52 percent ]</v>
      </c>
      <c r="F88" s="213"/>
      <c r="G88" s="214"/>
    </row>
    <row r="89" spans="1:7" ht="13.5" thickBot="1" x14ac:dyDescent="0.25">
      <c r="B89" s="238" t="s">
        <v>181</v>
      </c>
      <c r="C89" s="216">
        <f>+C58*C81</f>
        <v>227.70370370370367</v>
      </c>
      <c r="D89" s="239" t="s">
        <v>203</v>
      </c>
      <c r="E89" s="235" t="str">
        <f>CONCATENATE(" [ ",ROUND(C58,2)," acres x ",C81*100," percent ]")</f>
        <v xml:space="preserve"> [ 261.73 acres x 87 percent ]</v>
      </c>
      <c r="F89" s="188"/>
      <c r="G89" s="208"/>
    </row>
    <row r="90" spans="1:7" ht="29.1" customHeight="1" x14ac:dyDescent="0.2">
      <c r="B90" s="240" t="s">
        <v>204</v>
      </c>
      <c r="C90" s="241">
        <f>+C87+C88+C89</f>
        <v>2647.1111111111104</v>
      </c>
      <c r="D90" s="105" t="s">
        <v>95</v>
      </c>
    </row>
    <row r="91" spans="1:7" ht="6" customHeight="1" x14ac:dyDescent="0.2"/>
    <row r="93" spans="1:7" x14ac:dyDescent="0.2">
      <c r="A93" s="105" t="s">
        <v>205</v>
      </c>
    </row>
    <row r="94" spans="1:7" ht="6" customHeight="1" x14ac:dyDescent="0.2"/>
    <row r="95" spans="1:7" x14ac:dyDescent="0.2">
      <c r="A95" s="105" t="str">
        <f>CONCATENATE("Watershed: ",'MMW Output'!$B$3)</f>
        <v>Watershed: User Specified</v>
      </c>
    </row>
    <row r="96" spans="1:7" ht="6" customHeight="1" x14ac:dyDescent="0.2"/>
    <row r="97" spans="1:7" x14ac:dyDescent="0.2">
      <c r="A97" s="105" t="str">
        <f>CONCATENATE("Year: ",'MMW Output'!$C$16)</f>
        <v>Year: User Specified</v>
      </c>
    </row>
    <row r="99" spans="1:7" x14ac:dyDescent="0.2">
      <c r="A99" s="105" t="s">
        <v>206</v>
      </c>
    </row>
    <row r="100" spans="1:7" ht="6" customHeight="1" x14ac:dyDescent="0.2"/>
    <row r="101" spans="1:7" x14ac:dyDescent="0.2">
      <c r="B101" s="110" t="s">
        <v>207</v>
      </c>
    </row>
    <row r="102" spans="1:7" x14ac:dyDescent="0.2">
      <c r="B102" s="204" t="s">
        <v>177</v>
      </c>
      <c r="C102" s="232">
        <f>+C87/(C$87+C$88+C$89)</f>
        <v>0.70153346765166791</v>
      </c>
      <c r="D102" s="242" t="s">
        <v>208</v>
      </c>
      <c r="E102" s="235" t="str">
        <f>CONCATENATE(" [ ",ROUND(C87,2)," acres / ",ROUND(C90,2)," acres ]")</f>
        <v xml:space="preserve"> [ 1857.04 acres / 2647.11 acres ]</v>
      </c>
      <c r="F102" s="188"/>
      <c r="G102" s="208"/>
    </row>
    <row r="103" spans="1:7" x14ac:dyDescent="0.2">
      <c r="B103" s="209" t="s">
        <v>179</v>
      </c>
      <c r="C103" s="233">
        <f>+C88/(C$87+C$88+C$89)</f>
        <v>0.21244683232594591</v>
      </c>
      <c r="D103" s="243" t="s">
        <v>208</v>
      </c>
      <c r="E103" s="237" t="str">
        <f>CONCATENATE(" [ ",ROUND(C88,2)," acres / ",ROUND(C90,2)," acres ]")</f>
        <v xml:space="preserve"> [ 562.37 acres / 2647.11 acres ]</v>
      </c>
      <c r="F103" s="213"/>
      <c r="G103" s="214"/>
    </row>
    <row r="104" spans="1:7" ht="13.5" thickBot="1" x14ac:dyDescent="0.25">
      <c r="B104" s="215" t="s">
        <v>181</v>
      </c>
      <c r="C104" s="244">
        <f>+C89/(C$87+C$88+C$89)</f>
        <v>8.6019700022386403E-2</v>
      </c>
      <c r="D104" s="242" t="s">
        <v>208</v>
      </c>
      <c r="E104" s="235" t="str">
        <f>CONCATENATE(" [ ",ROUND(C89,2)," acres / ",ROUND(C90,2)," acres ]")</f>
        <v xml:space="preserve"> [ 227.7 acres / 2647.11 acres ]</v>
      </c>
      <c r="F104" s="188"/>
      <c r="G104" s="208"/>
    </row>
    <row r="105" spans="1:7" x14ac:dyDescent="0.2">
      <c r="B105" s="105" t="s">
        <v>183</v>
      </c>
      <c r="C105" s="245">
        <f>+C102+C103+C104</f>
        <v>1.0000000000000002</v>
      </c>
    </row>
    <row r="106" spans="1:7" ht="7.35" customHeight="1" x14ac:dyDescent="0.2"/>
    <row r="107" spans="1:7" ht="13.35" customHeight="1" x14ac:dyDescent="0.2"/>
    <row r="108" spans="1:7" ht="24" customHeight="1" x14ac:dyDescent="0.2">
      <c r="A108" s="467" t="s">
        <v>209</v>
      </c>
      <c r="B108" s="467"/>
      <c r="C108" s="467"/>
      <c r="D108" s="467"/>
      <c r="E108" s="467"/>
      <c r="F108" s="467"/>
      <c r="G108" s="467"/>
    </row>
    <row r="109" spans="1:7" ht="6" customHeight="1" x14ac:dyDescent="0.2"/>
    <row r="110" spans="1:7" ht="25.5" customHeight="1" x14ac:dyDescent="0.2">
      <c r="B110" s="246" t="s">
        <v>198</v>
      </c>
      <c r="C110" s="131">
        <f>+C73</f>
        <v>20687028.750563148</v>
      </c>
      <c r="D110" s="105" t="s">
        <v>210</v>
      </c>
      <c r="E110" s="184" t="s">
        <v>211</v>
      </c>
    </row>
    <row r="111" spans="1:7" ht="25.5" customHeight="1" x14ac:dyDescent="0.2">
      <c r="B111" s="201" t="s">
        <v>212</v>
      </c>
      <c r="C111" s="225">
        <f>+C71</f>
        <v>6091253.7505631484</v>
      </c>
      <c r="D111" s="105" t="s">
        <v>210</v>
      </c>
      <c r="E111" s="184" t="s">
        <v>211</v>
      </c>
    </row>
    <row r="112" spans="1:7" ht="25.5" customHeight="1" x14ac:dyDescent="0.2">
      <c r="B112" s="201" t="s">
        <v>213</v>
      </c>
      <c r="C112" s="225">
        <f>+C72</f>
        <v>14595775</v>
      </c>
      <c r="D112" s="105" t="s">
        <v>210</v>
      </c>
      <c r="E112" s="184" t="s">
        <v>211</v>
      </c>
    </row>
    <row r="113" spans="1:7" ht="6" customHeight="1" x14ac:dyDescent="0.2"/>
    <row r="114" spans="1:7" ht="13.35" customHeight="1" x14ac:dyDescent="0.2"/>
    <row r="115" spans="1:7" ht="14.1" customHeight="1" x14ac:dyDescent="0.2">
      <c r="A115" s="467" t="s">
        <v>214</v>
      </c>
      <c r="B115" s="467"/>
      <c r="C115" s="467"/>
      <c r="D115" s="467"/>
      <c r="E115" s="467"/>
      <c r="F115" s="467"/>
      <c r="G115" s="467"/>
    </row>
    <row r="116" spans="1:7" ht="15" customHeight="1" x14ac:dyDescent="0.2">
      <c r="A116" s="467" t="str">
        <f>CONCATENATE("multiplying the 'Percent of Total Impervious Surfaces' (Step 8) by ",ROUND(C112,2)," pounds (calculated in Step 9):")</f>
        <v>multiplying the 'Percent of Total Impervious Surfaces' (Step 8) by 14595775 pounds (calculated in Step 9):</v>
      </c>
      <c r="B116" s="467"/>
      <c r="C116" s="467"/>
      <c r="D116" s="467"/>
      <c r="E116" s="467"/>
      <c r="F116" s="467"/>
      <c r="G116" s="467"/>
    </row>
    <row r="117" spans="1:7" ht="6" customHeight="1" x14ac:dyDescent="0.2">
      <c r="A117" s="201"/>
      <c r="B117" s="201"/>
      <c r="C117" s="201"/>
      <c r="D117" s="201"/>
      <c r="E117" s="201"/>
      <c r="F117" s="201"/>
      <c r="G117" s="201"/>
    </row>
    <row r="118" spans="1:7" ht="16.350000000000001" customHeight="1" x14ac:dyDescent="0.2">
      <c r="B118" s="110" t="s">
        <v>215</v>
      </c>
      <c r="C118" s="240"/>
      <c r="D118" s="240"/>
      <c r="E118" s="240"/>
      <c r="F118" s="145"/>
    </row>
    <row r="119" spans="1:7" x14ac:dyDescent="0.2">
      <c r="B119" s="204" t="s">
        <v>177</v>
      </c>
      <c r="C119" s="189">
        <f>C102*C$112</f>
        <v>10239424.648813523</v>
      </c>
      <c r="D119" s="488" t="str">
        <f>CONCATENATE("=   [ ",ROUND(C102*100,0)," % x ",ROUND(C$112,2)," pounds ]")</f>
        <v>=   [ 70 % x 14595775 pounds ]</v>
      </c>
      <c r="E119" s="489"/>
      <c r="F119" s="489"/>
      <c r="G119" s="489"/>
    </row>
    <row r="120" spans="1:7" x14ac:dyDescent="0.2">
      <c r="B120" s="209" t="s">
        <v>179</v>
      </c>
      <c r="C120" s="247">
        <f>C103*C$112</f>
        <v>3100826.1640922334</v>
      </c>
      <c r="D120" s="490" t="str">
        <f>CONCATENATE("=   [ ",ROUND(C103*100,0)," % x ",ROUND(C$112,2)," pounds ]")</f>
        <v>=   [ 21 % x 14595775 pounds ]</v>
      </c>
      <c r="E120" s="491"/>
      <c r="F120" s="491"/>
      <c r="G120" s="491"/>
    </row>
    <row r="121" spans="1:7" x14ac:dyDescent="0.2">
      <c r="B121" s="204" t="s">
        <v>181</v>
      </c>
      <c r="C121" s="189">
        <f>C104*C$112</f>
        <v>1255524.187094247</v>
      </c>
      <c r="D121" s="488" t="str">
        <f>CONCATENATE("=   [ ",ROUND(C104*100,0)," % x ",ROUND(C$112,2)," pounds ]")</f>
        <v>=   [ 9 % x 14595775 pounds ]</v>
      </c>
      <c r="E121" s="489"/>
      <c r="F121" s="489"/>
      <c r="G121" s="489"/>
    </row>
    <row r="122" spans="1:7" ht="6" customHeight="1" x14ac:dyDescent="0.2">
      <c r="C122" s="248"/>
    </row>
    <row r="124" spans="1:7" x14ac:dyDescent="0.2">
      <c r="A124" s="467" t="s">
        <v>216</v>
      </c>
      <c r="B124" s="467"/>
      <c r="C124" s="467"/>
      <c r="D124" s="467"/>
      <c r="E124" s="467"/>
      <c r="F124" s="467"/>
      <c r="G124" s="467"/>
    </row>
    <row r="125" spans="1:7" x14ac:dyDescent="0.2">
      <c r="A125" s="467" t="str">
        <f>CONCATENATE("the 'Percent of Area of Developed Lands' (from Step 4) by ",ROUND(C111,2)," pounds (calculated in Step 9):")</f>
        <v>the 'Percent of Area of Developed Lands' (from Step 4) by 6091253.75 pounds (calculated in Step 9):</v>
      </c>
      <c r="B125" s="467"/>
      <c r="C125" s="467"/>
      <c r="D125" s="467"/>
      <c r="E125" s="467"/>
      <c r="F125" s="467"/>
      <c r="G125" s="467"/>
    </row>
    <row r="126" spans="1:7" ht="6" customHeight="1" x14ac:dyDescent="0.2"/>
    <row r="127" spans="1:7" ht="17.100000000000001" customHeight="1" x14ac:dyDescent="0.2">
      <c r="B127" s="110" t="s">
        <v>217</v>
      </c>
      <c r="C127" s="240"/>
      <c r="D127" s="240"/>
      <c r="E127" s="240"/>
    </row>
    <row r="128" spans="1:7" x14ac:dyDescent="0.2">
      <c r="B128" s="204" t="s">
        <v>177</v>
      </c>
      <c r="C128" s="189">
        <f>(C56/C$59)*C$111</f>
        <v>5495060.5083345855</v>
      </c>
      <c r="D128" s="488" t="str">
        <f>CONCATENATE("=   [ ",ROUND(D56*100,0)," % x ",ROUND(C$111,2)," pounds ]")</f>
        <v>=   [ 90 % x 6091253.75 pounds ]</v>
      </c>
      <c r="E128" s="489"/>
      <c r="F128" s="489"/>
      <c r="G128" s="489"/>
    </row>
    <row r="129" spans="1:13" x14ac:dyDescent="0.2">
      <c r="B129" s="209" t="s">
        <v>179</v>
      </c>
      <c r="C129" s="247">
        <f>(C57/C$59)*C$111</f>
        <v>480023.23547079152</v>
      </c>
      <c r="D129" s="490" t="str">
        <f>CONCATENATE("=   [ ",ROUND(D57*100,0)," % x ",ROUND(C$111,2)," pounds ]")</f>
        <v>=   [ 8 % x 6091253.75 pounds ]</v>
      </c>
      <c r="E129" s="491"/>
      <c r="F129" s="491"/>
      <c r="G129" s="491"/>
    </row>
    <row r="130" spans="1:13" x14ac:dyDescent="0.2">
      <c r="B130" s="204" t="s">
        <v>181</v>
      </c>
      <c r="C130" s="189">
        <f>(C58/C$59)*C$111</f>
        <v>116170.00675777145</v>
      </c>
      <c r="D130" s="488" t="str">
        <f>CONCATENATE("=   [ ",ROUND(D58*100,0)," % x ",ROUND(C$111,2)," pounds ] ")</f>
        <v xml:space="preserve">=   [ 2 % x 6091253.75 pounds ] </v>
      </c>
      <c r="E130" s="489"/>
      <c r="F130" s="489"/>
      <c r="G130" s="489"/>
    </row>
    <row r="131" spans="1:13" ht="7.35" customHeight="1" x14ac:dyDescent="0.2"/>
    <row r="133" spans="1:13" ht="26.45" customHeight="1" x14ac:dyDescent="0.2">
      <c r="A133" s="467" t="s">
        <v>218</v>
      </c>
      <c r="B133" s="467"/>
      <c r="C133" s="467"/>
      <c r="D133" s="467"/>
      <c r="E133" s="467"/>
      <c r="F133" s="467"/>
      <c r="G133" s="467"/>
    </row>
    <row r="134" spans="1:13" ht="6" customHeight="1" x14ac:dyDescent="0.2"/>
    <row r="135" spans="1:13" ht="16.350000000000001" customHeight="1" x14ac:dyDescent="0.2">
      <c r="B135" s="110" t="s">
        <v>219</v>
      </c>
      <c r="C135" s="249"/>
      <c r="D135" s="249"/>
      <c r="E135" s="240"/>
      <c r="F135" s="240"/>
      <c r="G135" s="240"/>
      <c r="H135" s="240"/>
      <c r="I135" s="240"/>
      <c r="J135" s="240"/>
      <c r="K135" s="240"/>
      <c r="L135" s="250"/>
      <c r="M135" s="251"/>
    </row>
    <row r="136" spans="1:13" x14ac:dyDescent="0.2">
      <c r="B136" s="204" t="s">
        <v>177</v>
      </c>
      <c r="C136" s="188">
        <f>+C119+C128</f>
        <v>15734485.157148108</v>
      </c>
      <c r="D136" s="234" t="str">
        <f>CONCATENATE("   =   [ ",ROUND(C119,2)," pounds + ",ROUND(C128,2)," pounds ]")</f>
        <v xml:space="preserve">   =   [ 10239424.65 pounds + 5495060.51 pounds ]</v>
      </c>
      <c r="E136" s="208"/>
      <c r="F136" s="188"/>
      <c r="G136" s="208"/>
      <c r="I136" s="252"/>
      <c r="J136" s="252"/>
      <c r="K136" s="253"/>
      <c r="M136" s="254"/>
    </row>
    <row r="137" spans="1:13" x14ac:dyDescent="0.2">
      <c r="B137" s="209" t="s">
        <v>179</v>
      </c>
      <c r="C137" s="213">
        <f>+C120+C129</f>
        <v>3580849.3995630248</v>
      </c>
      <c r="D137" s="236" t="str">
        <f>CONCATENATE("   =   [ ",ROUND(C120,2)," pounds + ",ROUND(C129,2)," pounds ]")</f>
        <v xml:space="preserve">   =   [ 3100826.16 pounds + 480023.24 pounds ]</v>
      </c>
      <c r="E137" s="214"/>
      <c r="F137" s="213"/>
      <c r="G137" s="214"/>
      <c r="I137" s="252"/>
      <c r="J137" s="252"/>
      <c r="K137" s="253"/>
      <c r="M137" s="254"/>
    </row>
    <row r="138" spans="1:13" x14ac:dyDescent="0.2">
      <c r="B138" s="204" t="s">
        <v>181</v>
      </c>
      <c r="C138" s="188">
        <f>+C121+C130</f>
        <v>1371694.1938520183</v>
      </c>
      <c r="D138" s="234" t="str">
        <f>CONCATENATE("   =   [ ",ROUND(C121,2)," pounds + ",ROUND(C130,2)," pounds ]")</f>
        <v xml:space="preserve">   =   [ 1255524.19 pounds + 116170.01 pounds ]</v>
      </c>
      <c r="E138" s="208"/>
      <c r="F138" s="188"/>
      <c r="G138" s="208"/>
      <c r="I138" s="252"/>
      <c r="J138" s="252"/>
      <c r="K138" s="253"/>
      <c r="M138" s="254"/>
    </row>
    <row r="139" spans="1:13" ht="7.35" customHeight="1" x14ac:dyDescent="0.2">
      <c r="M139" s="248"/>
    </row>
    <row r="142" spans="1:13" x14ac:dyDescent="0.2">
      <c r="A142" s="105" t="s">
        <v>220</v>
      </c>
    </row>
    <row r="143" spans="1:13" ht="6" customHeight="1" x14ac:dyDescent="0.2"/>
    <row r="144" spans="1:13" x14ac:dyDescent="0.2">
      <c r="A144" s="105" t="str">
        <f>CONCATENATE("Watershed: ",'MMW Output'!$B$3)</f>
        <v>Watershed: User Specified</v>
      </c>
    </row>
    <row r="145" spans="1:7" ht="6" customHeight="1" x14ac:dyDescent="0.2"/>
    <row r="146" spans="1:7" x14ac:dyDescent="0.2">
      <c r="A146" s="105" t="str">
        <f>CONCATENATE("Year: ",'MMW Output'!$C$16)</f>
        <v>Year: User Specified</v>
      </c>
    </row>
    <row r="148" spans="1:7" ht="28.35" customHeight="1" x14ac:dyDescent="0.2">
      <c r="A148" s="467" t="s">
        <v>221</v>
      </c>
      <c r="B148" s="467"/>
      <c r="C148" s="467"/>
      <c r="D148" s="467"/>
      <c r="E148" s="467"/>
      <c r="F148" s="467"/>
      <c r="G148" s="467"/>
    </row>
    <row r="149" spans="1:7" ht="8.4499999999999993" customHeight="1" x14ac:dyDescent="0.2"/>
    <row r="150" spans="1:7" ht="53.45" customHeight="1" x14ac:dyDescent="0.2">
      <c r="A150" s="492" t="s">
        <v>222</v>
      </c>
      <c r="B150" s="492"/>
      <c r="C150" s="255" t="s">
        <v>147</v>
      </c>
      <c r="D150" s="256" t="s">
        <v>223</v>
      </c>
      <c r="E150" s="493" t="s">
        <v>224</v>
      </c>
      <c r="F150" s="493"/>
    </row>
    <row r="151" spans="1:7" x14ac:dyDescent="0.2">
      <c r="B151" s="257" t="s">
        <v>177</v>
      </c>
      <c r="C151" s="188">
        <f>+C136</f>
        <v>15734485.157148108</v>
      </c>
      <c r="D151" s="188">
        <f>+C56</f>
        <v>12380.246913580246</v>
      </c>
      <c r="E151" s="258">
        <f>+C151/D151</f>
        <v>1270.9346806232518</v>
      </c>
      <c r="F151" s="259" t="str">
        <f>CONCATENATE("= [",ROUND(C151,2)," lbs / ",(ROUND(D151,2))," acres ]")</f>
        <v>= [15734485.16 lbs / 12380.25 acres ]</v>
      </c>
      <c r="G151" s="208"/>
    </row>
    <row r="152" spans="1:7" x14ac:dyDescent="0.2">
      <c r="B152" s="260" t="s">
        <v>179</v>
      </c>
      <c r="C152" s="213">
        <f>+C137</f>
        <v>3580849.3995630248</v>
      </c>
      <c r="D152" s="213">
        <f>+C57</f>
        <v>1081.4814814814815</v>
      </c>
      <c r="E152" s="261">
        <f>+C152/D152</f>
        <v>3311.0593763082761</v>
      </c>
      <c r="F152" s="262" t="str">
        <f>CONCATENATE("= [",ROUND(C152,2)," lbs / ",(ROUND(D152,2))," acres ]")</f>
        <v>= [3580849.4 lbs / 1081.48 acres ]</v>
      </c>
      <c r="G152" s="214"/>
    </row>
    <row r="153" spans="1:7" x14ac:dyDescent="0.2">
      <c r="B153" s="257" t="s">
        <v>181</v>
      </c>
      <c r="C153" s="188">
        <f>+C138</f>
        <v>1371694.1938520183</v>
      </c>
      <c r="D153" s="188">
        <f>+C58</f>
        <v>261.72839506172835</v>
      </c>
      <c r="E153" s="258">
        <f>+C153/D153</f>
        <v>5240.9070614157317</v>
      </c>
      <c r="F153" s="259" t="str">
        <f>CONCATENATE("= [",ROUND(C153,2)," lbs / ",(ROUND(D153,2))," acres ]")</f>
        <v>= [1371694.19 lbs / 261.73 acres ]</v>
      </c>
      <c r="G153" s="208"/>
    </row>
    <row r="154" spans="1:7" ht="6" customHeight="1" x14ac:dyDescent="0.2"/>
    <row r="155" spans="1:7" ht="7.35" customHeight="1" x14ac:dyDescent="0.2"/>
    <row r="157" spans="1:7" x14ac:dyDescent="0.2">
      <c r="A157" s="105" t="s">
        <v>225</v>
      </c>
    </row>
    <row r="158" spans="1:7" ht="6" customHeight="1" x14ac:dyDescent="0.2"/>
    <row r="159" spans="1:7" x14ac:dyDescent="0.2">
      <c r="B159" s="105" t="s">
        <v>226</v>
      </c>
      <c r="C159" s="225">
        <f>+C39</f>
        <v>58383100</v>
      </c>
      <c r="D159" s="105" t="s">
        <v>210</v>
      </c>
      <c r="E159" s="184" t="s">
        <v>227</v>
      </c>
    </row>
    <row r="160" spans="1:7" x14ac:dyDescent="0.2">
      <c r="B160" s="263" t="s">
        <v>228</v>
      </c>
      <c r="C160" s="264">
        <f>+C73</f>
        <v>20687028.750563148</v>
      </c>
      <c r="D160" s="186" t="s">
        <v>210</v>
      </c>
      <c r="E160" s="184" t="s">
        <v>229</v>
      </c>
    </row>
    <row r="161" spans="1:7" ht="25.5" x14ac:dyDescent="0.2">
      <c r="B161" s="145" t="s">
        <v>230</v>
      </c>
      <c r="C161" s="131">
        <f>+C159-C160</f>
        <v>37696071.249436855</v>
      </c>
      <c r="D161" s="105" t="s">
        <v>210</v>
      </c>
      <c r="E161" s="265" t="str">
        <f>CONCATENATE("[ ",ROUND(C159,2)," pounds - ",ROUND(C160,2)," pounds ]")</f>
        <v>[ 58383100 pounds - 20687028.75 pounds ]</v>
      </c>
    </row>
    <row r="162" spans="1:7" ht="8.4499999999999993" customHeight="1" x14ac:dyDescent="0.2"/>
    <row r="163" spans="1:7" x14ac:dyDescent="0.2">
      <c r="B163" s="105" t="s">
        <v>231</v>
      </c>
      <c r="C163" s="266">
        <f>+C44-C59</f>
        <v>84928.39506172837</v>
      </c>
      <c r="D163" s="105" t="s">
        <v>232</v>
      </c>
      <c r="E163" s="184" t="s">
        <v>233</v>
      </c>
    </row>
    <row r="164" spans="1:7" ht="9" customHeight="1" x14ac:dyDescent="0.2"/>
    <row r="165" spans="1:7" ht="38.25" x14ac:dyDescent="0.2">
      <c r="B165" s="267" t="s">
        <v>234</v>
      </c>
      <c r="C165" s="268">
        <f>+C161/C163</f>
        <v>443.85710129148538</v>
      </c>
      <c r="D165" s="267" t="s">
        <v>160</v>
      </c>
      <c r="E165" s="105" t="str">
        <f>CONCATENATE("=  [ ",ROUND(C161,2)," pounds / ",ROUND(C163,2)," acres ]")</f>
        <v>=  [ 37696071.25 pounds / 84928.4 acres ]</v>
      </c>
    </row>
    <row r="166" spans="1:7" ht="8.1" customHeight="1" x14ac:dyDescent="0.2"/>
    <row r="168" spans="1:7" ht="51" customHeight="1" x14ac:dyDescent="0.2">
      <c r="A168" s="467" t="s">
        <v>235</v>
      </c>
      <c r="B168" s="467"/>
      <c r="C168" s="467"/>
      <c r="D168" s="467"/>
      <c r="E168" s="467"/>
      <c r="F168" s="467"/>
      <c r="G168" s="467"/>
    </row>
  </sheetData>
  <mergeCells count="26">
    <mergeCell ref="A168:G168"/>
    <mergeCell ref="D128:G128"/>
    <mergeCell ref="D129:G129"/>
    <mergeCell ref="D130:G130"/>
    <mergeCell ref="A133:G133"/>
    <mergeCell ref="A148:G148"/>
    <mergeCell ref="A150:B150"/>
    <mergeCell ref="E150:F150"/>
    <mergeCell ref="A125:G125"/>
    <mergeCell ref="A42:G42"/>
    <mergeCell ref="A53:G53"/>
    <mergeCell ref="A76:G76"/>
    <mergeCell ref="A84:G84"/>
    <mergeCell ref="A108:G108"/>
    <mergeCell ref="A115:G115"/>
    <mergeCell ref="A116:G116"/>
    <mergeCell ref="D119:G119"/>
    <mergeCell ref="D120:G120"/>
    <mergeCell ref="D121:G121"/>
    <mergeCell ref="A124:G124"/>
    <mergeCell ref="A36:G36"/>
    <mergeCell ref="A7:F7"/>
    <mergeCell ref="A8:G8"/>
    <mergeCell ref="A11:G11"/>
    <mergeCell ref="E14:G16"/>
    <mergeCell ref="A17:A32"/>
  </mergeCells>
  <pageMargins left="0.75" right="0.59718749999999998" top="0.5" bottom="0.75" header="0.3" footer="0.3"/>
  <pageSetup fitToWidth="0" fitToHeight="0" orientation="portrait" r:id="rId1"/>
  <headerFooter>
    <oddFooter>&amp;L&amp;"Arial,Regular"&amp;9Section 6: Backup for Stream Bank Sediment Loading&amp;C&amp;"Arial,Regular"&amp;9Page &amp;P of &amp;N&amp;R&amp;"Arial,Regular"&amp;9Christina Basin Loading Rates Tool (May 5, 2017)</oddFooter>
  </headerFooter>
  <rowBreaks count="3" manualBreakCount="3">
    <brk id="45" max="16383" man="1"/>
    <brk id="91" max="16383" man="1"/>
    <brk id="14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5"/>
  <sheetViews>
    <sheetView topLeftCell="A135" zoomScale="80" zoomScaleNormal="80" zoomScaleSheetLayoutView="80" workbookViewId="0">
      <selection activeCell="G1" sqref="G1"/>
    </sheetView>
  </sheetViews>
  <sheetFormatPr defaultColWidth="8.875" defaultRowHeight="12.75" x14ac:dyDescent="0.2"/>
  <cols>
    <col min="1" max="1" width="2.625" style="105" customWidth="1"/>
    <col min="2" max="2" width="25" style="105" customWidth="1"/>
    <col min="3" max="3" width="16.375" style="105" customWidth="1"/>
    <col min="4" max="4" width="9.875" style="105" customWidth="1"/>
    <col min="5" max="5" width="9.5" style="105" customWidth="1"/>
    <col min="6" max="6" width="9.875" style="105" customWidth="1"/>
    <col min="7" max="7" width="16.5" style="105" customWidth="1"/>
    <col min="8" max="8" width="5" style="105" customWidth="1"/>
    <col min="9" max="9" width="10.5" style="105" customWidth="1"/>
    <col min="10" max="10" width="8.875" style="105"/>
    <col min="11" max="11" width="10.125" style="105" bestFit="1" customWidth="1"/>
    <col min="12" max="12" width="3.5" style="105" customWidth="1"/>
    <col min="13" max="16384" width="8.875" style="105"/>
  </cols>
  <sheetData>
    <row r="1" spans="1:11" ht="14.45" customHeight="1" x14ac:dyDescent="0.25">
      <c r="A1" s="106" t="s">
        <v>17</v>
      </c>
      <c r="B1" s="143"/>
    </row>
    <row r="2" spans="1:11" ht="6" customHeight="1" x14ac:dyDescent="0.2"/>
    <row r="3" spans="1:11" ht="14.45" customHeight="1" x14ac:dyDescent="0.2">
      <c r="A3" s="105" t="str">
        <f>CONCATENATE("Watershed: ",'MMW Output'!$B$3)</f>
        <v>Watershed: User Specified</v>
      </c>
    </row>
    <row r="4" spans="1:11" ht="6" customHeight="1" x14ac:dyDescent="0.2"/>
    <row r="5" spans="1:11" ht="14.45" customHeight="1" x14ac:dyDescent="0.2">
      <c r="A5" s="105" t="str">
        <f>CONCATENATE("Year: ",'MMW Output'!$C$16)</f>
        <v>Year: User Specified</v>
      </c>
    </row>
    <row r="6" spans="1:11" ht="11.45" customHeight="1" x14ac:dyDescent="0.2"/>
    <row r="7" spans="1:11" ht="18.75" customHeight="1" x14ac:dyDescent="0.2">
      <c r="A7" s="468" t="s">
        <v>236</v>
      </c>
      <c r="B7" s="468"/>
      <c r="C7" s="468"/>
      <c r="D7" s="468"/>
      <c r="E7" s="468"/>
      <c r="F7" s="468"/>
    </row>
    <row r="8" spans="1:11" ht="95.1" customHeight="1" x14ac:dyDescent="0.2">
      <c r="A8" s="467" t="s">
        <v>237</v>
      </c>
      <c r="B8" s="467"/>
      <c r="C8" s="467"/>
      <c r="D8" s="467"/>
      <c r="E8" s="467"/>
      <c r="F8" s="467"/>
      <c r="G8" s="467"/>
    </row>
    <row r="9" spans="1:11" ht="8.4499999999999993" customHeight="1" x14ac:dyDescent="0.2"/>
    <row r="10" spans="1:11" ht="8.4499999999999993" customHeight="1" x14ac:dyDescent="0.2"/>
    <row r="11" spans="1:11" ht="27.6" customHeight="1" x14ac:dyDescent="0.2">
      <c r="A11" s="467" t="s">
        <v>238</v>
      </c>
      <c r="B11" s="467"/>
      <c r="C11" s="467"/>
      <c r="D11" s="467"/>
      <c r="E11" s="467"/>
      <c r="F11" s="467"/>
      <c r="G11" s="467"/>
    </row>
    <row r="12" spans="1:11" ht="6" customHeight="1" x14ac:dyDescent="0.2"/>
    <row r="13" spans="1:11" x14ac:dyDescent="0.2">
      <c r="B13" s="153" t="s">
        <v>24</v>
      </c>
      <c r="C13" s="154" t="s">
        <v>150</v>
      </c>
      <c r="E13" s="269"/>
      <c r="F13" s="269"/>
      <c r="G13" s="269"/>
      <c r="K13" s="190"/>
    </row>
    <row r="14" spans="1:11" ht="13.35" customHeight="1" x14ac:dyDescent="0.2">
      <c r="A14" s="485" t="s">
        <v>168</v>
      </c>
      <c r="B14" s="191" t="s">
        <v>113</v>
      </c>
      <c r="C14" s="192">
        <f>+'MMW Output'!C22</f>
        <v>23560.493827160491</v>
      </c>
    </row>
    <row r="15" spans="1:11" ht="13.35" customHeight="1" x14ac:dyDescent="0.2">
      <c r="A15" s="486"/>
      <c r="B15" s="193" t="s">
        <v>47</v>
      </c>
      <c r="C15" s="194">
        <f>+'MMW Output'!C23</f>
        <v>34311.111111111109</v>
      </c>
    </row>
    <row r="16" spans="1:11" ht="13.35" customHeight="1" x14ac:dyDescent="0.2">
      <c r="A16" s="486"/>
      <c r="B16" s="195" t="s">
        <v>48</v>
      </c>
      <c r="C16" s="196">
        <f>+'MMW Output'!C24</f>
        <v>26165.432098765428</v>
      </c>
    </row>
    <row r="17" spans="1:3" ht="13.35" customHeight="1" x14ac:dyDescent="0.2">
      <c r="A17" s="486"/>
      <c r="B17" s="193" t="s">
        <v>50</v>
      </c>
      <c r="C17" s="194">
        <f>+'MMW Output'!C25</f>
        <v>424.69135802469134</v>
      </c>
    </row>
    <row r="18" spans="1:3" ht="13.35" customHeight="1" x14ac:dyDescent="0.2">
      <c r="A18" s="486"/>
      <c r="B18" s="195" t="s">
        <v>51</v>
      </c>
      <c r="C18" s="196">
        <f>+'MMW Output'!C26</f>
        <v>0</v>
      </c>
    </row>
    <row r="19" spans="1:3" ht="13.35" customHeight="1" x14ac:dyDescent="0.2">
      <c r="A19" s="486"/>
      <c r="B19" s="193" t="s">
        <v>52</v>
      </c>
      <c r="C19" s="194">
        <f>+'MMW Output'!C27</f>
        <v>0</v>
      </c>
    </row>
    <row r="20" spans="1:3" ht="13.35" customHeight="1" x14ac:dyDescent="0.2">
      <c r="A20" s="486"/>
      <c r="B20" s="195" t="s">
        <v>53</v>
      </c>
      <c r="C20" s="196">
        <f>+'MMW Output'!C28</f>
        <v>291.35802469135803</v>
      </c>
    </row>
    <row r="21" spans="1:3" ht="13.35" customHeight="1" x14ac:dyDescent="0.2">
      <c r="A21" s="486"/>
      <c r="B21" s="193" t="s">
        <v>54</v>
      </c>
      <c r="C21" s="194">
        <f>+'MMW Output'!C29</f>
        <v>175.30864197530863</v>
      </c>
    </row>
    <row r="22" spans="1:3" ht="13.35" customHeight="1" x14ac:dyDescent="0.2">
      <c r="A22" s="486"/>
      <c r="B22" s="195" t="s">
        <v>55</v>
      </c>
      <c r="C22" s="196">
        <f>+'MMW Output'!C30</f>
        <v>0</v>
      </c>
    </row>
    <row r="23" spans="1:3" ht="13.35" customHeight="1" x14ac:dyDescent="0.2">
      <c r="A23" s="486"/>
      <c r="B23" s="193" t="s">
        <v>56</v>
      </c>
      <c r="C23" s="194">
        <f>+'MMW Output'!C31</f>
        <v>0</v>
      </c>
    </row>
    <row r="24" spans="1:3" ht="13.35" customHeight="1" x14ac:dyDescent="0.2">
      <c r="A24" s="486"/>
      <c r="B24" s="195" t="s">
        <v>57</v>
      </c>
      <c r="C24" s="196">
        <f>+'MMW Output'!C32</f>
        <v>12380.246913580246</v>
      </c>
    </row>
    <row r="25" spans="1:3" ht="13.35" customHeight="1" x14ac:dyDescent="0.2">
      <c r="A25" s="486"/>
      <c r="B25" s="193" t="s">
        <v>58</v>
      </c>
      <c r="C25" s="194">
        <f>+'MMW Output'!C33</f>
        <v>1081.4814814814815</v>
      </c>
    </row>
    <row r="26" spans="1:3" ht="13.35" customHeight="1" x14ac:dyDescent="0.2">
      <c r="A26" s="486"/>
      <c r="B26" s="195" t="s">
        <v>59</v>
      </c>
      <c r="C26" s="196">
        <f>+'MMW Output'!C34</f>
        <v>261.72839506172835</v>
      </c>
    </row>
    <row r="27" spans="1:3" ht="13.35" customHeight="1" x14ac:dyDescent="0.2">
      <c r="A27" s="486"/>
      <c r="B27" s="193" t="s">
        <v>60</v>
      </c>
      <c r="C27" s="194">
        <f>+'MMW Output'!C35</f>
        <v>0</v>
      </c>
    </row>
    <row r="28" spans="1:3" ht="13.35" customHeight="1" x14ac:dyDescent="0.2">
      <c r="A28" s="486"/>
      <c r="B28" s="195" t="s">
        <v>61</v>
      </c>
      <c r="C28" s="196">
        <f>+'MMW Output'!C36</f>
        <v>0</v>
      </c>
    </row>
    <row r="29" spans="1:3" ht="13.35" customHeight="1" x14ac:dyDescent="0.2">
      <c r="A29" s="487"/>
      <c r="B29" s="197" t="s">
        <v>62</v>
      </c>
      <c r="C29" s="198">
        <f>+'MMW Output'!C37</f>
        <v>0</v>
      </c>
    </row>
    <row r="30" spans="1:3" ht="6" customHeight="1" x14ac:dyDescent="0.2">
      <c r="C30" s="199"/>
    </row>
    <row r="31" spans="1:3" ht="15.6" customHeight="1" x14ac:dyDescent="0.2">
      <c r="B31" s="110" t="s">
        <v>169</v>
      </c>
      <c r="C31" s="200">
        <f>SUM(C14:C30)</f>
        <v>98651.851851851825</v>
      </c>
    </row>
    <row r="32" spans="1:3" ht="17.100000000000001" customHeight="1" x14ac:dyDescent="0.2"/>
    <row r="33" spans="1:7" x14ac:dyDescent="0.2">
      <c r="A33" s="467" t="s">
        <v>239</v>
      </c>
      <c r="B33" s="467"/>
      <c r="C33" s="467"/>
      <c r="D33" s="467"/>
      <c r="E33" s="467"/>
      <c r="F33" s="467"/>
      <c r="G33" s="467"/>
    </row>
    <row r="34" spans="1:7" ht="6" customHeight="1" x14ac:dyDescent="0.2">
      <c r="B34" s="161"/>
      <c r="C34" s="162"/>
      <c r="D34" s="163"/>
    </row>
    <row r="35" spans="1:7" x14ac:dyDescent="0.2">
      <c r="B35" s="186"/>
      <c r="C35" s="187" t="s">
        <v>240</v>
      </c>
      <c r="D35" s="187"/>
    </row>
    <row r="36" spans="1:7" x14ac:dyDescent="0.2">
      <c r="B36" s="188" t="s">
        <v>98</v>
      </c>
      <c r="C36" s="188">
        <f>+'MMW Output'!E40</f>
        <v>31002.3</v>
      </c>
      <c r="D36" s="188" t="s">
        <v>147</v>
      </c>
    </row>
    <row r="37" spans="1:7" ht="6" customHeight="1" x14ac:dyDescent="0.2">
      <c r="B37" s="161"/>
      <c r="D37" s="163"/>
    </row>
    <row r="38" spans="1:7" ht="17.100000000000001" customHeight="1" x14ac:dyDescent="0.2">
      <c r="B38" s="161"/>
      <c r="C38" s="162"/>
      <c r="D38" s="163"/>
    </row>
    <row r="39" spans="1:7" x14ac:dyDescent="0.2">
      <c r="A39" s="467" t="str">
        <f>CONCATENATE("Step 3. Sum the total acres in the ", 'MMW Output'!C15," watershed.")</f>
        <v>Step 3. Sum the total acres in the User Specified watershed.</v>
      </c>
      <c r="B39" s="467"/>
      <c r="C39" s="467"/>
      <c r="D39" s="467"/>
      <c r="E39" s="467"/>
      <c r="F39" s="467"/>
      <c r="G39" s="467"/>
    </row>
    <row r="40" spans="1:7" ht="6" customHeight="1" x14ac:dyDescent="0.2">
      <c r="A40" s="201"/>
      <c r="B40" s="201"/>
      <c r="C40" s="201"/>
      <c r="D40" s="201"/>
      <c r="E40" s="201"/>
      <c r="F40" s="201"/>
      <c r="G40" s="201"/>
    </row>
    <row r="41" spans="1:7" x14ac:dyDescent="0.2">
      <c r="B41" s="202" t="s">
        <v>172</v>
      </c>
      <c r="C41" s="165">
        <f>SUM(C14:C30)</f>
        <v>98651.851851851825</v>
      </c>
      <c r="D41" s="181" t="s">
        <v>95</v>
      </c>
    </row>
    <row r="42" spans="1:7" ht="6" customHeight="1" x14ac:dyDescent="0.2">
      <c r="B42" s="161"/>
      <c r="C42" s="162"/>
      <c r="D42" s="163"/>
    </row>
    <row r="43" spans="1:7" ht="4.3499999999999996" customHeight="1" x14ac:dyDescent="0.2">
      <c r="B43" s="161"/>
      <c r="C43" s="162"/>
      <c r="D43" s="163"/>
    </row>
    <row r="44" spans="1:7" ht="14.45" customHeight="1" x14ac:dyDescent="0.2">
      <c r="A44" s="105" t="s">
        <v>241</v>
      </c>
      <c r="B44" s="161"/>
      <c r="C44" s="162"/>
      <c r="D44" s="163"/>
    </row>
    <row r="45" spans="1:7" ht="6" customHeight="1" x14ac:dyDescent="0.2">
      <c r="B45" s="161"/>
      <c r="C45" s="162"/>
      <c r="D45" s="163"/>
    </row>
    <row r="46" spans="1:7" ht="14.1" customHeight="1" x14ac:dyDescent="0.2">
      <c r="A46" s="105" t="str">
        <f>CONCATENATE("Watershed: ",'MMW Output'!$B$3)</f>
        <v>Watershed: User Specified</v>
      </c>
      <c r="B46" s="161"/>
      <c r="C46" s="162"/>
      <c r="D46" s="163"/>
    </row>
    <row r="47" spans="1:7" ht="6" customHeight="1" x14ac:dyDescent="0.2">
      <c r="B47" s="161"/>
      <c r="C47" s="162"/>
      <c r="D47" s="163"/>
    </row>
    <row r="48" spans="1:7" ht="14.1" customHeight="1" x14ac:dyDescent="0.2">
      <c r="A48" s="105" t="str">
        <f>CONCATENATE("Year: ",'MMW Output'!$C$16)</f>
        <v>Year: User Specified</v>
      </c>
      <c r="B48" s="161"/>
      <c r="C48" s="162"/>
      <c r="D48" s="163"/>
    </row>
    <row r="49" spans="1:7" ht="11.1" customHeight="1" x14ac:dyDescent="0.2">
      <c r="B49" s="161"/>
      <c r="C49" s="162"/>
      <c r="D49" s="163"/>
    </row>
    <row r="50" spans="1:7" ht="51" customHeight="1" x14ac:dyDescent="0.2">
      <c r="A50" s="467" t="s">
        <v>242</v>
      </c>
      <c r="B50" s="467"/>
      <c r="C50" s="467"/>
      <c r="D50" s="467"/>
      <c r="E50" s="467"/>
      <c r="F50" s="467"/>
      <c r="G50" s="467"/>
    </row>
    <row r="51" spans="1:7" ht="6" customHeight="1" x14ac:dyDescent="0.2">
      <c r="C51" s="160"/>
    </row>
    <row r="52" spans="1:7" x14ac:dyDescent="0.2">
      <c r="B52" s="167" t="s">
        <v>175</v>
      </c>
      <c r="C52" s="203" t="s">
        <v>95</v>
      </c>
      <c r="D52" s="203" t="s">
        <v>176</v>
      </c>
    </row>
    <row r="53" spans="1:7" x14ac:dyDescent="0.2">
      <c r="B53" s="204" t="s">
        <v>177</v>
      </c>
      <c r="C53" s="205">
        <f>+C24+C27</f>
        <v>12380.246913580246</v>
      </c>
      <c r="D53" s="206">
        <f>+C53/C$56</f>
        <v>0.90212306585102553</v>
      </c>
      <c r="E53" s="207" t="s">
        <v>178</v>
      </c>
      <c r="F53" s="188"/>
      <c r="G53" s="208"/>
    </row>
    <row r="54" spans="1:7" x14ac:dyDescent="0.2">
      <c r="B54" s="209" t="s">
        <v>179</v>
      </c>
      <c r="C54" s="210">
        <f>+C25+C28</f>
        <v>1081.4814814814815</v>
      </c>
      <c r="D54" s="211">
        <f>+C54/C$56</f>
        <v>7.8805325656711056E-2</v>
      </c>
      <c r="E54" s="212" t="s">
        <v>180</v>
      </c>
      <c r="F54" s="213"/>
      <c r="G54" s="214"/>
    </row>
    <row r="55" spans="1:7" ht="13.5" thickBot="1" x14ac:dyDescent="0.25">
      <c r="B55" s="215" t="s">
        <v>181</v>
      </c>
      <c r="C55" s="216">
        <f>+C26+C29</f>
        <v>261.72839506172835</v>
      </c>
      <c r="D55" s="217">
        <f>+C55/C$56</f>
        <v>1.9071608492263404E-2</v>
      </c>
      <c r="E55" s="207" t="s">
        <v>182</v>
      </c>
      <c r="F55" s="188"/>
      <c r="G55" s="208"/>
    </row>
    <row r="56" spans="1:7" x14ac:dyDescent="0.2">
      <c r="B56" s="181" t="s">
        <v>183</v>
      </c>
      <c r="C56" s="218">
        <f>+C53+C54+C55</f>
        <v>13723.456790123455</v>
      </c>
      <c r="D56" s="219">
        <f>+C56/C$56</f>
        <v>1</v>
      </c>
      <c r="E56" s="184" t="s">
        <v>184</v>
      </c>
    </row>
    <row r="57" spans="1:7" ht="6.6" customHeight="1" x14ac:dyDescent="0.2"/>
    <row r="59" spans="1:7" x14ac:dyDescent="0.2">
      <c r="A59" s="105" t="s">
        <v>243</v>
      </c>
    </row>
    <row r="60" spans="1:7" x14ac:dyDescent="0.2">
      <c r="B60" s="105" t="s">
        <v>244</v>
      </c>
    </row>
    <row r="61" spans="1:7" x14ac:dyDescent="0.2">
      <c r="B61" s="105" t="s">
        <v>245</v>
      </c>
    </row>
    <row r="62" spans="1:7" ht="8.1" customHeight="1" x14ac:dyDescent="0.2"/>
    <row r="63" spans="1:7" x14ac:dyDescent="0.2">
      <c r="B63" s="105" t="s">
        <v>246</v>
      </c>
      <c r="C63" s="220">
        <f>C36</f>
        <v>31002.3</v>
      </c>
      <c r="D63" s="105" t="s">
        <v>147</v>
      </c>
      <c r="E63" s="184" t="s">
        <v>189</v>
      </c>
    </row>
    <row r="64" spans="1:7" x14ac:dyDescent="0.2">
      <c r="B64" s="105" t="s">
        <v>190</v>
      </c>
      <c r="C64" s="221">
        <f>+C56</f>
        <v>13723.456790123455</v>
      </c>
      <c r="D64" s="105" t="s">
        <v>95</v>
      </c>
      <c r="E64" s="184" t="s">
        <v>191</v>
      </c>
    </row>
    <row r="65" spans="1:7" ht="13.35" customHeight="1" x14ac:dyDescent="0.2">
      <c r="B65" s="105" t="s">
        <v>172</v>
      </c>
      <c r="C65" s="221">
        <f>+C41</f>
        <v>98651.851851851825</v>
      </c>
      <c r="D65" s="105" t="s">
        <v>95</v>
      </c>
      <c r="E65" s="184" t="s">
        <v>192</v>
      </c>
    </row>
    <row r="66" spans="1:7" ht="25.35" customHeight="1" x14ac:dyDescent="0.2">
      <c r="B66" s="222" t="s">
        <v>193</v>
      </c>
      <c r="C66" s="223">
        <f>+C64/C65</f>
        <v>0.1391099764729439</v>
      </c>
      <c r="D66" s="184" t="s">
        <v>194</v>
      </c>
      <c r="E66" s="105" t="str">
        <f>CONCATENATE("[ ",ROUND(C64,2)," acres / ",ROUND(C65,2)," acres ]")</f>
        <v>[ 13723.46 acres / 98651.85 acres ]</v>
      </c>
    </row>
    <row r="67" spans="1:7" ht="7.35" customHeight="1" x14ac:dyDescent="0.2"/>
    <row r="68" spans="1:7" ht="42" customHeight="1" x14ac:dyDescent="0.2">
      <c r="A68" s="224"/>
      <c r="B68" s="145" t="s">
        <v>247</v>
      </c>
      <c r="C68" s="225">
        <f>+C63*C66*0.75</f>
        <v>3234.5469177053619</v>
      </c>
      <c r="D68" s="105" t="s">
        <v>196</v>
      </c>
      <c r="E68" s="105" t="str">
        <f>CONCATENATE("[ 75% x ",ROUND(C63,2)," pounds x ",ROUND(C66*100,0),"% ]")</f>
        <v>[ 75% x 31002.3 pounds x 14% ]</v>
      </c>
    </row>
    <row r="69" spans="1:7" ht="13.5" thickBot="1" x14ac:dyDescent="0.25">
      <c r="A69" s="224"/>
      <c r="B69" s="226" t="s">
        <v>248</v>
      </c>
      <c r="C69" s="227">
        <f>+C63*0.25</f>
        <v>7750.5749999999998</v>
      </c>
      <c r="D69" s="228" t="s">
        <v>196</v>
      </c>
      <c r="E69" s="105" t="str">
        <f>CONCATENATE("[ 25% x ",ROUND(C63,2)," pounds ]")</f>
        <v>[ 25% x 31002.3 pounds ]</v>
      </c>
    </row>
    <row r="70" spans="1:7" ht="29.1" customHeight="1" x14ac:dyDescent="0.2">
      <c r="B70" s="229" t="s">
        <v>198</v>
      </c>
      <c r="C70" s="230">
        <f>+C69+C68</f>
        <v>10985.121917705361</v>
      </c>
      <c r="D70" s="231" t="s">
        <v>147</v>
      </c>
    </row>
    <row r="71" spans="1:7" ht="6.6" customHeight="1" x14ac:dyDescent="0.2"/>
    <row r="72" spans="1:7" ht="8.4499999999999993" customHeight="1" x14ac:dyDescent="0.2"/>
    <row r="73" spans="1:7" ht="42" customHeight="1" x14ac:dyDescent="0.2">
      <c r="A73" s="467" t="s">
        <v>249</v>
      </c>
      <c r="B73" s="467"/>
      <c r="C73" s="467"/>
      <c r="D73" s="467"/>
      <c r="E73" s="467"/>
      <c r="F73" s="467"/>
      <c r="G73" s="467"/>
    </row>
    <row r="74" spans="1:7" ht="6" customHeight="1" x14ac:dyDescent="0.2"/>
    <row r="75" spans="1:7" x14ac:dyDescent="0.2">
      <c r="B75" s="110" t="s">
        <v>200</v>
      </c>
    </row>
    <row r="76" spans="1:7" ht="12.75" customHeight="1" x14ac:dyDescent="0.2">
      <c r="B76" s="204" t="s">
        <v>177</v>
      </c>
      <c r="C76" s="232">
        <v>0.15</v>
      </c>
    </row>
    <row r="77" spans="1:7" x14ac:dyDescent="0.2">
      <c r="B77" s="209" t="s">
        <v>179</v>
      </c>
      <c r="C77" s="233">
        <v>0.52</v>
      </c>
    </row>
    <row r="78" spans="1:7" x14ac:dyDescent="0.2">
      <c r="B78" s="204" t="s">
        <v>181</v>
      </c>
      <c r="C78" s="232">
        <v>0.87</v>
      </c>
    </row>
    <row r="79" spans="1:7" ht="6" customHeight="1" x14ac:dyDescent="0.2"/>
    <row r="80" spans="1:7" ht="11.45" customHeight="1" x14ac:dyDescent="0.2"/>
    <row r="81" spans="1:7" ht="24.6" customHeight="1" x14ac:dyDescent="0.2">
      <c r="A81" s="467" t="s">
        <v>201</v>
      </c>
      <c r="B81" s="467"/>
      <c r="C81" s="467"/>
      <c r="D81" s="467"/>
      <c r="E81" s="467"/>
      <c r="F81" s="467"/>
      <c r="G81" s="467"/>
    </row>
    <row r="82" spans="1:7" ht="6" customHeight="1" x14ac:dyDescent="0.2"/>
    <row r="83" spans="1:7" x14ac:dyDescent="0.2">
      <c r="B83" s="110" t="s">
        <v>202</v>
      </c>
    </row>
    <row r="84" spans="1:7" x14ac:dyDescent="0.2">
      <c r="B84" s="234" t="s">
        <v>177</v>
      </c>
      <c r="C84" s="205">
        <f>+C53*C76</f>
        <v>1857.0370370370367</v>
      </c>
      <c r="D84" s="188" t="s">
        <v>203</v>
      </c>
      <c r="E84" s="235" t="str">
        <f>CONCATENATE(" [ ",ROUND(C53,2)," acres x ",C76*100," percent ]")</f>
        <v xml:space="preserve"> [ 12380.25 acres x 15 percent ]</v>
      </c>
      <c r="F84" s="188"/>
      <c r="G84" s="208"/>
    </row>
    <row r="85" spans="1:7" x14ac:dyDescent="0.2">
      <c r="B85" s="236" t="s">
        <v>179</v>
      </c>
      <c r="C85" s="210">
        <f>+C54*C77</f>
        <v>562.37037037037044</v>
      </c>
      <c r="D85" s="213" t="s">
        <v>203</v>
      </c>
      <c r="E85" s="237" t="str">
        <f>CONCATENATE(" [ ",ROUND(C54,2)," acres x ",C77*100," percent ]")</f>
        <v xml:space="preserve"> [ 1081.48 acres x 52 percent ]</v>
      </c>
      <c r="F85" s="213"/>
      <c r="G85" s="214"/>
    </row>
    <row r="86" spans="1:7" ht="13.5" thickBot="1" x14ac:dyDescent="0.25">
      <c r="B86" s="238" t="s">
        <v>181</v>
      </c>
      <c r="C86" s="216">
        <f>+C55*C78</f>
        <v>227.70370370370367</v>
      </c>
      <c r="D86" s="239" t="s">
        <v>203</v>
      </c>
      <c r="E86" s="235" t="str">
        <f>CONCATENATE(" [ ",ROUND(C55,2)," acres x ",C78*100," percent ]")</f>
        <v xml:space="preserve"> [ 261.73 acres x 87 percent ]</v>
      </c>
      <c r="F86" s="188"/>
      <c r="G86" s="208"/>
    </row>
    <row r="87" spans="1:7" ht="29.1" customHeight="1" x14ac:dyDescent="0.2">
      <c r="B87" s="240" t="s">
        <v>204</v>
      </c>
      <c r="C87" s="241">
        <f>+C84+C85+C86</f>
        <v>2647.1111111111104</v>
      </c>
      <c r="D87" s="105" t="s">
        <v>95</v>
      </c>
    </row>
    <row r="88" spans="1:7" ht="6" customHeight="1" x14ac:dyDescent="0.2"/>
    <row r="90" spans="1:7" x14ac:dyDescent="0.2">
      <c r="A90" s="105" t="s">
        <v>250</v>
      </c>
    </row>
    <row r="91" spans="1:7" ht="6" customHeight="1" x14ac:dyDescent="0.2"/>
    <row r="92" spans="1:7" x14ac:dyDescent="0.2">
      <c r="A92" s="105" t="str">
        <f>CONCATENATE("Watershed: ",'MMW Output'!$B$3)</f>
        <v>Watershed: User Specified</v>
      </c>
    </row>
    <row r="93" spans="1:7" ht="6" customHeight="1" x14ac:dyDescent="0.2"/>
    <row r="94" spans="1:7" x14ac:dyDescent="0.2">
      <c r="A94" s="105" t="str">
        <f>CONCATENATE("Year: ",'MMW Output'!$C$16)</f>
        <v>Year: User Specified</v>
      </c>
    </row>
    <row r="96" spans="1:7" x14ac:dyDescent="0.2">
      <c r="A96" s="105" t="s">
        <v>206</v>
      </c>
    </row>
    <row r="97" spans="1:7" ht="6" customHeight="1" x14ac:dyDescent="0.2"/>
    <row r="98" spans="1:7" x14ac:dyDescent="0.2">
      <c r="B98" s="110" t="s">
        <v>207</v>
      </c>
    </row>
    <row r="99" spans="1:7" x14ac:dyDescent="0.2">
      <c r="B99" s="204" t="s">
        <v>177</v>
      </c>
      <c r="C99" s="232">
        <f>+C84/(C$84+C$85+C$86)</f>
        <v>0.70153346765166791</v>
      </c>
      <c r="D99" s="242" t="s">
        <v>208</v>
      </c>
      <c r="E99" s="235" t="str">
        <f>CONCATENATE(" [ ",ROUND(C84,2)," acres / ",ROUND(C87,2)," acres ]")</f>
        <v xml:space="preserve"> [ 1857.04 acres / 2647.11 acres ]</v>
      </c>
      <c r="F99" s="188"/>
      <c r="G99" s="208"/>
    </row>
    <row r="100" spans="1:7" x14ac:dyDescent="0.2">
      <c r="B100" s="209" t="s">
        <v>179</v>
      </c>
      <c r="C100" s="233">
        <f>+C85/(C$84+C$85+C$86)</f>
        <v>0.21244683232594591</v>
      </c>
      <c r="D100" s="243" t="s">
        <v>208</v>
      </c>
      <c r="E100" s="237" t="str">
        <f>CONCATENATE(" [ ",ROUND(C85,2)," acres / ",ROUND(C87,2)," acres ]")</f>
        <v xml:space="preserve"> [ 562.37 acres / 2647.11 acres ]</v>
      </c>
      <c r="F100" s="213"/>
      <c r="G100" s="214"/>
    </row>
    <row r="101" spans="1:7" ht="13.5" thickBot="1" x14ac:dyDescent="0.25">
      <c r="B101" s="215" t="s">
        <v>181</v>
      </c>
      <c r="C101" s="244">
        <f>+C86/(C$84+C$85+C$86)</f>
        <v>8.6019700022386403E-2</v>
      </c>
      <c r="D101" s="242" t="s">
        <v>208</v>
      </c>
      <c r="E101" s="235" t="str">
        <f>CONCATENATE(" [ ",ROUND(C86,2)," acres / ",ROUND(C87,2)," acres ]")</f>
        <v xml:space="preserve"> [ 227.7 acres / 2647.11 acres ]</v>
      </c>
      <c r="F101" s="188"/>
      <c r="G101" s="208"/>
    </row>
    <row r="102" spans="1:7" x14ac:dyDescent="0.2">
      <c r="B102" s="105" t="s">
        <v>183</v>
      </c>
      <c r="C102" s="245">
        <f>+C99+C100+C101</f>
        <v>1.0000000000000002</v>
      </c>
    </row>
    <row r="103" spans="1:7" ht="7.35" customHeight="1" x14ac:dyDescent="0.2"/>
    <row r="104" spans="1:7" ht="13.35" customHeight="1" x14ac:dyDescent="0.2"/>
    <row r="105" spans="1:7" ht="24" customHeight="1" x14ac:dyDescent="0.2">
      <c r="A105" s="467" t="s">
        <v>251</v>
      </c>
      <c r="B105" s="467"/>
      <c r="C105" s="467"/>
      <c r="D105" s="467"/>
      <c r="E105" s="467"/>
      <c r="F105" s="467"/>
      <c r="G105" s="467"/>
    </row>
    <row r="106" spans="1:7" ht="6" customHeight="1" x14ac:dyDescent="0.2"/>
    <row r="107" spans="1:7" ht="25.5" customHeight="1" x14ac:dyDescent="0.2">
      <c r="B107" s="246" t="s">
        <v>198</v>
      </c>
      <c r="C107" s="131">
        <f>+C70</f>
        <v>10985.121917705361</v>
      </c>
      <c r="D107" s="105" t="s">
        <v>210</v>
      </c>
      <c r="E107" s="184" t="s">
        <v>211</v>
      </c>
    </row>
    <row r="108" spans="1:7" ht="25.5" customHeight="1" x14ac:dyDescent="0.2">
      <c r="B108" s="201" t="s">
        <v>252</v>
      </c>
      <c r="C108" s="225">
        <f>+C68</f>
        <v>3234.5469177053619</v>
      </c>
      <c r="D108" s="105" t="s">
        <v>210</v>
      </c>
      <c r="E108" s="184" t="s">
        <v>211</v>
      </c>
    </row>
    <row r="109" spans="1:7" ht="25.5" customHeight="1" x14ac:dyDescent="0.2">
      <c r="B109" s="201" t="s">
        <v>253</v>
      </c>
      <c r="C109" s="225">
        <f>+C69</f>
        <v>7750.5749999999998</v>
      </c>
      <c r="D109" s="105" t="s">
        <v>210</v>
      </c>
      <c r="E109" s="184" t="s">
        <v>211</v>
      </c>
    </row>
    <row r="110" spans="1:7" ht="6" customHeight="1" x14ac:dyDescent="0.2"/>
    <row r="111" spans="1:7" ht="13.35" customHeight="1" x14ac:dyDescent="0.2"/>
    <row r="112" spans="1:7" ht="14.1" customHeight="1" x14ac:dyDescent="0.2">
      <c r="A112" s="467" t="s">
        <v>214</v>
      </c>
      <c r="B112" s="467"/>
      <c r="C112" s="467"/>
      <c r="D112" s="467"/>
      <c r="E112" s="467"/>
      <c r="F112" s="467"/>
      <c r="G112" s="467"/>
    </row>
    <row r="113" spans="1:7" ht="15" customHeight="1" x14ac:dyDescent="0.2">
      <c r="A113" s="467" t="str">
        <f>CONCATENATE("multiplying the 'Percent of Total Impervious Surfaces' (Step 8) by ",ROUND(C109,2)," pounds (calculated in Step 9):")</f>
        <v>multiplying the 'Percent of Total Impervious Surfaces' (Step 8) by 7750.58 pounds (calculated in Step 9):</v>
      </c>
      <c r="B113" s="467"/>
      <c r="C113" s="467"/>
      <c r="D113" s="467"/>
      <c r="E113" s="467"/>
      <c r="F113" s="467"/>
      <c r="G113" s="467"/>
    </row>
    <row r="114" spans="1:7" ht="6" customHeight="1" x14ac:dyDescent="0.2">
      <c r="A114" s="201"/>
      <c r="B114" s="201"/>
      <c r="C114" s="201"/>
      <c r="D114" s="201"/>
      <c r="E114" s="201"/>
      <c r="F114" s="201"/>
      <c r="G114" s="201"/>
    </row>
    <row r="115" spans="1:7" ht="16.350000000000001" customHeight="1" x14ac:dyDescent="0.2">
      <c r="B115" s="110" t="s">
        <v>254</v>
      </c>
      <c r="C115" s="240"/>
      <c r="D115" s="240"/>
      <c r="E115" s="240"/>
      <c r="F115" s="145"/>
    </row>
    <row r="116" spans="1:7" x14ac:dyDescent="0.2">
      <c r="B116" s="204" t="s">
        <v>177</v>
      </c>
      <c r="C116" s="189">
        <f>C99*C$108</f>
        <v>2269.1429154598568</v>
      </c>
      <c r="D116" s="488" t="str">
        <f>CONCATENATE("=   [ ",ROUND(C99*100,0)," % x ",ROUND(C$109,2)," pounds ]")</f>
        <v>=   [ 70 % x 7750.58 pounds ]</v>
      </c>
      <c r="E116" s="489"/>
      <c r="F116" s="489"/>
      <c r="G116" s="489"/>
    </row>
    <row r="117" spans="1:7" x14ac:dyDescent="0.2">
      <c r="B117" s="209" t="s">
        <v>179</v>
      </c>
      <c r="C117" s="247">
        <f>C100*C$108</f>
        <v>687.16924667615615</v>
      </c>
      <c r="D117" s="490" t="str">
        <f>CONCATENATE("=   [ ",ROUND(C100*100,0)," % x ",ROUND(C$109,2)," pounds ]")</f>
        <v>=   [ 21 % x 7750.58 pounds ]</v>
      </c>
      <c r="E117" s="491"/>
      <c r="F117" s="491"/>
      <c r="G117" s="491"/>
    </row>
    <row r="118" spans="1:7" x14ac:dyDescent="0.2">
      <c r="B118" s="204" t="s">
        <v>181</v>
      </c>
      <c r="C118" s="189">
        <f>C101*C$108</f>
        <v>278.23475556934977</v>
      </c>
      <c r="D118" s="488" t="str">
        <f>CONCATENATE("=   [ ",ROUND(C101*100,0)," % x ",ROUND(C$109,2)," pounds ]")</f>
        <v>=   [ 9 % x 7750.58 pounds ]</v>
      </c>
      <c r="E118" s="489"/>
      <c r="F118" s="489"/>
      <c r="G118" s="489"/>
    </row>
    <row r="119" spans="1:7" ht="6" customHeight="1" x14ac:dyDescent="0.2">
      <c r="C119" s="248"/>
    </row>
    <row r="121" spans="1:7" x14ac:dyDescent="0.2">
      <c r="A121" s="467" t="s">
        <v>216</v>
      </c>
      <c r="B121" s="467"/>
      <c r="C121" s="467"/>
      <c r="D121" s="467"/>
      <c r="E121" s="467"/>
      <c r="F121" s="467"/>
      <c r="G121" s="467"/>
    </row>
    <row r="122" spans="1:7" x14ac:dyDescent="0.2">
      <c r="A122" s="467" t="str">
        <f>CONCATENATE("the 'Percent of Area of Developed Lands' (from Step 4) by ",ROUND(C108,2)," pounds (calculated in Step 9):")</f>
        <v>the 'Percent of Area of Developed Lands' (from Step 4) by 3234.55 pounds (calculated in Step 9):</v>
      </c>
      <c r="B122" s="467"/>
      <c r="C122" s="467"/>
      <c r="D122" s="467"/>
      <c r="E122" s="467"/>
      <c r="F122" s="467"/>
      <c r="G122" s="467"/>
    </row>
    <row r="123" spans="1:7" ht="6" customHeight="1" x14ac:dyDescent="0.2"/>
    <row r="124" spans="1:7" ht="17.100000000000001" customHeight="1" x14ac:dyDescent="0.2">
      <c r="B124" s="110" t="s">
        <v>255</v>
      </c>
      <c r="C124" s="240"/>
      <c r="D124" s="240"/>
      <c r="E124" s="240"/>
    </row>
    <row r="125" spans="1:7" x14ac:dyDescent="0.2">
      <c r="B125" s="204" t="s">
        <v>177</v>
      </c>
      <c r="C125" s="189">
        <f>C53/C$56*C$109</f>
        <v>6991.9724811083124</v>
      </c>
      <c r="D125" s="488" t="str">
        <f>CONCATENATE("=   [ ",ROUND(D53*100,0)," % x ",ROUND(C$108,2)," pounds ]")</f>
        <v>=   [ 90 % x 3234.55 pounds ]</v>
      </c>
      <c r="E125" s="489"/>
      <c r="F125" s="489"/>
      <c r="G125" s="489"/>
    </row>
    <row r="126" spans="1:7" x14ac:dyDescent="0.2">
      <c r="B126" s="209" t="s">
        <v>179</v>
      </c>
      <c r="C126" s="247">
        <f>C54/C$56*C$109</f>
        <v>610.78658690176326</v>
      </c>
      <c r="D126" s="490" t="str">
        <f>CONCATENATE("=   [ ",ROUND(D54*100,0)," % x ",ROUND(C$108,2)," pounds ]")</f>
        <v>=   [ 8 % x 3234.55 pounds ]</v>
      </c>
      <c r="E126" s="491"/>
      <c r="F126" s="491"/>
      <c r="G126" s="491"/>
    </row>
    <row r="127" spans="1:7" x14ac:dyDescent="0.2">
      <c r="B127" s="204" t="s">
        <v>181</v>
      </c>
      <c r="C127" s="189">
        <f>C55/C$56*C$109</f>
        <v>147.81593198992442</v>
      </c>
      <c r="D127" s="488" t="str">
        <f>CONCATENATE("=   [ ",ROUND(D55*100,0)," % x ",ROUND(C$108,2)," pounds ]  ")</f>
        <v xml:space="preserve">=   [ 2 % x 3234.55 pounds ]  </v>
      </c>
      <c r="E127" s="489"/>
      <c r="F127" s="489"/>
      <c r="G127" s="489"/>
    </row>
    <row r="128" spans="1:7" ht="7.35" customHeight="1" x14ac:dyDescent="0.2"/>
    <row r="130" spans="1:13" ht="26.45" customHeight="1" x14ac:dyDescent="0.2">
      <c r="A130" s="467" t="s">
        <v>218</v>
      </c>
      <c r="B130" s="467"/>
      <c r="C130" s="467"/>
      <c r="D130" s="467"/>
      <c r="E130" s="467"/>
      <c r="F130" s="467"/>
      <c r="G130" s="467"/>
    </row>
    <row r="131" spans="1:13" ht="6" customHeight="1" x14ac:dyDescent="0.2"/>
    <row r="132" spans="1:13" ht="16.350000000000001" customHeight="1" x14ac:dyDescent="0.2">
      <c r="B132" s="110" t="s">
        <v>256</v>
      </c>
      <c r="C132" s="249"/>
      <c r="D132" s="249"/>
      <c r="E132" s="240"/>
      <c r="F132" s="240"/>
      <c r="G132" s="240"/>
      <c r="H132" s="240"/>
      <c r="I132" s="240"/>
      <c r="J132" s="240"/>
      <c r="K132" s="240"/>
      <c r="L132" s="250"/>
      <c r="M132" s="251"/>
    </row>
    <row r="133" spans="1:13" x14ac:dyDescent="0.2">
      <c r="B133" s="204" t="s">
        <v>177</v>
      </c>
      <c r="C133" s="188">
        <f>+C116+C125</f>
        <v>9261.1153965681697</v>
      </c>
      <c r="D133" s="234" t="str">
        <f>CONCATENATE("   =   [ ",ROUND(C116,2)," pounds + ",ROUND(C125,2)," pounds ]")</f>
        <v xml:space="preserve">   =   [ 2269.14 pounds + 6991.97 pounds ]</v>
      </c>
      <c r="E133" s="208"/>
      <c r="F133" s="188"/>
      <c r="G133" s="208"/>
      <c r="I133" s="252"/>
      <c r="J133" s="252"/>
      <c r="K133" s="253"/>
      <c r="M133" s="254"/>
    </row>
    <row r="134" spans="1:13" x14ac:dyDescent="0.2">
      <c r="B134" s="209" t="s">
        <v>179</v>
      </c>
      <c r="C134" s="213">
        <f>+C117+C126</f>
        <v>1297.9558335779193</v>
      </c>
      <c r="D134" s="236" t="str">
        <f>CONCATENATE("   =   [ ",ROUND(C117,2)," pounds + ",ROUND(C126,2)," pounds ]")</f>
        <v xml:space="preserve">   =   [ 687.17 pounds + 610.79 pounds ]</v>
      </c>
      <c r="E134" s="214"/>
      <c r="F134" s="213"/>
      <c r="G134" s="214"/>
      <c r="I134" s="252"/>
      <c r="J134" s="252"/>
      <c r="K134" s="253"/>
      <c r="M134" s="254"/>
    </row>
    <row r="135" spans="1:13" x14ac:dyDescent="0.2">
      <c r="B135" s="204" t="s">
        <v>181</v>
      </c>
      <c r="C135" s="188">
        <f>+C118+C127</f>
        <v>426.05068755927419</v>
      </c>
      <c r="D135" s="234" t="str">
        <f>CONCATENATE("   =   [ ",ROUND(C118,2)," pounds + ",ROUND(C127,2)," pounds ]")</f>
        <v xml:space="preserve">   =   [ 278.23 pounds + 147.82 pounds ]</v>
      </c>
      <c r="E135" s="208"/>
      <c r="F135" s="188"/>
      <c r="G135" s="208"/>
      <c r="I135" s="252"/>
      <c r="J135" s="252"/>
      <c r="K135" s="253"/>
      <c r="M135" s="254"/>
    </row>
    <row r="136" spans="1:13" ht="7.35" customHeight="1" x14ac:dyDescent="0.2">
      <c r="M136" s="248"/>
    </row>
    <row r="139" spans="1:13" x14ac:dyDescent="0.2">
      <c r="A139" s="105" t="s">
        <v>257</v>
      </c>
    </row>
    <row r="140" spans="1:13" ht="6" customHeight="1" x14ac:dyDescent="0.2"/>
    <row r="141" spans="1:13" x14ac:dyDescent="0.2">
      <c r="A141" s="105" t="str">
        <f>CONCATENATE("Watershed: ",'MMW Output'!$B$3)</f>
        <v>Watershed: User Specified</v>
      </c>
    </row>
    <row r="142" spans="1:13" ht="6" customHeight="1" x14ac:dyDescent="0.2"/>
    <row r="143" spans="1:13" x14ac:dyDescent="0.2">
      <c r="A143" s="105" t="str">
        <f>CONCATENATE("Year: ",'MMW Output'!$C$16)</f>
        <v>Year: User Specified</v>
      </c>
    </row>
    <row r="145" spans="1:7" ht="28.35" customHeight="1" x14ac:dyDescent="0.2">
      <c r="A145" s="467" t="s">
        <v>221</v>
      </c>
      <c r="B145" s="467"/>
      <c r="C145" s="467"/>
      <c r="D145" s="467"/>
      <c r="E145" s="467"/>
      <c r="F145" s="467"/>
      <c r="G145" s="467"/>
    </row>
    <row r="146" spans="1:7" ht="8.4499999999999993" customHeight="1" x14ac:dyDescent="0.2"/>
    <row r="147" spans="1:7" ht="53.45" customHeight="1" x14ac:dyDescent="0.2">
      <c r="A147" s="492" t="s">
        <v>258</v>
      </c>
      <c r="B147" s="492"/>
      <c r="C147" s="255" t="s">
        <v>147</v>
      </c>
      <c r="D147" s="256" t="s">
        <v>223</v>
      </c>
      <c r="E147" s="493" t="s">
        <v>259</v>
      </c>
      <c r="F147" s="493"/>
    </row>
    <row r="148" spans="1:7" x14ac:dyDescent="0.2">
      <c r="B148" s="257" t="s">
        <v>177</v>
      </c>
      <c r="C148" s="188">
        <f>+C133</f>
        <v>9261.1153965681697</v>
      </c>
      <c r="D148" s="188">
        <f>+C53</f>
        <v>12380.246913580246</v>
      </c>
      <c r="E148" s="258">
        <f>+C148/D148</f>
        <v>0.74805579090748087</v>
      </c>
      <c r="F148" s="234" t="str">
        <f>CONCATENATE("= [",ROUND(C148,2)," lbs / ",(ROUND(D148,2))," acres ]")</f>
        <v>= [9261.12 lbs / 12380.25 acres ]</v>
      </c>
      <c r="G148" s="208"/>
    </row>
    <row r="149" spans="1:7" x14ac:dyDescent="0.2">
      <c r="B149" s="260" t="s">
        <v>179</v>
      </c>
      <c r="C149" s="213">
        <f>+C134</f>
        <v>1297.9558335779193</v>
      </c>
      <c r="D149" s="213">
        <f>+C54</f>
        <v>1081.4814814814815</v>
      </c>
      <c r="E149" s="261">
        <f>+C149/D149</f>
        <v>1.2001646406371171</v>
      </c>
      <c r="F149" s="236" t="str">
        <f>CONCATENATE("= [",ROUND(C149,2)," lbs / ",(ROUND(D149,2))," acres ]")</f>
        <v>= [1297.96 lbs / 1081.48 acres ]</v>
      </c>
      <c r="G149" s="214"/>
    </row>
    <row r="150" spans="1:7" x14ac:dyDescent="0.2">
      <c r="B150" s="257" t="s">
        <v>181</v>
      </c>
      <c r="C150" s="188">
        <f>+C135</f>
        <v>426.05068755927419</v>
      </c>
      <c r="D150" s="188">
        <f>+C55</f>
        <v>261.72839506172835</v>
      </c>
      <c r="E150" s="258">
        <f>+C150/D150</f>
        <v>1.6278351741651518</v>
      </c>
      <c r="F150" s="234" t="str">
        <f>CONCATENATE("= [",ROUND(C150,2)," lbs / ",(ROUND(D150,2))," acres ]")</f>
        <v>= [426.05 lbs / 261.73 acres ]</v>
      </c>
      <c r="G150" s="208"/>
    </row>
    <row r="151" spans="1:7" ht="6" customHeight="1" x14ac:dyDescent="0.2"/>
    <row r="152" spans="1:7" ht="7.35" customHeight="1" x14ac:dyDescent="0.2"/>
    <row r="154" spans="1:7" x14ac:dyDescent="0.2">
      <c r="A154" s="105" t="s">
        <v>225</v>
      </c>
    </row>
    <row r="155" spans="1:7" ht="6" customHeight="1" x14ac:dyDescent="0.2"/>
    <row r="156" spans="1:7" x14ac:dyDescent="0.2">
      <c r="B156" s="105" t="s">
        <v>226</v>
      </c>
      <c r="C156" s="225">
        <f>+C36</f>
        <v>31002.3</v>
      </c>
      <c r="D156" s="105" t="s">
        <v>210</v>
      </c>
      <c r="E156" s="184" t="s">
        <v>227</v>
      </c>
    </row>
    <row r="157" spans="1:7" ht="29.45" customHeight="1" x14ac:dyDescent="0.2">
      <c r="B157" s="270" t="s">
        <v>260</v>
      </c>
      <c r="C157" s="264">
        <f>+C70</f>
        <v>10985.121917705361</v>
      </c>
      <c r="D157" s="186" t="s">
        <v>210</v>
      </c>
      <c r="E157" s="184" t="s">
        <v>229</v>
      </c>
    </row>
    <row r="158" spans="1:7" ht="25.5" x14ac:dyDescent="0.2">
      <c r="B158" s="145" t="s">
        <v>230</v>
      </c>
      <c r="C158" s="131">
        <f>+C156-C157</f>
        <v>20017.178082294638</v>
      </c>
      <c r="D158" s="105" t="s">
        <v>210</v>
      </c>
      <c r="E158" s="265" t="str">
        <f>CONCATENATE(" [ ",ROUND(C156,2)," pounds - ",ROUND(C157,2)," pounds ]")</f>
        <v xml:space="preserve"> [ 31002.3 pounds - 10985.12 pounds ]</v>
      </c>
    </row>
    <row r="159" spans="1:7" ht="8.4499999999999993" customHeight="1" x14ac:dyDescent="0.2"/>
    <row r="160" spans="1:7" x14ac:dyDescent="0.2">
      <c r="B160" s="105" t="s">
        <v>231</v>
      </c>
      <c r="C160" s="266">
        <f>+C41-C56</f>
        <v>84928.39506172837</v>
      </c>
      <c r="D160" s="105" t="s">
        <v>232</v>
      </c>
      <c r="E160" s="184" t="s">
        <v>233</v>
      </c>
    </row>
    <row r="161" spans="1:7" ht="9" customHeight="1" x14ac:dyDescent="0.2"/>
    <row r="162" spans="1:7" ht="38.25" x14ac:dyDescent="0.2">
      <c r="B162" s="267" t="s">
        <v>261</v>
      </c>
      <c r="C162" s="268">
        <f>+C158/C160</f>
        <v>0.235694764604295</v>
      </c>
      <c r="D162" s="267" t="s">
        <v>160</v>
      </c>
      <c r="E162" s="105" t="str">
        <f>CONCATENATE("=  [ ",ROUND(C158,2)," pounds / ",ROUND(C160,2)," acres ]")</f>
        <v>=  [ 20017.18 pounds / 84928.4 acres ]</v>
      </c>
    </row>
    <row r="163" spans="1:7" ht="8.1" customHeight="1" x14ac:dyDescent="0.2"/>
    <row r="165" spans="1:7" ht="51" customHeight="1" x14ac:dyDescent="0.2">
      <c r="A165" s="467" t="s">
        <v>262</v>
      </c>
      <c r="B165" s="467"/>
      <c r="C165" s="467"/>
      <c r="D165" s="467"/>
      <c r="E165" s="467"/>
      <c r="F165" s="467"/>
      <c r="G165" s="467"/>
    </row>
  </sheetData>
  <mergeCells count="25">
    <mergeCell ref="A165:G165"/>
    <mergeCell ref="D126:G126"/>
    <mergeCell ref="D127:G127"/>
    <mergeCell ref="A130:G130"/>
    <mergeCell ref="A145:G145"/>
    <mergeCell ref="A147:B147"/>
    <mergeCell ref="E147:F147"/>
    <mergeCell ref="D125:G125"/>
    <mergeCell ref="A50:G50"/>
    <mergeCell ref="A73:G73"/>
    <mergeCell ref="A81:G81"/>
    <mergeCell ref="A105:G105"/>
    <mergeCell ref="A112:G112"/>
    <mergeCell ref="A113:G113"/>
    <mergeCell ref="D116:G116"/>
    <mergeCell ref="D117:G117"/>
    <mergeCell ref="D118:G118"/>
    <mergeCell ref="A121:G121"/>
    <mergeCell ref="A122:G122"/>
    <mergeCell ref="A39:G39"/>
    <mergeCell ref="A7:F7"/>
    <mergeCell ref="A8:G8"/>
    <mergeCell ref="A11:G11"/>
    <mergeCell ref="A14:A29"/>
    <mergeCell ref="A33:G33"/>
  </mergeCells>
  <pageMargins left="0.75" right="0.59718749999999998" top="0.5" bottom="0.75" header="0.3" footer="0.3"/>
  <pageSetup fitToWidth="0" fitToHeight="0" orientation="portrait" r:id="rId1"/>
  <headerFooter>
    <oddFooter>&amp;L&amp;"Arial,Regular"&amp;9Section 7: Backup for Stream Bank Total Nitrogen L'ding&amp;C&amp;"Arial,Regular"&amp;9Page &amp;P of &amp;N&amp;R&amp;"Arial,Regular"&amp;9Christina Basin Loading Rates Tool (May 5, 2017)</oddFooter>
  </headerFooter>
  <rowBreaks count="3" manualBreakCount="3">
    <brk id="42" max="16383" man="1"/>
    <brk id="88" max="16383" man="1"/>
    <brk id="137"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5"/>
  <sheetViews>
    <sheetView topLeftCell="A135" zoomScale="80" zoomScaleNormal="80" zoomScaleSheetLayoutView="80" workbookViewId="0">
      <selection activeCell="G1" sqref="G1"/>
    </sheetView>
  </sheetViews>
  <sheetFormatPr defaultColWidth="8.875" defaultRowHeight="12.75" x14ac:dyDescent="0.2"/>
  <cols>
    <col min="1" max="1" width="2.625" style="105" customWidth="1"/>
    <col min="2" max="2" width="25" style="105" customWidth="1"/>
    <col min="3" max="3" width="16.375" style="105" customWidth="1"/>
    <col min="4" max="4" width="9.875" style="105" customWidth="1"/>
    <col min="5" max="5" width="9.5" style="105" customWidth="1"/>
    <col min="6" max="6" width="9.875" style="105" customWidth="1"/>
    <col min="7" max="7" width="16.5" style="105" customWidth="1"/>
    <col min="8" max="8" width="5" style="105" customWidth="1"/>
    <col min="9" max="9" width="10.5" style="105" customWidth="1"/>
    <col min="10" max="10" width="8.875" style="105"/>
    <col min="11" max="11" width="10.125" style="105" bestFit="1" customWidth="1"/>
    <col min="12" max="12" width="3.5" style="105" customWidth="1"/>
    <col min="13" max="16384" width="8.875" style="105"/>
  </cols>
  <sheetData>
    <row r="1" spans="1:11" ht="14.45" customHeight="1" x14ac:dyDescent="0.25">
      <c r="A1" s="106" t="s">
        <v>17</v>
      </c>
      <c r="B1" s="143"/>
    </row>
    <row r="2" spans="1:11" ht="6" customHeight="1" x14ac:dyDescent="0.2"/>
    <row r="3" spans="1:11" ht="14.45" customHeight="1" x14ac:dyDescent="0.2">
      <c r="A3" s="105" t="str">
        <f>CONCATENATE("Watershed: ",'MMW Output'!$B$3)</f>
        <v>Watershed: User Specified</v>
      </c>
    </row>
    <row r="4" spans="1:11" ht="6" customHeight="1" x14ac:dyDescent="0.2"/>
    <row r="5" spans="1:11" ht="14.45" customHeight="1" x14ac:dyDescent="0.2">
      <c r="A5" s="105" t="str">
        <f>CONCATENATE("Year: ",'MMW Output'!$C$16)</f>
        <v>Year: User Specified</v>
      </c>
    </row>
    <row r="6" spans="1:11" ht="11.45" customHeight="1" x14ac:dyDescent="0.2"/>
    <row r="7" spans="1:11" ht="18.75" customHeight="1" x14ac:dyDescent="0.2">
      <c r="A7" s="468" t="s">
        <v>263</v>
      </c>
      <c r="B7" s="468"/>
      <c r="C7" s="468"/>
      <c r="D7" s="468"/>
      <c r="E7" s="468"/>
      <c r="F7" s="468"/>
    </row>
    <row r="8" spans="1:11" ht="95.1" customHeight="1" x14ac:dyDescent="0.2">
      <c r="A8" s="467" t="s">
        <v>264</v>
      </c>
      <c r="B8" s="467"/>
      <c r="C8" s="467"/>
      <c r="D8" s="467"/>
      <c r="E8" s="467"/>
      <c r="F8" s="467"/>
      <c r="G8" s="467"/>
    </row>
    <row r="9" spans="1:11" ht="8.4499999999999993" customHeight="1" x14ac:dyDescent="0.2"/>
    <row r="10" spans="1:11" ht="8.4499999999999993" customHeight="1" x14ac:dyDescent="0.2"/>
    <row r="11" spans="1:11" ht="27.6" customHeight="1" x14ac:dyDescent="0.2">
      <c r="A11" s="467" t="s">
        <v>238</v>
      </c>
      <c r="B11" s="467"/>
      <c r="C11" s="467"/>
      <c r="D11" s="467"/>
      <c r="E11" s="467"/>
      <c r="F11" s="467"/>
      <c r="G11" s="467"/>
    </row>
    <row r="12" spans="1:11" ht="6" customHeight="1" x14ac:dyDescent="0.2"/>
    <row r="13" spans="1:11" x14ac:dyDescent="0.2">
      <c r="B13" s="153" t="s">
        <v>24</v>
      </c>
      <c r="C13" s="154" t="s">
        <v>150</v>
      </c>
      <c r="E13" s="269"/>
      <c r="F13" s="269"/>
      <c r="G13" s="269"/>
      <c r="K13" s="190"/>
    </row>
    <row r="14" spans="1:11" ht="13.35" customHeight="1" x14ac:dyDescent="0.2">
      <c r="A14" s="485" t="s">
        <v>168</v>
      </c>
      <c r="B14" s="191" t="s">
        <v>113</v>
      </c>
      <c r="C14" s="192">
        <f>+'MMW Output'!C22</f>
        <v>23560.493827160491</v>
      </c>
    </row>
    <row r="15" spans="1:11" ht="13.35" customHeight="1" x14ac:dyDescent="0.2">
      <c r="A15" s="486"/>
      <c r="B15" s="193" t="s">
        <v>47</v>
      </c>
      <c r="C15" s="194">
        <f>+'MMW Output'!C23</f>
        <v>34311.111111111109</v>
      </c>
    </row>
    <row r="16" spans="1:11" ht="13.35" customHeight="1" x14ac:dyDescent="0.2">
      <c r="A16" s="486"/>
      <c r="B16" s="195" t="s">
        <v>48</v>
      </c>
      <c r="C16" s="196">
        <f>+'MMW Output'!C24</f>
        <v>26165.432098765428</v>
      </c>
    </row>
    <row r="17" spans="1:3" ht="13.35" customHeight="1" x14ac:dyDescent="0.2">
      <c r="A17" s="486"/>
      <c r="B17" s="193" t="s">
        <v>50</v>
      </c>
      <c r="C17" s="194">
        <f>+'MMW Output'!C25</f>
        <v>424.69135802469134</v>
      </c>
    </row>
    <row r="18" spans="1:3" ht="13.35" customHeight="1" x14ac:dyDescent="0.2">
      <c r="A18" s="486"/>
      <c r="B18" s="195" t="s">
        <v>51</v>
      </c>
      <c r="C18" s="196">
        <f>+'MMW Output'!C26</f>
        <v>0</v>
      </c>
    </row>
    <row r="19" spans="1:3" ht="13.35" customHeight="1" x14ac:dyDescent="0.2">
      <c r="A19" s="486"/>
      <c r="B19" s="193" t="s">
        <v>52</v>
      </c>
      <c r="C19" s="194">
        <f>+'MMW Output'!C27</f>
        <v>0</v>
      </c>
    </row>
    <row r="20" spans="1:3" ht="13.35" customHeight="1" x14ac:dyDescent="0.2">
      <c r="A20" s="486"/>
      <c r="B20" s="195" t="s">
        <v>53</v>
      </c>
      <c r="C20" s="196">
        <f>+'MMW Output'!C28</f>
        <v>291.35802469135803</v>
      </c>
    </row>
    <row r="21" spans="1:3" ht="13.35" customHeight="1" x14ac:dyDescent="0.2">
      <c r="A21" s="486"/>
      <c r="B21" s="193" t="s">
        <v>54</v>
      </c>
      <c r="C21" s="194">
        <f>+'MMW Output'!C29</f>
        <v>175.30864197530863</v>
      </c>
    </row>
    <row r="22" spans="1:3" ht="13.35" customHeight="1" x14ac:dyDescent="0.2">
      <c r="A22" s="486"/>
      <c r="B22" s="195" t="s">
        <v>55</v>
      </c>
      <c r="C22" s="196">
        <f>+'MMW Output'!C30</f>
        <v>0</v>
      </c>
    </row>
    <row r="23" spans="1:3" ht="13.35" customHeight="1" x14ac:dyDescent="0.2">
      <c r="A23" s="486"/>
      <c r="B23" s="193" t="s">
        <v>56</v>
      </c>
      <c r="C23" s="194">
        <f>+'MMW Output'!C31</f>
        <v>0</v>
      </c>
    </row>
    <row r="24" spans="1:3" ht="13.35" customHeight="1" x14ac:dyDescent="0.2">
      <c r="A24" s="486"/>
      <c r="B24" s="195" t="s">
        <v>57</v>
      </c>
      <c r="C24" s="196">
        <f>+'MMW Output'!C32</f>
        <v>12380.246913580246</v>
      </c>
    </row>
    <row r="25" spans="1:3" ht="13.35" customHeight="1" x14ac:dyDescent="0.2">
      <c r="A25" s="486"/>
      <c r="B25" s="193" t="s">
        <v>58</v>
      </c>
      <c r="C25" s="194">
        <f>+'MMW Output'!C33</f>
        <v>1081.4814814814815</v>
      </c>
    </row>
    <row r="26" spans="1:3" ht="13.35" customHeight="1" x14ac:dyDescent="0.2">
      <c r="A26" s="486"/>
      <c r="B26" s="195" t="s">
        <v>59</v>
      </c>
      <c r="C26" s="196">
        <f>+'MMW Output'!C34</f>
        <v>261.72839506172835</v>
      </c>
    </row>
    <row r="27" spans="1:3" ht="13.35" customHeight="1" x14ac:dyDescent="0.2">
      <c r="A27" s="486"/>
      <c r="B27" s="193" t="s">
        <v>60</v>
      </c>
      <c r="C27" s="194">
        <f>+'MMW Output'!C35</f>
        <v>0</v>
      </c>
    </row>
    <row r="28" spans="1:3" ht="13.35" customHeight="1" x14ac:dyDescent="0.2">
      <c r="A28" s="486"/>
      <c r="B28" s="195" t="s">
        <v>61</v>
      </c>
      <c r="C28" s="196">
        <f>+'MMW Output'!C36</f>
        <v>0</v>
      </c>
    </row>
    <row r="29" spans="1:3" ht="13.35" customHeight="1" x14ac:dyDescent="0.2">
      <c r="A29" s="487"/>
      <c r="B29" s="197" t="s">
        <v>62</v>
      </c>
      <c r="C29" s="198">
        <f>+'MMW Output'!C37</f>
        <v>0</v>
      </c>
    </row>
    <row r="30" spans="1:3" ht="6" customHeight="1" x14ac:dyDescent="0.2">
      <c r="C30" s="199"/>
    </row>
    <row r="31" spans="1:3" ht="15.6" customHeight="1" x14ac:dyDescent="0.2">
      <c r="B31" s="110" t="s">
        <v>169</v>
      </c>
      <c r="C31" s="200">
        <f>SUM(C14:C30)</f>
        <v>98651.851851851825</v>
      </c>
    </row>
    <row r="32" spans="1:3" ht="17.100000000000001" customHeight="1" x14ac:dyDescent="0.2"/>
    <row r="33" spans="1:7" x14ac:dyDescent="0.2">
      <c r="A33" s="467" t="s">
        <v>265</v>
      </c>
      <c r="B33" s="467"/>
      <c r="C33" s="467"/>
      <c r="D33" s="467"/>
      <c r="E33" s="467"/>
      <c r="F33" s="467"/>
      <c r="G33" s="467"/>
    </row>
    <row r="34" spans="1:7" ht="6" customHeight="1" x14ac:dyDescent="0.2">
      <c r="B34" s="161"/>
      <c r="C34" s="162"/>
      <c r="D34" s="163"/>
    </row>
    <row r="35" spans="1:7" x14ac:dyDescent="0.2">
      <c r="B35" s="186"/>
      <c r="C35" s="187" t="s">
        <v>266</v>
      </c>
      <c r="D35" s="187"/>
    </row>
    <row r="36" spans="1:7" x14ac:dyDescent="0.2">
      <c r="B36" s="188" t="s">
        <v>98</v>
      </c>
      <c r="C36" s="188">
        <f>+'MMW Output'!F40</f>
        <v>14638.995000000001</v>
      </c>
      <c r="D36" s="188" t="s">
        <v>147</v>
      </c>
    </row>
    <row r="37" spans="1:7" ht="6" customHeight="1" x14ac:dyDescent="0.2">
      <c r="B37" s="161"/>
      <c r="D37" s="163"/>
    </row>
    <row r="38" spans="1:7" ht="17.100000000000001" customHeight="1" x14ac:dyDescent="0.2">
      <c r="B38" s="161"/>
      <c r="C38" s="162"/>
      <c r="D38" s="163"/>
    </row>
    <row r="39" spans="1:7" x14ac:dyDescent="0.2">
      <c r="A39" s="467" t="str">
        <f>CONCATENATE("Step 3. Sum the total acres in the ", 'MMW Output'!C15," watershed.")</f>
        <v>Step 3. Sum the total acres in the User Specified watershed.</v>
      </c>
      <c r="B39" s="467"/>
      <c r="C39" s="467"/>
      <c r="D39" s="467"/>
      <c r="E39" s="467"/>
      <c r="F39" s="467"/>
      <c r="G39" s="467"/>
    </row>
    <row r="40" spans="1:7" ht="6" customHeight="1" x14ac:dyDescent="0.2">
      <c r="A40" s="201"/>
      <c r="B40" s="201"/>
      <c r="C40" s="201"/>
      <c r="D40" s="201"/>
      <c r="E40" s="201"/>
      <c r="F40" s="201"/>
      <c r="G40" s="201"/>
    </row>
    <row r="41" spans="1:7" x14ac:dyDescent="0.2">
      <c r="B41" s="202" t="s">
        <v>172</v>
      </c>
      <c r="C41" s="165">
        <f>SUM(C14:C30)</f>
        <v>98651.851851851825</v>
      </c>
      <c r="D41" s="181" t="s">
        <v>95</v>
      </c>
    </row>
    <row r="42" spans="1:7" ht="6" customHeight="1" x14ac:dyDescent="0.2">
      <c r="B42" s="161"/>
      <c r="C42" s="162"/>
      <c r="D42" s="163"/>
    </row>
    <row r="43" spans="1:7" ht="4.3499999999999996" customHeight="1" x14ac:dyDescent="0.2">
      <c r="B43" s="161"/>
      <c r="C43" s="162"/>
      <c r="D43" s="163"/>
    </row>
    <row r="44" spans="1:7" ht="14.45" customHeight="1" x14ac:dyDescent="0.2">
      <c r="A44" s="105" t="s">
        <v>267</v>
      </c>
      <c r="B44" s="161"/>
      <c r="C44" s="162"/>
      <c r="D44" s="163"/>
    </row>
    <row r="45" spans="1:7" ht="6" customHeight="1" x14ac:dyDescent="0.2">
      <c r="B45" s="161"/>
      <c r="C45" s="162"/>
      <c r="D45" s="163"/>
    </row>
    <row r="46" spans="1:7" ht="14.1" customHeight="1" x14ac:dyDescent="0.2">
      <c r="A46" s="105" t="str">
        <f>CONCATENATE("Watershed: ",'MMW Output'!$B$3)</f>
        <v>Watershed: User Specified</v>
      </c>
      <c r="B46" s="161"/>
      <c r="C46" s="162"/>
      <c r="D46" s="163"/>
    </row>
    <row r="47" spans="1:7" ht="6" customHeight="1" x14ac:dyDescent="0.2">
      <c r="B47" s="161"/>
      <c r="C47" s="162"/>
      <c r="D47" s="163"/>
    </row>
    <row r="48" spans="1:7" ht="14.1" customHeight="1" x14ac:dyDescent="0.2">
      <c r="A48" s="105" t="str">
        <f>CONCATENATE("Year: ",'MMW Output'!$C$16)</f>
        <v>Year: User Specified</v>
      </c>
      <c r="B48" s="161"/>
      <c r="C48" s="162"/>
      <c r="D48" s="163"/>
    </row>
    <row r="49" spans="1:7" ht="11.1" customHeight="1" x14ac:dyDescent="0.2">
      <c r="B49" s="161"/>
      <c r="C49" s="162"/>
      <c r="D49" s="163"/>
    </row>
    <row r="50" spans="1:7" ht="51" customHeight="1" x14ac:dyDescent="0.2">
      <c r="A50" s="467" t="s">
        <v>242</v>
      </c>
      <c r="B50" s="467"/>
      <c r="C50" s="467"/>
      <c r="D50" s="467"/>
      <c r="E50" s="467"/>
      <c r="F50" s="467"/>
      <c r="G50" s="467"/>
    </row>
    <row r="51" spans="1:7" ht="6" customHeight="1" x14ac:dyDescent="0.2">
      <c r="C51" s="160"/>
    </row>
    <row r="52" spans="1:7" x14ac:dyDescent="0.2">
      <c r="B52" s="167" t="s">
        <v>175</v>
      </c>
      <c r="C52" s="203" t="s">
        <v>95</v>
      </c>
      <c r="D52" s="203" t="s">
        <v>176</v>
      </c>
    </row>
    <row r="53" spans="1:7" x14ac:dyDescent="0.2">
      <c r="B53" s="204" t="s">
        <v>177</v>
      </c>
      <c r="C53" s="205">
        <f>+C24+C27</f>
        <v>12380.246913580246</v>
      </c>
      <c r="D53" s="206">
        <f>+C53/C$56</f>
        <v>0.90212306585102553</v>
      </c>
      <c r="E53" s="207" t="s">
        <v>178</v>
      </c>
      <c r="F53" s="188"/>
      <c r="G53" s="208"/>
    </row>
    <row r="54" spans="1:7" x14ac:dyDescent="0.2">
      <c r="B54" s="209" t="s">
        <v>179</v>
      </c>
      <c r="C54" s="210">
        <f>+C25+C28</f>
        <v>1081.4814814814815</v>
      </c>
      <c r="D54" s="211">
        <f>+C54/C$56</f>
        <v>7.8805325656711056E-2</v>
      </c>
      <c r="E54" s="212" t="s">
        <v>180</v>
      </c>
      <c r="F54" s="213"/>
      <c r="G54" s="214"/>
    </row>
    <row r="55" spans="1:7" ht="13.5" thickBot="1" x14ac:dyDescent="0.25">
      <c r="B55" s="215" t="s">
        <v>181</v>
      </c>
      <c r="C55" s="216">
        <f>+C26+C29</f>
        <v>261.72839506172835</v>
      </c>
      <c r="D55" s="217">
        <f>+C55/C$56</f>
        <v>1.9071608492263404E-2</v>
      </c>
      <c r="E55" s="207" t="s">
        <v>182</v>
      </c>
      <c r="F55" s="188"/>
      <c r="G55" s="208"/>
    </row>
    <row r="56" spans="1:7" x14ac:dyDescent="0.2">
      <c r="B56" s="181" t="s">
        <v>183</v>
      </c>
      <c r="C56" s="218">
        <f>+C53+C54+C55</f>
        <v>13723.456790123455</v>
      </c>
      <c r="D56" s="219">
        <f>+C56/C$56</f>
        <v>1</v>
      </c>
      <c r="E56" s="184" t="s">
        <v>184</v>
      </c>
    </row>
    <row r="57" spans="1:7" ht="6.6" customHeight="1" x14ac:dyDescent="0.2"/>
    <row r="59" spans="1:7" x14ac:dyDescent="0.2">
      <c r="A59" s="105" t="s">
        <v>268</v>
      </c>
    </row>
    <row r="60" spans="1:7" x14ac:dyDescent="0.2">
      <c r="B60" s="105" t="s">
        <v>269</v>
      </c>
    </row>
    <row r="61" spans="1:7" x14ac:dyDescent="0.2">
      <c r="B61" s="105" t="s">
        <v>270</v>
      </c>
    </row>
    <row r="62" spans="1:7" ht="8.1" customHeight="1" x14ac:dyDescent="0.2"/>
    <row r="63" spans="1:7" x14ac:dyDescent="0.2">
      <c r="B63" s="105" t="s">
        <v>271</v>
      </c>
      <c r="C63" s="220">
        <f>C36</f>
        <v>14638.995000000001</v>
      </c>
      <c r="D63" s="105" t="s">
        <v>147</v>
      </c>
      <c r="E63" s="184" t="s">
        <v>189</v>
      </c>
    </row>
    <row r="64" spans="1:7" x14ac:dyDescent="0.2">
      <c r="B64" s="105" t="s">
        <v>190</v>
      </c>
      <c r="C64" s="221">
        <f>+C56</f>
        <v>13723.456790123455</v>
      </c>
      <c r="D64" s="105" t="s">
        <v>95</v>
      </c>
      <c r="E64" s="184" t="s">
        <v>191</v>
      </c>
    </row>
    <row r="65" spans="1:7" ht="13.35" customHeight="1" x14ac:dyDescent="0.2">
      <c r="B65" s="105" t="s">
        <v>172</v>
      </c>
      <c r="C65" s="221">
        <f>+C41</f>
        <v>98651.851851851825</v>
      </c>
      <c r="D65" s="105" t="s">
        <v>95</v>
      </c>
      <c r="E65" s="184" t="s">
        <v>192</v>
      </c>
    </row>
    <row r="66" spans="1:7" ht="25.35" customHeight="1" x14ac:dyDescent="0.2">
      <c r="B66" s="222" t="s">
        <v>193</v>
      </c>
      <c r="C66" s="223">
        <f>+C64/C65</f>
        <v>0.1391099764729439</v>
      </c>
      <c r="D66" s="184" t="s">
        <v>194</v>
      </c>
      <c r="E66" s="105" t="str">
        <f>CONCATENATE("[ ",ROUND(C64,2)," acres / ",ROUND(C65,2)," acres ]")</f>
        <v>[ 13723.46 acres / 98651.85 acres ]</v>
      </c>
    </row>
    <row r="67" spans="1:7" ht="7.35" customHeight="1" x14ac:dyDescent="0.2"/>
    <row r="68" spans="1:7" ht="42" customHeight="1" x14ac:dyDescent="0.2">
      <c r="A68" s="224"/>
      <c r="B68" s="145" t="s">
        <v>272</v>
      </c>
      <c r="C68" s="225">
        <f>+C63*C66*0.75</f>
        <v>1527.3226875281578</v>
      </c>
      <c r="D68" s="105" t="s">
        <v>196</v>
      </c>
      <c r="E68" s="105" t="str">
        <f>CONCATENATE("[ 75% x ",ROUND(C63,2)," pounds x ",ROUND(C66*100,0),"% ]")</f>
        <v>[ 75% x 14639 pounds x 14% ]</v>
      </c>
    </row>
    <row r="69" spans="1:7" ht="13.5" thickBot="1" x14ac:dyDescent="0.25">
      <c r="A69" s="224"/>
      <c r="B69" s="226" t="s">
        <v>273</v>
      </c>
      <c r="C69" s="227">
        <f>+C63*0.25</f>
        <v>3659.7487500000002</v>
      </c>
      <c r="D69" s="228" t="s">
        <v>196</v>
      </c>
      <c r="E69" s="105" t="str">
        <f>CONCATENATE("[ 25% x ",ROUND(C63,2)," pounds ]")</f>
        <v>[ 25% x 14639 pounds ]</v>
      </c>
    </row>
    <row r="70" spans="1:7" ht="29.1" customHeight="1" x14ac:dyDescent="0.2">
      <c r="B70" s="229" t="s">
        <v>198</v>
      </c>
      <c r="C70" s="230">
        <f>+C69+C68</f>
        <v>5187.0714375281577</v>
      </c>
      <c r="D70" s="231" t="s">
        <v>147</v>
      </c>
    </row>
    <row r="71" spans="1:7" ht="6.6" customHeight="1" x14ac:dyDescent="0.2"/>
    <row r="72" spans="1:7" ht="8.4499999999999993" customHeight="1" x14ac:dyDescent="0.2"/>
    <row r="73" spans="1:7" ht="42" customHeight="1" x14ac:dyDescent="0.2">
      <c r="A73" s="467" t="s">
        <v>274</v>
      </c>
      <c r="B73" s="467"/>
      <c r="C73" s="467"/>
      <c r="D73" s="467"/>
      <c r="E73" s="467"/>
      <c r="F73" s="467"/>
      <c r="G73" s="467"/>
    </row>
    <row r="74" spans="1:7" ht="6" customHeight="1" x14ac:dyDescent="0.2"/>
    <row r="75" spans="1:7" x14ac:dyDescent="0.2">
      <c r="B75" s="110" t="s">
        <v>200</v>
      </c>
    </row>
    <row r="76" spans="1:7" ht="12.75" customHeight="1" x14ac:dyDescent="0.2">
      <c r="B76" s="204" t="s">
        <v>177</v>
      </c>
      <c r="C76" s="232">
        <v>0.15</v>
      </c>
    </row>
    <row r="77" spans="1:7" x14ac:dyDescent="0.2">
      <c r="B77" s="209" t="s">
        <v>179</v>
      </c>
      <c r="C77" s="233">
        <v>0.52</v>
      </c>
    </row>
    <row r="78" spans="1:7" x14ac:dyDescent="0.2">
      <c r="B78" s="204" t="s">
        <v>181</v>
      </c>
      <c r="C78" s="232">
        <v>0.87</v>
      </c>
    </row>
    <row r="79" spans="1:7" ht="6" customHeight="1" x14ac:dyDescent="0.2"/>
    <row r="80" spans="1:7" ht="11.45" customHeight="1" x14ac:dyDescent="0.2"/>
    <row r="81" spans="1:7" ht="24.6" customHeight="1" x14ac:dyDescent="0.2">
      <c r="A81" s="467" t="s">
        <v>201</v>
      </c>
      <c r="B81" s="467"/>
      <c r="C81" s="467"/>
      <c r="D81" s="467"/>
      <c r="E81" s="467"/>
      <c r="F81" s="467"/>
      <c r="G81" s="467"/>
    </row>
    <row r="82" spans="1:7" ht="6" customHeight="1" x14ac:dyDescent="0.2"/>
    <row r="83" spans="1:7" x14ac:dyDescent="0.2">
      <c r="B83" s="110" t="s">
        <v>202</v>
      </c>
    </row>
    <row r="84" spans="1:7" x14ac:dyDescent="0.2">
      <c r="B84" s="234" t="s">
        <v>177</v>
      </c>
      <c r="C84" s="205">
        <f>+C53*C76</f>
        <v>1857.0370370370367</v>
      </c>
      <c r="D84" s="188" t="s">
        <v>203</v>
      </c>
      <c r="E84" s="235" t="str">
        <f>CONCATENATE(" [ ",ROUND(C53,2)," acres x ",C76*100," percent ]")</f>
        <v xml:space="preserve"> [ 12380.25 acres x 15 percent ]</v>
      </c>
      <c r="F84" s="188"/>
      <c r="G84" s="208"/>
    </row>
    <row r="85" spans="1:7" x14ac:dyDescent="0.2">
      <c r="B85" s="236" t="s">
        <v>179</v>
      </c>
      <c r="C85" s="210">
        <f>+C54*C77</f>
        <v>562.37037037037044</v>
      </c>
      <c r="D85" s="213" t="s">
        <v>203</v>
      </c>
      <c r="E85" s="237" t="str">
        <f>CONCATENATE(" [ ",ROUND(C54,2)," acres x ",C77*100," percent ]")</f>
        <v xml:space="preserve"> [ 1081.48 acres x 52 percent ]</v>
      </c>
      <c r="F85" s="213"/>
      <c r="G85" s="214"/>
    </row>
    <row r="86" spans="1:7" ht="13.5" thickBot="1" x14ac:dyDescent="0.25">
      <c r="B86" s="238" t="s">
        <v>181</v>
      </c>
      <c r="C86" s="216">
        <f>+C55*C78</f>
        <v>227.70370370370367</v>
      </c>
      <c r="D86" s="239" t="s">
        <v>203</v>
      </c>
      <c r="E86" s="235" t="str">
        <f>CONCATENATE(" [ ",ROUND(C55,2)," acres x ",C78*100," percent ]")</f>
        <v xml:space="preserve"> [ 261.73 acres x 87 percent ]</v>
      </c>
      <c r="F86" s="188"/>
      <c r="G86" s="208"/>
    </row>
    <row r="87" spans="1:7" ht="29.1" customHeight="1" x14ac:dyDescent="0.2">
      <c r="B87" s="240" t="s">
        <v>204</v>
      </c>
      <c r="C87" s="241">
        <f>+C84+C85+C86</f>
        <v>2647.1111111111104</v>
      </c>
      <c r="D87" s="105" t="s">
        <v>95</v>
      </c>
    </row>
    <row r="88" spans="1:7" ht="6" customHeight="1" x14ac:dyDescent="0.2"/>
    <row r="90" spans="1:7" x14ac:dyDescent="0.2">
      <c r="A90" s="105" t="s">
        <v>275</v>
      </c>
    </row>
    <row r="91" spans="1:7" ht="6" customHeight="1" x14ac:dyDescent="0.2"/>
    <row r="92" spans="1:7" x14ac:dyDescent="0.2">
      <c r="A92" s="105" t="str">
        <f>CONCATENATE("Watershed: ",'MMW Output'!$B$3)</f>
        <v>Watershed: User Specified</v>
      </c>
    </row>
    <row r="93" spans="1:7" ht="6" customHeight="1" x14ac:dyDescent="0.2"/>
    <row r="94" spans="1:7" x14ac:dyDescent="0.2">
      <c r="A94" s="105" t="str">
        <f>CONCATENATE("Year: ",'MMW Output'!$C$16)</f>
        <v>Year: User Specified</v>
      </c>
    </row>
    <row r="96" spans="1:7" x14ac:dyDescent="0.2">
      <c r="A96" s="105" t="s">
        <v>206</v>
      </c>
    </row>
    <row r="97" spans="1:7" ht="6" customHeight="1" x14ac:dyDescent="0.2"/>
    <row r="98" spans="1:7" x14ac:dyDescent="0.2">
      <c r="B98" s="110" t="s">
        <v>207</v>
      </c>
    </row>
    <row r="99" spans="1:7" x14ac:dyDescent="0.2">
      <c r="B99" s="204" t="s">
        <v>177</v>
      </c>
      <c r="C99" s="232">
        <f>+C84/(C$84+C$85+C$86)</f>
        <v>0.70153346765166791</v>
      </c>
      <c r="D99" s="242" t="s">
        <v>208</v>
      </c>
      <c r="E99" s="235" t="str">
        <f>CONCATENATE(" [ ",ROUND(C84,2)," acres / ",ROUND(C87,2)," acres ]")</f>
        <v xml:space="preserve"> [ 1857.04 acres / 2647.11 acres ]</v>
      </c>
      <c r="F99" s="188"/>
      <c r="G99" s="208"/>
    </row>
    <row r="100" spans="1:7" x14ac:dyDescent="0.2">
      <c r="B100" s="209" t="s">
        <v>179</v>
      </c>
      <c r="C100" s="233">
        <f>+C85/(C$84+C$85+C$86)</f>
        <v>0.21244683232594591</v>
      </c>
      <c r="D100" s="243" t="s">
        <v>208</v>
      </c>
      <c r="E100" s="237" t="str">
        <f>CONCATENATE(" [ ",ROUND(C85,2)," acres / ",ROUND(C87,2)," acres ]")</f>
        <v xml:space="preserve"> [ 562.37 acres / 2647.11 acres ]</v>
      </c>
      <c r="F100" s="213"/>
      <c r="G100" s="214"/>
    </row>
    <row r="101" spans="1:7" ht="13.5" thickBot="1" x14ac:dyDescent="0.25">
      <c r="B101" s="215" t="s">
        <v>181</v>
      </c>
      <c r="C101" s="244">
        <f>+C86/(C$84+C$85+C$86)</f>
        <v>8.6019700022386403E-2</v>
      </c>
      <c r="D101" s="242" t="s">
        <v>208</v>
      </c>
      <c r="E101" s="235" t="str">
        <f>CONCATENATE(" [ ",ROUND(C86,2)," acres / ",ROUND(C87,2)," acres ]")</f>
        <v xml:space="preserve"> [ 227.7 acres / 2647.11 acres ]</v>
      </c>
      <c r="F101" s="188"/>
      <c r="G101" s="208"/>
    </row>
    <row r="102" spans="1:7" x14ac:dyDescent="0.2">
      <c r="B102" s="105" t="s">
        <v>183</v>
      </c>
      <c r="C102" s="245">
        <f>+C99+C100+C101</f>
        <v>1.0000000000000002</v>
      </c>
    </row>
    <row r="103" spans="1:7" ht="7.35" customHeight="1" x14ac:dyDescent="0.2"/>
    <row r="104" spans="1:7" ht="13.35" customHeight="1" x14ac:dyDescent="0.2"/>
    <row r="105" spans="1:7" ht="24" customHeight="1" x14ac:dyDescent="0.2">
      <c r="A105" s="467" t="s">
        <v>276</v>
      </c>
      <c r="B105" s="467"/>
      <c r="C105" s="467"/>
      <c r="D105" s="467"/>
      <c r="E105" s="467"/>
      <c r="F105" s="467"/>
      <c r="G105" s="467"/>
    </row>
    <row r="106" spans="1:7" ht="6" customHeight="1" x14ac:dyDescent="0.2"/>
    <row r="107" spans="1:7" ht="25.5" customHeight="1" x14ac:dyDescent="0.2">
      <c r="B107" s="246" t="s">
        <v>198</v>
      </c>
      <c r="C107" s="131">
        <f>+C70</f>
        <v>5187.0714375281577</v>
      </c>
      <c r="D107" s="105" t="s">
        <v>210</v>
      </c>
      <c r="E107" s="184" t="s">
        <v>211</v>
      </c>
    </row>
    <row r="108" spans="1:7" ht="25.5" customHeight="1" x14ac:dyDescent="0.2">
      <c r="B108" s="201" t="s">
        <v>212</v>
      </c>
      <c r="C108" s="225">
        <f>+C68</f>
        <v>1527.3226875281578</v>
      </c>
      <c r="D108" s="105" t="s">
        <v>210</v>
      </c>
      <c r="E108" s="184" t="s">
        <v>211</v>
      </c>
    </row>
    <row r="109" spans="1:7" ht="25.5" customHeight="1" x14ac:dyDescent="0.2">
      <c r="B109" s="201" t="s">
        <v>277</v>
      </c>
      <c r="C109" s="225">
        <f>+C69</f>
        <v>3659.7487500000002</v>
      </c>
      <c r="D109" s="105" t="s">
        <v>210</v>
      </c>
      <c r="E109" s="184" t="s">
        <v>211</v>
      </c>
    </row>
    <row r="110" spans="1:7" ht="6" customHeight="1" x14ac:dyDescent="0.2"/>
    <row r="111" spans="1:7" ht="13.35" customHeight="1" x14ac:dyDescent="0.2"/>
    <row r="112" spans="1:7" ht="14.1" customHeight="1" x14ac:dyDescent="0.2">
      <c r="A112" s="467" t="s">
        <v>214</v>
      </c>
      <c r="B112" s="467"/>
      <c r="C112" s="467"/>
      <c r="D112" s="467"/>
      <c r="E112" s="467"/>
      <c r="F112" s="467"/>
      <c r="G112" s="467"/>
    </row>
    <row r="113" spans="1:7" ht="15" customHeight="1" x14ac:dyDescent="0.2">
      <c r="A113" s="467" t="str">
        <f>CONCATENATE("multiplying the 'Percent of Total Impervious Surfaces' (Step 8) by ",ROUND(C109,2)," pounds (calculated in Step 9):")</f>
        <v>multiplying the 'Percent of Total Impervious Surfaces' (Step 8) by 3659.75 pounds (calculated in Step 9):</v>
      </c>
      <c r="B113" s="467"/>
      <c r="C113" s="467"/>
      <c r="D113" s="467"/>
      <c r="E113" s="467"/>
      <c r="F113" s="467"/>
      <c r="G113" s="467"/>
    </row>
    <row r="114" spans="1:7" ht="6" customHeight="1" x14ac:dyDescent="0.2">
      <c r="A114" s="201"/>
      <c r="B114" s="201"/>
      <c r="C114" s="201"/>
      <c r="D114" s="201"/>
      <c r="E114" s="201"/>
      <c r="F114" s="201"/>
      <c r="G114" s="201"/>
    </row>
    <row r="115" spans="1:7" ht="16.350000000000001" customHeight="1" x14ac:dyDescent="0.2">
      <c r="B115" s="110" t="s">
        <v>278</v>
      </c>
      <c r="C115" s="240"/>
      <c r="D115" s="240"/>
      <c r="E115" s="240"/>
      <c r="F115" s="145"/>
    </row>
    <row r="116" spans="1:7" x14ac:dyDescent="0.2">
      <c r="B116" s="204" t="s">
        <v>177</v>
      </c>
      <c r="C116" s="189">
        <f>C99*C$109</f>
        <v>2567.4362313213574</v>
      </c>
      <c r="D116" s="488" t="str">
        <f>CONCATENATE("=   [ ",ROUND(C99*100,0)," % x ",ROUND(C$109,2)," pounds ]")</f>
        <v>=   [ 70 % x 3659.75 pounds ]</v>
      </c>
      <c r="E116" s="489"/>
      <c r="F116" s="489"/>
      <c r="G116" s="489"/>
    </row>
    <row r="117" spans="1:7" x14ac:dyDescent="0.2">
      <c r="B117" s="209" t="s">
        <v>179</v>
      </c>
      <c r="C117" s="247">
        <f>C100*C$109</f>
        <v>777.50202904634023</v>
      </c>
      <c r="D117" s="490" t="str">
        <f>CONCATENATE("=   [ ",ROUND(C100*100,0)," % x ",ROUND(C$109,2)," pounds ]")</f>
        <v>=   [ 21 % x 3659.75 pounds ]</v>
      </c>
      <c r="E117" s="491"/>
      <c r="F117" s="491"/>
      <c r="G117" s="491"/>
    </row>
    <row r="118" spans="1:7" x14ac:dyDescent="0.2">
      <c r="B118" s="204" t="s">
        <v>181</v>
      </c>
      <c r="C118" s="189">
        <f>C101*C$109</f>
        <v>314.81048963230364</v>
      </c>
      <c r="D118" s="488" t="str">
        <f>CONCATENATE("=   [ ",ROUND(C101*100,0)," % x ",ROUND(C$109,2)," pounds ]")</f>
        <v>=   [ 9 % x 3659.75 pounds ]</v>
      </c>
      <c r="E118" s="489"/>
      <c r="F118" s="489"/>
      <c r="G118" s="489"/>
    </row>
    <row r="119" spans="1:7" ht="6" customHeight="1" x14ac:dyDescent="0.2">
      <c r="C119" s="248"/>
    </row>
    <row r="121" spans="1:7" x14ac:dyDescent="0.2">
      <c r="A121" s="467" t="s">
        <v>216</v>
      </c>
      <c r="B121" s="467"/>
      <c r="C121" s="467"/>
      <c r="D121" s="467"/>
      <c r="E121" s="467"/>
      <c r="F121" s="467"/>
      <c r="G121" s="467"/>
    </row>
    <row r="122" spans="1:7" x14ac:dyDescent="0.2">
      <c r="A122" s="467" t="str">
        <f>CONCATENATE("the 'Percent of Area of Developed Lands' (from Step 4) by ",ROUND(C108,2)," pounds (calculated in Step 9):")</f>
        <v>the 'Percent of Area of Developed Lands' (from Step 4) by 1527.32 pounds (calculated in Step 9):</v>
      </c>
      <c r="B122" s="467"/>
      <c r="C122" s="467"/>
      <c r="D122" s="467"/>
      <c r="E122" s="467"/>
      <c r="F122" s="467"/>
      <c r="G122" s="467"/>
    </row>
    <row r="123" spans="1:7" ht="6" customHeight="1" x14ac:dyDescent="0.2"/>
    <row r="124" spans="1:7" ht="17.100000000000001" customHeight="1" x14ac:dyDescent="0.2">
      <c r="B124" s="110" t="s">
        <v>279</v>
      </c>
      <c r="C124" s="240"/>
      <c r="D124" s="240"/>
      <c r="E124" s="240"/>
    </row>
    <row r="125" spans="1:7" x14ac:dyDescent="0.2">
      <c r="B125" s="204" t="s">
        <v>177</v>
      </c>
      <c r="C125" s="189">
        <f>C53/C$56*C$108</f>
        <v>1377.8330254167295</v>
      </c>
      <c r="D125" s="488" t="str">
        <f>CONCATENATE("=   [ ",ROUND(D53*100,0)," % x ",ROUND(C$108,2)," pounds ]")</f>
        <v>=   [ 90 % x 1527.32 pounds ]</v>
      </c>
      <c r="E125" s="489"/>
      <c r="F125" s="489"/>
      <c r="G125" s="489"/>
    </row>
    <row r="126" spans="1:7" x14ac:dyDescent="0.2">
      <c r="B126" s="209" t="s">
        <v>179</v>
      </c>
      <c r="C126" s="247">
        <f>C54/C$56*C$108</f>
        <v>120.36116177353962</v>
      </c>
      <c r="D126" s="490" t="str">
        <f>CONCATENATE("=   [ ",ROUND(D54*100,0)," % x ",ROUND(C$108,2)," pounds ]")</f>
        <v>=   [ 8 % x 1527.32 pounds ]</v>
      </c>
      <c r="E126" s="491"/>
      <c r="F126" s="491"/>
      <c r="G126" s="491"/>
    </row>
    <row r="127" spans="1:7" x14ac:dyDescent="0.2">
      <c r="B127" s="204" t="s">
        <v>181</v>
      </c>
      <c r="C127" s="189">
        <f>C55/C$56*C$108</f>
        <v>29.128500337888578</v>
      </c>
      <c r="D127" s="488" t="str">
        <f>CONCATENATE("=   [ ",ROUND(D55*100,0)," % x ",ROUND(C$108,2)," pounds ]  ")</f>
        <v xml:space="preserve">=   [ 2 % x 1527.32 pounds ]  </v>
      </c>
      <c r="E127" s="489"/>
      <c r="F127" s="489"/>
      <c r="G127" s="489"/>
    </row>
    <row r="128" spans="1:7" ht="7.35" customHeight="1" x14ac:dyDescent="0.2"/>
    <row r="130" spans="1:13" ht="26.45" customHeight="1" x14ac:dyDescent="0.2">
      <c r="A130" s="467" t="s">
        <v>218</v>
      </c>
      <c r="B130" s="467"/>
      <c r="C130" s="467"/>
      <c r="D130" s="467"/>
      <c r="E130" s="467"/>
      <c r="F130" s="467"/>
      <c r="G130" s="467"/>
    </row>
    <row r="131" spans="1:13" ht="6" customHeight="1" x14ac:dyDescent="0.2"/>
    <row r="132" spans="1:13" ht="16.350000000000001" customHeight="1" x14ac:dyDescent="0.2">
      <c r="B132" s="110" t="s">
        <v>280</v>
      </c>
      <c r="C132" s="249"/>
      <c r="D132" s="249"/>
      <c r="E132" s="240"/>
      <c r="F132" s="240"/>
      <c r="G132" s="240"/>
      <c r="H132" s="240"/>
      <c r="I132" s="240"/>
      <c r="J132" s="240"/>
      <c r="K132" s="240"/>
      <c r="L132" s="250"/>
      <c r="M132" s="251"/>
    </row>
    <row r="133" spans="1:13" x14ac:dyDescent="0.2">
      <c r="B133" s="204" t="s">
        <v>177</v>
      </c>
      <c r="C133" s="188">
        <f>+C116+C125</f>
        <v>3945.2692567380868</v>
      </c>
      <c r="D133" s="234" t="str">
        <f>CONCATENATE("   =   [ ",ROUND(C116,2)," pounds + ",ROUND(C125,2)," pounds ]")</f>
        <v xml:space="preserve">   =   [ 2567.44 pounds + 1377.83 pounds ]</v>
      </c>
      <c r="E133" s="208"/>
      <c r="F133" s="188"/>
      <c r="G133" s="208"/>
      <c r="I133" s="252"/>
      <c r="J133" s="252"/>
      <c r="K133" s="253"/>
      <c r="M133" s="254"/>
    </row>
    <row r="134" spans="1:13" x14ac:dyDescent="0.2">
      <c r="B134" s="209" t="s">
        <v>179</v>
      </c>
      <c r="C134" s="213">
        <f>+C117+C126</f>
        <v>897.86319081987983</v>
      </c>
      <c r="D134" s="236" t="str">
        <f>CONCATENATE("   =   [ ",ROUND(C117,2)," pounds + ",ROUND(C126,2)," pounds ]")</f>
        <v xml:space="preserve">   =   [ 777.5 pounds + 120.36 pounds ]</v>
      </c>
      <c r="E134" s="214"/>
      <c r="F134" s="213"/>
      <c r="G134" s="214"/>
      <c r="I134" s="252"/>
      <c r="J134" s="252"/>
      <c r="K134" s="253"/>
      <c r="M134" s="254"/>
    </row>
    <row r="135" spans="1:13" x14ac:dyDescent="0.2">
      <c r="B135" s="204" t="s">
        <v>181</v>
      </c>
      <c r="C135" s="188">
        <f>+C118+C127</f>
        <v>343.93898997019221</v>
      </c>
      <c r="D135" s="234" t="str">
        <f>CONCATENATE("   =   [ ",ROUND(C118,2)," pounds + ",ROUND(C127,2)," pounds ]")</f>
        <v xml:space="preserve">   =   [ 314.81 pounds + 29.13 pounds ]</v>
      </c>
      <c r="E135" s="208"/>
      <c r="F135" s="188"/>
      <c r="G135" s="208"/>
      <c r="I135" s="252"/>
      <c r="J135" s="252"/>
      <c r="K135" s="253"/>
      <c r="M135" s="254"/>
    </row>
    <row r="136" spans="1:13" ht="7.35" customHeight="1" x14ac:dyDescent="0.2">
      <c r="M136" s="248"/>
    </row>
    <row r="139" spans="1:13" x14ac:dyDescent="0.2">
      <c r="A139" s="105" t="s">
        <v>281</v>
      </c>
    </row>
    <row r="140" spans="1:13" ht="6" customHeight="1" x14ac:dyDescent="0.2"/>
    <row r="141" spans="1:13" x14ac:dyDescent="0.2">
      <c r="A141" s="105" t="str">
        <f>CONCATENATE("Watershed: ",'MMW Output'!$B$3)</f>
        <v>Watershed: User Specified</v>
      </c>
    </row>
    <row r="142" spans="1:13" ht="6" customHeight="1" x14ac:dyDescent="0.2"/>
    <row r="143" spans="1:13" x14ac:dyDescent="0.2">
      <c r="A143" s="105" t="str">
        <f>CONCATENATE("Year: ",'MMW Output'!$C$16)</f>
        <v>Year: User Specified</v>
      </c>
    </row>
    <row r="145" spans="1:7" ht="28.35" customHeight="1" x14ac:dyDescent="0.2">
      <c r="A145" s="467" t="s">
        <v>221</v>
      </c>
      <c r="B145" s="467"/>
      <c r="C145" s="467"/>
      <c r="D145" s="467"/>
      <c r="E145" s="467"/>
      <c r="F145" s="467"/>
      <c r="G145" s="467"/>
    </row>
    <row r="146" spans="1:7" ht="8.4499999999999993" customHeight="1" x14ac:dyDescent="0.2"/>
    <row r="147" spans="1:7" ht="53.45" customHeight="1" x14ac:dyDescent="0.2">
      <c r="A147" s="492" t="s">
        <v>282</v>
      </c>
      <c r="B147" s="492"/>
      <c r="C147" s="255" t="s">
        <v>147</v>
      </c>
      <c r="D147" s="256" t="s">
        <v>223</v>
      </c>
      <c r="E147" s="493" t="s">
        <v>283</v>
      </c>
      <c r="F147" s="493"/>
    </row>
    <row r="148" spans="1:7" x14ac:dyDescent="0.2">
      <c r="B148" s="257" t="s">
        <v>177</v>
      </c>
      <c r="C148" s="188">
        <f>+C133</f>
        <v>3945.2692567380868</v>
      </c>
      <c r="D148" s="188">
        <f>+C53</f>
        <v>12380.246913580246</v>
      </c>
      <c r="E148" s="258">
        <f>+C148/D148</f>
        <v>0.31867452113660255</v>
      </c>
      <c r="F148" s="234" t="str">
        <f>CONCATENATE("= [",ROUND(C148,2)," lbs / ",(ROUND(D148,2))," acres ]")</f>
        <v>= [3945.27 lbs / 12380.25 acres ]</v>
      </c>
      <c r="G148" s="208"/>
    </row>
    <row r="149" spans="1:7" x14ac:dyDescent="0.2">
      <c r="B149" s="260" t="s">
        <v>179</v>
      </c>
      <c r="C149" s="213">
        <f>+C134</f>
        <v>897.86319081987983</v>
      </c>
      <c r="D149" s="213">
        <f>+C54</f>
        <v>1081.4814814814815</v>
      </c>
      <c r="E149" s="261">
        <f>+C149/D149</f>
        <v>0.83021596411427245</v>
      </c>
      <c r="F149" s="236" t="str">
        <f>CONCATENATE("= [",ROUND(C149,2)," lbs / ",(ROUND(D149,2))," acres ]")</f>
        <v>= [897.86 lbs / 1081.48 acres ]</v>
      </c>
      <c r="G149" s="214"/>
    </row>
    <row r="150" spans="1:7" x14ac:dyDescent="0.2">
      <c r="B150" s="257" t="s">
        <v>181</v>
      </c>
      <c r="C150" s="188">
        <f>+C135</f>
        <v>343.93898997019221</v>
      </c>
      <c r="D150" s="188">
        <f>+C55</f>
        <v>261.72839506172835</v>
      </c>
      <c r="E150" s="258">
        <f>+C150/D150</f>
        <v>1.3141065182823384</v>
      </c>
      <c r="F150" s="234" t="str">
        <f>CONCATENATE("= [",ROUND(C150,2)," lbs / ",(ROUND(D150,2))," acres ]")</f>
        <v>= [343.94 lbs / 261.73 acres ]</v>
      </c>
      <c r="G150" s="208"/>
    </row>
    <row r="151" spans="1:7" ht="6" customHeight="1" x14ac:dyDescent="0.2"/>
    <row r="152" spans="1:7" ht="7.35" customHeight="1" x14ac:dyDescent="0.2"/>
    <row r="154" spans="1:7" x14ac:dyDescent="0.2">
      <c r="A154" s="105" t="s">
        <v>225</v>
      </c>
    </row>
    <row r="155" spans="1:7" ht="6" customHeight="1" x14ac:dyDescent="0.2"/>
    <row r="156" spans="1:7" x14ac:dyDescent="0.2">
      <c r="B156" s="105" t="s">
        <v>226</v>
      </c>
      <c r="C156" s="225">
        <f>+C36</f>
        <v>14638.995000000001</v>
      </c>
      <c r="D156" s="105" t="s">
        <v>210</v>
      </c>
      <c r="E156" s="184" t="s">
        <v>227</v>
      </c>
    </row>
    <row r="157" spans="1:7" ht="29.45" customHeight="1" x14ac:dyDescent="0.2">
      <c r="B157" s="270" t="s">
        <v>260</v>
      </c>
      <c r="C157" s="264">
        <f>+C70</f>
        <v>5187.0714375281577</v>
      </c>
      <c r="D157" s="186" t="s">
        <v>210</v>
      </c>
      <c r="E157" s="184" t="s">
        <v>229</v>
      </c>
    </row>
    <row r="158" spans="1:7" ht="25.5" x14ac:dyDescent="0.2">
      <c r="B158" s="145" t="s">
        <v>230</v>
      </c>
      <c r="C158" s="131">
        <f>+C156-C157</f>
        <v>9451.9235624718422</v>
      </c>
      <c r="D158" s="105" t="s">
        <v>210</v>
      </c>
      <c r="E158" s="265" t="str">
        <f>CONCATENATE(" [ ",ROUND(C156,2)," pounds - ",ROUND(C157,2)," pounds ]")</f>
        <v xml:space="preserve"> [ 14639 pounds - 5187.07 pounds ]</v>
      </c>
    </row>
    <row r="159" spans="1:7" ht="8.4499999999999993" customHeight="1" x14ac:dyDescent="0.2"/>
    <row r="160" spans="1:7" x14ac:dyDescent="0.2">
      <c r="B160" s="105" t="s">
        <v>231</v>
      </c>
      <c r="C160" s="266">
        <f>+C41-C56</f>
        <v>84928.39506172837</v>
      </c>
      <c r="D160" s="105" t="s">
        <v>232</v>
      </c>
      <c r="E160" s="184" t="s">
        <v>233</v>
      </c>
    </row>
    <row r="161" spans="1:7" ht="9" customHeight="1" x14ac:dyDescent="0.2"/>
    <row r="162" spans="1:7" ht="38.25" x14ac:dyDescent="0.2">
      <c r="B162" s="267" t="s">
        <v>284</v>
      </c>
      <c r="C162" s="268">
        <f>+C158/C160</f>
        <v>0.11129285506457429</v>
      </c>
      <c r="D162" s="267" t="s">
        <v>160</v>
      </c>
      <c r="E162" s="105" t="str">
        <f>CONCATENATE("=  [ ",ROUND(C158,2)," pounds / ",ROUND(C160,2)," acres ]")</f>
        <v>=  [ 9451.92 pounds / 84928.4 acres ]</v>
      </c>
    </row>
    <row r="163" spans="1:7" ht="8.1" customHeight="1" x14ac:dyDescent="0.2"/>
    <row r="165" spans="1:7" ht="51" customHeight="1" x14ac:dyDescent="0.2">
      <c r="A165" s="467" t="s">
        <v>285</v>
      </c>
      <c r="B165" s="467"/>
      <c r="C165" s="467"/>
      <c r="D165" s="467"/>
      <c r="E165" s="467"/>
      <c r="F165" s="467"/>
      <c r="G165" s="467"/>
    </row>
  </sheetData>
  <mergeCells count="25">
    <mergeCell ref="A165:G165"/>
    <mergeCell ref="D126:G126"/>
    <mergeCell ref="D127:G127"/>
    <mergeCell ref="A130:G130"/>
    <mergeCell ref="A145:G145"/>
    <mergeCell ref="A147:B147"/>
    <mergeCell ref="E147:F147"/>
    <mergeCell ref="D125:G125"/>
    <mergeCell ref="A50:G50"/>
    <mergeCell ref="A73:G73"/>
    <mergeCell ref="A81:G81"/>
    <mergeCell ref="A105:G105"/>
    <mergeCell ref="A112:G112"/>
    <mergeCell ref="A113:G113"/>
    <mergeCell ref="D116:G116"/>
    <mergeCell ref="D117:G117"/>
    <mergeCell ref="D118:G118"/>
    <mergeCell ref="A121:G121"/>
    <mergeCell ref="A122:G122"/>
    <mergeCell ref="A39:G39"/>
    <mergeCell ref="A7:F7"/>
    <mergeCell ref="A8:G8"/>
    <mergeCell ref="A11:G11"/>
    <mergeCell ref="A14:A29"/>
    <mergeCell ref="A33:G33"/>
  </mergeCells>
  <pageMargins left="0.75" right="0.59718749999999998" top="0.5" bottom="0.75" header="0.3" footer="0.3"/>
  <pageSetup fitToWidth="0" fitToHeight="0" orientation="portrait" r:id="rId1"/>
  <headerFooter>
    <oddFooter>&amp;L&amp;"Arial,Regular"&amp;9Section 8: Backup for Stream Bank Total Phos. Loading&amp;C&amp;"Arial,Regular"&amp;9Page &amp;P of &amp;N&amp;R&amp;"Arial,Regular"&amp;9Christina Basin Loading Rates Tool (May 5, 2017)</oddFooter>
  </headerFooter>
  <rowBreaks count="3" manualBreakCount="3">
    <brk id="42" max="16383" man="1"/>
    <brk id="88" max="16383" man="1"/>
    <brk id="13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2"/>
  <sheetViews>
    <sheetView zoomScale="80" zoomScaleNormal="80" workbookViewId="0">
      <selection activeCell="O47" sqref="O47"/>
    </sheetView>
  </sheetViews>
  <sheetFormatPr defaultColWidth="9.125" defaultRowHeight="15" x14ac:dyDescent="0.25"/>
  <cols>
    <col min="1" max="13" width="9.125" style="272"/>
    <col min="14" max="14" width="10.375" style="1" customWidth="1"/>
    <col min="15" max="20" width="10.125" style="1" customWidth="1"/>
    <col min="21" max="25" width="9.125" style="272"/>
    <col min="26" max="26" width="24.875" style="272" customWidth="1"/>
    <col min="27" max="16384" width="9.125" style="272"/>
  </cols>
  <sheetData>
    <row r="1" spans="1:23" ht="25.5" customHeight="1" x14ac:dyDescent="0.3">
      <c r="A1" s="271" t="s">
        <v>286</v>
      </c>
    </row>
    <row r="2" spans="1:23" ht="36" customHeight="1" x14ac:dyDescent="0.25">
      <c r="A2" s="494" t="s">
        <v>287</v>
      </c>
      <c r="B2" s="494"/>
      <c r="C2" s="494"/>
      <c r="D2" s="494"/>
      <c r="E2" s="494"/>
      <c r="F2" s="494"/>
      <c r="G2" s="494"/>
      <c r="H2" s="494"/>
      <c r="I2" s="494"/>
      <c r="J2" s="494"/>
      <c r="K2" s="494"/>
      <c r="L2" s="494"/>
      <c r="M2" s="494"/>
      <c r="N2" s="494"/>
      <c r="O2" s="494"/>
      <c r="P2" s="273"/>
      <c r="Q2" s="18"/>
      <c r="R2" s="18"/>
      <c r="S2" s="18"/>
      <c r="T2" s="18"/>
      <c r="U2" s="274"/>
      <c r="V2" s="274"/>
      <c r="W2" s="274"/>
    </row>
    <row r="3" spans="1:23" ht="15.75" x14ac:dyDescent="0.25">
      <c r="A3" s="275" t="s">
        <v>288</v>
      </c>
      <c r="C3" s="274"/>
      <c r="D3" s="274"/>
      <c r="E3" s="274"/>
      <c r="F3" s="274"/>
      <c r="G3" s="274"/>
      <c r="H3" s="274"/>
      <c r="I3" s="274"/>
      <c r="J3" s="274"/>
      <c r="K3" s="274"/>
      <c r="L3" s="274"/>
      <c r="M3" s="274"/>
      <c r="N3" s="18"/>
      <c r="Q3" s="18"/>
      <c r="R3" s="18"/>
      <c r="S3" s="18"/>
      <c r="T3" s="18"/>
      <c r="U3" s="274"/>
      <c r="V3" s="274"/>
      <c r="W3" s="274"/>
    </row>
    <row r="4" spans="1:23" x14ac:dyDescent="0.25">
      <c r="P4" s="276"/>
      <c r="Q4" s="276"/>
      <c r="R4" s="276"/>
      <c r="S4" s="276"/>
      <c r="T4" s="276"/>
    </row>
    <row r="36" spans="1:20" ht="46.5" customHeight="1" x14ac:dyDescent="0.25"/>
    <row r="37" spans="1:20" ht="69.75" customHeight="1" x14ac:dyDescent="0.25"/>
    <row r="38" spans="1:20" s="1" customFormat="1" x14ac:dyDescent="0.25">
      <c r="A38" s="277" t="s">
        <v>289</v>
      </c>
      <c r="B38" s="278" t="s">
        <v>290</v>
      </c>
      <c r="C38" s="277"/>
      <c r="D38" s="277"/>
      <c r="E38" s="277"/>
      <c r="F38" s="277"/>
      <c r="G38" s="277"/>
      <c r="H38" s="277"/>
      <c r="I38" s="277"/>
      <c r="J38" s="277"/>
      <c r="K38" s="277"/>
      <c r="L38" s="277"/>
      <c r="M38" s="277"/>
    </row>
    <row r="39" spans="1:20" s="1" customFormat="1" x14ac:dyDescent="0.25">
      <c r="A39" s="279" t="s">
        <v>291</v>
      </c>
      <c r="B39" s="277"/>
      <c r="C39" s="277"/>
      <c r="D39" s="277"/>
      <c r="E39" s="277"/>
      <c r="F39" s="277"/>
      <c r="G39" s="277"/>
      <c r="H39" s="277"/>
      <c r="I39" s="277"/>
      <c r="J39" s="277"/>
      <c r="K39" s="277"/>
      <c r="L39" s="277"/>
      <c r="M39" s="277"/>
    </row>
    <row r="40" spans="1:20" x14ac:dyDescent="0.25">
      <c r="A40" s="272" t="s">
        <v>292</v>
      </c>
      <c r="N40" s="277"/>
    </row>
    <row r="41" spans="1:20" x14ac:dyDescent="0.25">
      <c r="A41" s="272" t="s">
        <v>293</v>
      </c>
      <c r="N41" s="277"/>
    </row>
    <row r="42" spans="1:20" x14ac:dyDescent="0.25">
      <c r="A42" s="272" t="s">
        <v>294</v>
      </c>
      <c r="N42" s="277"/>
    </row>
    <row r="43" spans="1:20" x14ac:dyDescent="0.25">
      <c r="N43" s="277"/>
    </row>
    <row r="44" spans="1:20" x14ac:dyDescent="0.25">
      <c r="A44" s="274" t="s">
        <v>295</v>
      </c>
      <c r="N44" s="277"/>
    </row>
    <row r="45" spans="1:20" x14ac:dyDescent="0.25">
      <c r="A45" s="280" t="s">
        <v>296</v>
      </c>
      <c r="N45" s="278" t="s">
        <v>290</v>
      </c>
    </row>
    <row r="46" spans="1:20" x14ac:dyDescent="0.25">
      <c r="N46" s="278" t="s">
        <v>297</v>
      </c>
    </row>
    <row r="47" spans="1:20" ht="45" x14ac:dyDescent="0.25">
      <c r="N47" s="12" t="s">
        <v>298</v>
      </c>
      <c r="O47" s="12" t="s">
        <v>299</v>
      </c>
      <c r="P47" s="12" t="s">
        <v>300</v>
      </c>
      <c r="Q47" s="12" t="s">
        <v>301</v>
      </c>
      <c r="R47" s="12" t="s">
        <v>302</v>
      </c>
      <c r="S47" s="12" t="s">
        <v>303</v>
      </c>
      <c r="T47" s="12" t="s">
        <v>304</v>
      </c>
    </row>
    <row r="48" spans="1:20" x14ac:dyDescent="0.25">
      <c r="N48" s="281">
        <v>0.05</v>
      </c>
      <c r="O48" s="282">
        <f>0.0304*$N48^5  -0.2619*$N48^4 +0.9161*$N48^3 -1.6837*$N48^2  +1.7072*$N48-0.0091</f>
        <v>7.2163635125000014E-2</v>
      </c>
      <c r="P48" s="282">
        <f>0.0239*$N48^5  -0.2058*$N48^4 +0.7198*$N48^3 -1.3229*$N48^2  +1.3414*$N48-0.0072</f>
        <v>5.6651446218750012E-2</v>
      </c>
      <c r="Q48" s="282">
        <f>0.0308*$N48^5  -0.2562*$N48^4 +0.8634*$N48^3 -1.5285*$N48^2  +1.501*$N48-0.013</f>
        <v>5.8335083375000013E-2</v>
      </c>
      <c r="R48" s="282">
        <f>0.0152*$N48^5
-0.131*$N48^4
+0.4581*$N48^3
-0.8418*$N48^2
+0.8536*$N48
-0.0046</f>
        <v>3.6031948500000001E-2</v>
      </c>
      <c r="S48" s="282">
        <f>0.0326*$N48^5
-0.2806*$N48^4
+0.9816*$N48^3
-1.8039*$N48^2
+1.8292*$N48
-0.0098</f>
        <v>7.727120643749999E-2</v>
      </c>
      <c r="T48" s="282">
        <f>0.0304*$N48^5  -0.2619*$N48^4 +0.9161*$N48^3 -1.6837*$N48^2  +1.7072*$N48-0.0091</f>
        <v>7.2163635125000014E-2</v>
      </c>
    </row>
    <row r="49" spans="14:20" x14ac:dyDescent="0.25">
      <c r="N49" s="283">
        <v>0.1</v>
      </c>
      <c r="O49" s="282">
        <f t="shared" ref="O49:O68" si="0">0.0304*$N49^5  -0.2619*$N49^4 +0.9161*$N49^3 -1.6837*$N49^2  +1.7072*$N49-0.0091</f>
        <v>0.145673214</v>
      </c>
      <c r="P49" s="282">
        <f t="shared" ref="P49:P68" si="1">0.0239*$N49^5  -0.2058*$N49^4 +0.7198*$N49^3 -1.3229*$N49^2  +1.3414*$N49-0.0072</f>
        <v>0.11441045900000001</v>
      </c>
      <c r="Q49" s="282">
        <f t="shared" ref="Q49:Q68" si="2">0.0308*$N49^5  -0.2562*$N49^4 +0.8634*$N49^3 -1.5285*$N49^2  +1.501*$N49-0.013</f>
        <v>0.12265308800000001</v>
      </c>
      <c r="R49" s="282">
        <f t="shared" ref="R49:R68" si="3">0.0152*$N49^5
-0.131*$N49^4
+0.4581*$N49^3
-0.8418*$N49^2
+0.8536*$N49
-0.0046</f>
        <v>7.2787151999999994E-2</v>
      </c>
      <c r="S49" s="282">
        <f t="shared" ref="S49:S68" si="4">0.0326*$N49^5
-0.2806*$N49^4
+0.9816*$N49^3
-1.8039*$N49^2
+1.8292*$N49
-0.0098</f>
        <v>0.15603486599999999</v>
      </c>
      <c r="T49" s="282">
        <f t="shared" ref="T49:T68" si="5">0.0304*$N49^5  -0.2619*$N49^4 +0.9161*$N49^3 -1.6837*$N49^2  +1.7072*$N49-0.0091</f>
        <v>0.145673214</v>
      </c>
    </row>
    <row r="50" spans="14:20" x14ac:dyDescent="0.25">
      <c r="N50" s="283">
        <v>0.2</v>
      </c>
      <c r="O50" s="282">
        <f t="shared" si="0"/>
        <v>0.27191148799999998</v>
      </c>
      <c r="P50" s="282">
        <f t="shared" si="1"/>
        <v>0.213600768</v>
      </c>
      <c r="Q50" s="282">
        <f t="shared" si="2"/>
        <v>0.23256713600000001</v>
      </c>
      <c r="R50" s="282">
        <f t="shared" si="3"/>
        <v>0.13590806400000002</v>
      </c>
      <c r="S50" s="282">
        <f t="shared" si="4"/>
        <v>0.29129827200000002</v>
      </c>
      <c r="T50" s="282">
        <f t="shared" si="5"/>
        <v>0.27191148799999998</v>
      </c>
    </row>
    <row r="51" spans="14:20" x14ac:dyDescent="0.25">
      <c r="N51" s="283">
        <v>0.3</v>
      </c>
      <c r="O51" s="282">
        <f t="shared" si="0"/>
        <v>0.37421418199999995</v>
      </c>
      <c r="P51" s="282">
        <f t="shared" si="1"/>
        <v>0.29398469699999996</v>
      </c>
      <c r="Q51" s="282">
        <f t="shared" si="2"/>
        <v>0.32104642399999994</v>
      </c>
      <c r="R51" s="282">
        <f t="shared" si="3"/>
        <v>0.187062536</v>
      </c>
      <c r="S51" s="282">
        <f t="shared" si="4"/>
        <v>0.40091855799999992</v>
      </c>
      <c r="T51" s="282">
        <f t="shared" si="5"/>
        <v>0.37421418199999995</v>
      </c>
    </row>
    <row r="52" spans="14:20" x14ac:dyDescent="0.25">
      <c r="N52" s="283">
        <v>0.4</v>
      </c>
      <c r="O52" s="282">
        <f t="shared" si="0"/>
        <v>0.45662505599999997</v>
      </c>
      <c r="P52" s="282">
        <f t="shared" si="1"/>
        <v>0.35873945600000001</v>
      </c>
      <c r="Q52" s="282">
        <f t="shared" si="2"/>
        <v>0.391854272</v>
      </c>
      <c r="R52" s="282">
        <f t="shared" si="3"/>
        <v>0.22827244800000002</v>
      </c>
      <c r="S52" s="282">
        <f t="shared" si="4"/>
        <v>0.48922886399999999</v>
      </c>
      <c r="T52" s="282">
        <f t="shared" si="5"/>
        <v>0.45662505599999997</v>
      </c>
    </row>
    <row r="53" spans="14:20" x14ac:dyDescent="0.25">
      <c r="N53" s="283">
        <v>0.5</v>
      </c>
      <c r="O53" s="282">
        <f t="shared" si="0"/>
        <v>0.52266875000000002</v>
      </c>
      <c r="P53" s="282">
        <f t="shared" si="1"/>
        <v>0.410634375</v>
      </c>
      <c r="Q53" s="282">
        <f t="shared" si="2"/>
        <v>0.44824999999999993</v>
      </c>
      <c r="R53" s="282">
        <f t="shared" si="3"/>
        <v>0.26130000000000003</v>
      </c>
      <c r="S53" s="282">
        <f t="shared" si="4"/>
        <v>0.56000624999999993</v>
      </c>
      <c r="T53" s="282">
        <f t="shared" si="5"/>
        <v>0.52266875000000002</v>
      </c>
    </row>
    <row r="54" spans="14:20" x14ac:dyDescent="0.25">
      <c r="N54" s="283">
        <v>0.6</v>
      </c>
      <c r="O54" s="282">
        <f t="shared" si="0"/>
        <v>0.57538726399999984</v>
      </c>
      <c r="P54" s="282">
        <f t="shared" si="1"/>
        <v>0.45205958399999996</v>
      </c>
      <c r="Q54" s="282">
        <f t="shared" si="2"/>
        <v>0.49302588799999991</v>
      </c>
      <c r="R54" s="282">
        <f t="shared" si="3"/>
        <v>0.28766595199999995</v>
      </c>
      <c r="S54" s="282">
        <f t="shared" si="4"/>
        <v>0.61651081599999979</v>
      </c>
      <c r="T54" s="282">
        <f t="shared" si="5"/>
        <v>0.57538726399999984</v>
      </c>
    </row>
    <row r="55" spans="14:20" x14ac:dyDescent="0.25">
      <c r="N55" s="283">
        <v>0.7</v>
      </c>
      <c r="O55" s="282">
        <f t="shared" si="0"/>
        <v>0.61737643799999997</v>
      </c>
      <c r="P55" s="282">
        <f t="shared" si="1"/>
        <v>0.48505469299999993</v>
      </c>
      <c r="Q55" s="282">
        <f t="shared" si="2"/>
        <v>0.52854413599999972</v>
      </c>
      <c r="R55" s="282">
        <f t="shared" si="3"/>
        <v>0.30866786399999996</v>
      </c>
      <c r="S55" s="282">
        <f t="shared" si="4"/>
        <v>0.66152482199999985</v>
      </c>
      <c r="T55" s="282">
        <f t="shared" si="5"/>
        <v>0.61737643799999997</v>
      </c>
    </row>
    <row r="56" spans="14:20" x14ac:dyDescent="0.25">
      <c r="N56" s="283">
        <v>0.8</v>
      </c>
      <c r="O56" s="282">
        <f t="shared" si="0"/>
        <v>0.6508224319999999</v>
      </c>
      <c r="P56" s="282">
        <f t="shared" si="1"/>
        <v>0.51133747200000002</v>
      </c>
      <c r="Q56" s="282">
        <f t="shared" si="2"/>
        <v>0.55677382399999986</v>
      </c>
      <c r="R56" s="282">
        <f t="shared" si="3"/>
        <v>0.32539833599999995</v>
      </c>
      <c r="S56" s="282">
        <f t="shared" si="4"/>
        <v>0.69739180799999989</v>
      </c>
      <c r="T56" s="282">
        <f t="shared" si="5"/>
        <v>0.6508224319999999</v>
      </c>
    </row>
    <row r="57" spans="14:20" x14ac:dyDescent="0.25">
      <c r="N57" s="283">
        <v>0.9</v>
      </c>
      <c r="O57" s="282">
        <f t="shared" si="0"/>
        <v>0.67753820599999992</v>
      </c>
      <c r="P57" s="282">
        <f t="shared" si="1"/>
        <v>0.53233253099999989</v>
      </c>
      <c r="Q57" s="282">
        <f t="shared" si="2"/>
        <v>0.57932787199999991</v>
      </c>
      <c r="R57" s="282">
        <f t="shared" si="3"/>
        <v>0.33876324800000002</v>
      </c>
      <c r="S57" s="282">
        <f t="shared" si="4"/>
        <v>0.72605571399999991</v>
      </c>
      <c r="T57" s="282">
        <f t="shared" si="5"/>
        <v>0.67753820599999992</v>
      </c>
    </row>
    <row r="58" spans="14:20" x14ac:dyDescent="0.25">
      <c r="N58" s="283">
        <v>1</v>
      </c>
      <c r="O58" s="282">
        <f t="shared" si="0"/>
        <v>0.69900000000000007</v>
      </c>
      <c r="P58" s="282">
        <f t="shared" si="1"/>
        <v>0.54920000000000002</v>
      </c>
      <c r="Q58" s="282">
        <f t="shared" si="2"/>
        <v>0.59749999999999981</v>
      </c>
      <c r="R58" s="282">
        <f t="shared" si="3"/>
        <v>0.34950000000000003</v>
      </c>
      <c r="S58" s="282">
        <f t="shared" si="4"/>
        <v>0.74909999999999988</v>
      </c>
      <c r="T58" s="282">
        <f t="shared" si="5"/>
        <v>0.69900000000000007</v>
      </c>
    </row>
    <row r="59" spans="14:20" x14ac:dyDescent="0.25">
      <c r="N59" s="283">
        <v>1.2</v>
      </c>
      <c r="O59" s="282">
        <f t="shared" si="0"/>
        <v>0.73060188799999992</v>
      </c>
      <c r="P59" s="282">
        <f t="shared" si="1"/>
        <v>0.57404236800000008</v>
      </c>
      <c r="Q59" s="282">
        <f t="shared" si="2"/>
        <v>0.62449913599999973</v>
      </c>
      <c r="R59" s="282">
        <f t="shared" si="3"/>
        <v>0.36530566400000003</v>
      </c>
      <c r="S59" s="282">
        <f t="shared" si="4"/>
        <v>0.78309587199999986</v>
      </c>
      <c r="T59" s="282">
        <f t="shared" si="5"/>
        <v>0.73060188799999992</v>
      </c>
    </row>
    <row r="60" spans="14:20" x14ac:dyDescent="0.25">
      <c r="N60" s="283">
        <v>1.4</v>
      </c>
      <c r="O60" s="282">
        <f t="shared" si="0"/>
        <v>0.75208985599999989</v>
      </c>
      <c r="P60" s="282">
        <f t="shared" si="1"/>
        <v>0.59094585599999971</v>
      </c>
      <c r="Q60" s="282">
        <f t="shared" si="2"/>
        <v>0.6431414719999996</v>
      </c>
      <c r="R60" s="282">
        <f t="shared" si="3"/>
        <v>0.3760380479999999</v>
      </c>
      <c r="S60" s="282">
        <f t="shared" si="4"/>
        <v>0.80632406399999978</v>
      </c>
      <c r="T60" s="282">
        <f t="shared" si="5"/>
        <v>0.75208985599999989</v>
      </c>
    </row>
    <row r="61" spans="14:20" x14ac:dyDescent="0.25">
      <c r="N61" s="283">
        <v>1.6</v>
      </c>
      <c r="O61" s="282">
        <f t="shared" si="0"/>
        <v>0.76687286399999899</v>
      </c>
      <c r="P61" s="282">
        <f t="shared" si="1"/>
        <v>0.60259558399999957</v>
      </c>
      <c r="Q61" s="282">
        <f t="shared" si="2"/>
        <v>0.65605548799999969</v>
      </c>
      <c r="R61" s="282">
        <f t="shared" si="3"/>
        <v>0.38339155199999969</v>
      </c>
      <c r="S61" s="282">
        <f t="shared" si="4"/>
        <v>0.82246521599999922</v>
      </c>
      <c r="T61" s="282">
        <f t="shared" si="5"/>
        <v>0.76687286399999899</v>
      </c>
    </row>
    <row r="62" spans="14:20" x14ac:dyDescent="0.25">
      <c r="N62" s="283">
        <v>1.8</v>
      </c>
      <c r="O62" s="282">
        <f t="shared" si="0"/>
        <v>0.77647443199999977</v>
      </c>
      <c r="P62" s="282">
        <f t="shared" si="1"/>
        <v>0.61019827199999954</v>
      </c>
      <c r="Q62" s="282">
        <f t="shared" si="2"/>
        <v>0.66431062399999952</v>
      </c>
      <c r="R62" s="282">
        <f t="shared" si="3"/>
        <v>0.38811593600000011</v>
      </c>
      <c r="S62" s="282">
        <f t="shared" si="4"/>
        <v>0.83318780799999925</v>
      </c>
      <c r="T62" s="282">
        <f t="shared" si="5"/>
        <v>0.77647443199999977</v>
      </c>
    </row>
    <row r="63" spans="14:20" x14ac:dyDescent="0.25">
      <c r="N63" s="283">
        <v>2</v>
      </c>
      <c r="O63" s="282">
        <f t="shared" si="0"/>
        <v>0.78170000000000039</v>
      </c>
      <c r="P63" s="282">
        <f t="shared" si="1"/>
        <v>0.61439999999999995</v>
      </c>
      <c r="Q63" s="282">
        <f t="shared" si="2"/>
        <v>0.66859999999999953</v>
      </c>
      <c r="R63" s="282">
        <f t="shared" si="3"/>
        <v>0.39060000000000022</v>
      </c>
      <c r="S63" s="282">
        <f t="shared" si="4"/>
        <v>0.83939999999999926</v>
      </c>
      <c r="T63" s="282">
        <f t="shared" si="5"/>
        <v>0.78170000000000039</v>
      </c>
    </row>
    <row r="64" spans="14:20" x14ac:dyDescent="0.25">
      <c r="N64" s="283">
        <v>2.2000000000000002</v>
      </c>
      <c r="O64" s="282">
        <f t="shared" si="0"/>
        <v>0.78380428800000035</v>
      </c>
      <c r="P64" s="282">
        <f t="shared" si="1"/>
        <v>0.61620396800000077</v>
      </c>
      <c r="Q64" s="282">
        <f t="shared" si="2"/>
        <v>0.67042313600000092</v>
      </c>
      <c r="R64" s="282">
        <f t="shared" si="3"/>
        <v>0.39145526400000036</v>
      </c>
      <c r="S64" s="282">
        <f t="shared" si="4"/>
        <v>0.8425014719999997</v>
      </c>
      <c r="T64" s="282">
        <f t="shared" si="5"/>
        <v>0.78380428800000035</v>
      </c>
    </row>
    <row r="65" spans="14:20" x14ac:dyDescent="0.25">
      <c r="N65" s="283">
        <v>2.2999999999999998</v>
      </c>
      <c r="O65" s="282">
        <f t="shared" si="0"/>
        <v>0.78448818200000014</v>
      </c>
      <c r="P65" s="282">
        <f t="shared" si="1"/>
        <v>0.61684379699999881</v>
      </c>
      <c r="Q65" s="282">
        <f t="shared" si="2"/>
        <v>0.67139002399999981</v>
      </c>
      <c r="R65" s="282">
        <f t="shared" si="3"/>
        <v>0.39166773599999932</v>
      </c>
      <c r="S65" s="282">
        <f t="shared" si="4"/>
        <v>0.84376555799999964</v>
      </c>
      <c r="T65" s="282">
        <f t="shared" si="5"/>
        <v>0.78448818200000014</v>
      </c>
    </row>
    <row r="66" spans="14:20" x14ac:dyDescent="0.25">
      <c r="N66" s="283">
        <v>2.5</v>
      </c>
      <c r="O66" s="282">
        <f t="shared" si="0"/>
        <v>0.78811874999999987</v>
      </c>
      <c r="P66" s="282">
        <f t="shared" si="1"/>
        <v>0.61997187499999973</v>
      </c>
      <c r="Q66" s="282">
        <f t="shared" si="2"/>
        <v>0.67699999999999949</v>
      </c>
      <c r="R66" s="282">
        <f t="shared" si="3"/>
        <v>0.39315000000000072</v>
      </c>
      <c r="S66" s="282">
        <f t="shared" si="4"/>
        <v>0.84898124999999891</v>
      </c>
      <c r="T66" s="282">
        <f t="shared" si="5"/>
        <v>0.78811874999999987</v>
      </c>
    </row>
    <row r="67" spans="14:20" x14ac:dyDescent="0.25">
      <c r="N67" s="283">
        <v>2.8</v>
      </c>
      <c r="O67" s="282">
        <f t="shared" si="0"/>
        <v>0.81519043199999885</v>
      </c>
      <c r="P67" s="282">
        <f t="shared" si="1"/>
        <v>0.64189107199999917</v>
      </c>
      <c r="Q67" s="282">
        <f t="shared" si="2"/>
        <v>0.71302342400000007</v>
      </c>
      <c r="R67" s="282">
        <f t="shared" si="3"/>
        <v>0.4059615359999999</v>
      </c>
      <c r="S67" s="282">
        <f t="shared" si="4"/>
        <v>0.88079980800000013</v>
      </c>
      <c r="T67" s="282">
        <f t="shared" si="5"/>
        <v>0.81519043199999885</v>
      </c>
    </row>
    <row r="68" spans="14:20" x14ac:dyDescent="0.25">
      <c r="N68" s="283">
        <v>3</v>
      </c>
      <c r="O68" s="282">
        <f t="shared" si="0"/>
        <v>0.86719999999999786</v>
      </c>
      <c r="P68" s="282">
        <f t="shared" si="1"/>
        <v>0.68339999999999723</v>
      </c>
      <c r="Q68" s="282">
        <f t="shared" si="2"/>
        <v>0.77750000000000152</v>
      </c>
      <c r="R68" s="282">
        <f t="shared" si="3"/>
        <v>0.43129999999999974</v>
      </c>
      <c r="S68" s="282">
        <f t="shared" si="4"/>
        <v>0.93909999999999916</v>
      </c>
      <c r="T68" s="282">
        <f t="shared" si="5"/>
        <v>0.86719999999999786</v>
      </c>
    </row>
    <row r="108" spans="1:1" x14ac:dyDescent="0.25">
      <c r="A108" s="272" t="s">
        <v>289</v>
      </c>
    </row>
    <row r="109" spans="1:1" x14ac:dyDescent="0.25">
      <c r="A109" s="284" t="s">
        <v>291</v>
      </c>
    </row>
    <row r="110" spans="1:1" ht="16.5" customHeight="1" x14ac:dyDescent="0.25">
      <c r="A110" s="272" t="s">
        <v>292</v>
      </c>
    </row>
    <row r="111" spans="1:1" x14ac:dyDescent="0.25">
      <c r="A111" s="272" t="s">
        <v>293</v>
      </c>
    </row>
    <row r="112" spans="1:1" x14ac:dyDescent="0.25">
      <c r="A112" s="272" t="s">
        <v>294</v>
      </c>
    </row>
  </sheetData>
  <mergeCells count="1">
    <mergeCell ref="A2:O2"/>
  </mergeCells>
  <hyperlinks>
    <hyperlink ref="B38" r:id="rId1"/>
    <hyperlink ref="N45" r:id="rId2"/>
    <hyperlink ref="N46" r:id="rId3"/>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 Page</vt:lpstr>
      <vt:lpstr>Instructions&amp;Overview</vt:lpstr>
      <vt:lpstr>LandUseLoadingRatesLookUpTable</vt:lpstr>
      <vt:lpstr>MMW Output</vt:lpstr>
      <vt:lpstr>Farm Animal TN and TP Loading</vt:lpstr>
      <vt:lpstr>Stream Bank SedimentLoadingRate</vt:lpstr>
      <vt:lpstr>Stream Bank Nitrogen Loading</vt:lpstr>
      <vt:lpstr>Stream Bank Phosphorus Loading</vt:lpstr>
      <vt:lpstr>Perf Std Approach</vt:lpstr>
      <vt:lpstr>Urban BMPs</vt:lpstr>
      <vt:lpstr>Agricultural BMPs (Existing)</vt:lpstr>
      <vt:lpstr>Agricultural BMPs (Proposed)</vt:lpstr>
      <vt:lpstr>Total Load Reductions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Aufdenkampe</dc:creator>
  <cp:lastModifiedBy>bevans</cp:lastModifiedBy>
  <dcterms:created xsi:type="dcterms:W3CDTF">2018-07-24T13:08:45Z</dcterms:created>
  <dcterms:modified xsi:type="dcterms:W3CDTF">2018-07-25T21:04:28Z</dcterms:modified>
</cp:coreProperties>
</file>