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31O0DC2\Users\Public\PROGRAMACIÓN EMPRE S.A\nuevos reportes de sistema de apartado\"/>
    </mc:Choice>
  </mc:AlternateContent>
  <bookViews>
    <workbookView xWindow="0" yWindow="0" windowWidth="14370" windowHeight="7335" activeTab="6"/>
  </bookViews>
  <sheets>
    <sheet name="Hoja1" sheetId="1" r:id="rId1"/>
    <sheet name="Hoja4" sheetId="4" r:id="rId2"/>
    <sheet name="Hoja3" sheetId="3" r:id="rId3"/>
    <sheet name="Ad." sheetId="5" r:id="rId4"/>
    <sheet name="Adilio%" sheetId="2" r:id="rId5"/>
    <sheet name="Adilio% variositems" sheetId="6" r:id="rId6"/>
    <sheet name="Hoja2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7" l="1"/>
  <c r="A17" i="7"/>
  <c r="C11" i="7"/>
  <c r="C12" i="7"/>
  <c r="D6" i="6"/>
  <c r="B6" i="6"/>
  <c r="D5" i="7"/>
  <c r="C5" i="7"/>
  <c r="C4" i="7"/>
  <c r="C3" i="7"/>
  <c r="C2" i="7"/>
  <c r="C1" i="7"/>
  <c r="A1" i="7"/>
  <c r="D6" i="2"/>
  <c r="C14" i="7" l="1"/>
  <c r="F72" i="2"/>
  <c r="C66" i="2"/>
  <c r="F12" i="6" l="1"/>
  <c r="D5" i="6"/>
  <c r="F16" i="6"/>
  <c r="D3" i="6"/>
  <c r="F18" i="6" l="1"/>
  <c r="F19" i="6" s="1"/>
  <c r="F3" i="6"/>
  <c r="B7" i="6"/>
  <c r="F16" i="2"/>
  <c r="AA9" i="5"/>
  <c r="AC9" i="5" s="1"/>
  <c r="AD9" i="5" s="1"/>
  <c r="AG3" i="5"/>
  <c r="J16" i="5"/>
  <c r="AI13" i="5"/>
  <c r="W13" i="5"/>
  <c r="AJ12" i="5"/>
  <c r="AJ11" i="5"/>
  <c r="AJ10" i="5"/>
  <c r="AG10" i="5"/>
  <c r="AG11" i="5" s="1"/>
  <c r="AG12" i="5" s="1"/>
  <c r="AB10" i="5"/>
  <c r="AB11" i="5" s="1"/>
  <c r="AB12" i="5" s="1"/>
  <c r="Z10" i="5"/>
  <c r="Z11" i="5" s="1"/>
  <c r="Z12" i="5" s="1"/>
  <c r="AJ9" i="5"/>
  <c r="AJ13" i="5" s="1"/>
  <c r="AJ4" i="5"/>
  <c r="Y4" i="5"/>
  <c r="V4" i="5"/>
  <c r="N4" i="5"/>
  <c r="I4" i="5"/>
  <c r="E4" i="5"/>
  <c r="B4" i="5"/>
  <c r="AL3" i="5"/>
  <c r="AL4" i="5" s="1"/>
  <c r="AI4" i="5"/>
  <c r="Z3" i="5"/>
  <c r="Z4" i="5" s="1"/>
  <c r="P3" i="5"/>
  <c r="P4" i="5" s="1"/>
  <c r="L3" i="5"/>
  <c r="M3" i="5" s="1"/>
  <c r="M4" i="5" s="1"/>
  <c r="J3" i="5"/>
  <c r="J4" i="5" s="1"/>
  <c r="H3" i="5"/>
  <c r="H4" i="5" s="1"/>
  <c r="D7" i="6" l="1"/>
  <c r="D11" i="6" s="1"/>
  <c r="C11" i="6"/>
  <c r="F5" i="6"/>
  <c r="B15" i="6" s="1"/>
  <c r="AE9" i="5"/>
  <c r="AN9" i="5"/>
  <c r="AA10" i="5"/>
  <c r="AC10" i="5" s="1"/>
  <c r="AD10" i="5" s="1"/>
  <c r="AF10" i="5" s="1"/>
  <c r="AH10" i="5" s="1"/>
  <c r="AB3" i="5"/>
  <c r="AC3" i="5" s="1"/>
  <c r="AJ16" i="5"/>
  <c r="AN10" i="5"/>
  <c r="AN11" i="5" s="1"/>
  <c r="AN12" i="5" s="1"/>
  <c r="AF9" i="5"/>
  <c r="AH9" i="5" s="1"/>
  <c r="Q3" i="5"/>
  <c r="N16" i="5"/>
  <c r="O16" i="5"/>
  <c r="B13" i="6" l="1"/>
  <c r="C13" i="6" s="1"/>
  <c r="B14" i="6"/>
  <c r="D14" i="6" s="1"/>
  <c r="G14" i="6" s="1"/>
  <c r="B12" i="6"/>
  <c r="E12" i="6" s="1"/>
  <c r="F7" i="6"/>
  <c r="C15" i="6"/>
  <c r="C14" i="6"/>
  <c r="D13" i="6"/>
  <c r="G13" i="6" s="1"/>
  <c r="D15" i="6"/>
  <c r="G15" i="6" s="1"/>
  <c r="AD3" i="5"/>
  <c r="AE3" i="5"/>
  <c r="AK9" i="5"/>
  <c r="AA11" i="5"/>
  <c r="AG4" i="5"/>
  <c r="AB4" i="5"/>
  <c r="AM3" i="5"/>
  <c r="Q4" i="5"/>
  <c r="R3" i="5"/>
  <c r="R4" i="5" s="1"/>
  <c r="AK10" i="5"/>
  <c r="D3" i="2"/>
  <c r="D5" i="2" s="1"/>
  <c r="B7" i="4"/>
  <c r="B6" i="4"/>
  <c r="F2" i="4"/>
  <c r="G2" i="4" s="1"/>
  <c r="E2" i="4"/>
  <c r="B6" i="2"/>
  <c r="AA9" i="3"/>
  <c r="E13" i="6" l="1"/>
  <c r="E14" i="6" s="1"/>
  <c r="E15" i="6" s="1"/>
  <c r="C12" i="6"/>
  <c r="B16" i="6"/>
  <c r="D12" i="6"/>
  <c r="D16" i="6" s="1"/>
  <c r="D18" i="6" s="1"/>
  <c r="D19" i="6" s="1"/>
  <c r="B18" i="6"/>
  <c r="B19" i="6" s="1"/>
  <c r="C16" i="6"/>
  <c r="C18" i="6" s="1"/>
  <c r="C19" i="6" s="1"/>
  <c r="B7" i="2"/>
  <c r="C11" i="2" s="1"/>
  <c r="AA12" i="5"/>
  <c r="AC12" i="5" s="1"/>
  <c r="AD12" i="5" s="1"/>
  <c r="AC11" i="5"/>
  <c r="AD11" i="5" s="1"/>
  <c r="AN3" i="5"/>
  <c r="AN4" i="5" s="1"/>
  <c r="AM4" i="5"/>
  <c r="AO11" i="5"/>
  <c r="AM10" i="5"/>
  <c r="AO10" i="5"/>
  <c r="AM9" i="5"/>
  <c r="F3" i="2"/>
  <c r="F18" i="2"/>
  <c r="F19" i="2" s="1"/>
  <c r="AF10" i="3"/>
  <c r="AF11" i="3" s="1"/>
  <c r="AF12" i="3" s="1"/>
  <c r="G12" i="6" l="1"/>
  <c r="G16" i="6" s="1"/>
  <c r="B15" i="2"/>
  <c r="C15" i="2" s="1"/>
  <c r="F5" i="2"/>
  <c r="AF11" i="5"/>
  <c r="AH11" i="5" s="1"/>
  <c r="AK11" i="5"/>
  <c r="AF12" i="5"/>
  <c r="AH12" i="5" s="1"/>
  <c r="AK12" i="5"/>
  <c r="D7" i="2"/>
  <c r="D11" i="2" s="1"/>
  <c r="AB10" i="3"/>
  <c r="AA10" i="3"/>
  <c r="AA11" i="3" s="1"/>
  <c r="Z10" i="3"/>
  <c r="Z11" i="3" s="1"/>
  <c r="Z12" i="3" s="1"/>
  <c r="C14" i="2" l="1"/>
  <c r="E12" i="2"/>
  <c r="C12" i="2"/>
  <c r="C13" i="2"/>
  <c r="D12" i="2"/>
  <c r="G12" i="2" s="1"/>
  <c r="D15" i="2"/>
  <c r="G15" i="2" s="1"/>
  <c r="AM11" i="5"/>
  <c r="AO12" i="5"/>
  <c r="AK13" i="5"/>
  <c r="AH13" i="5"/>
  <c r="AO13" i="5"/>
  <c r="AM12" i="5"/>
  <c r="F7" i="2"/>
  <c r="AC10" i="3"/>
  <c r="AD10" i="3" s="1"/>
  <c r="AB11" i="3"/>
  <c r="AB12" i="3" s="1"/>
  <c r="AA12" i="3"/>
  <c r="AC11" i="3"/>
  <c r="AD11" i="3" s="1"/>
  <c r="AE10" i="3"/>
  <c r="AG10" i="3" s="1"/>
  <c r="AI11" i="3"/>
  <c r="AI10" i="3"/>
  <c r="D14" i="2" l="1"/>
  <c r="G14" i="2" s="1"/>
  <c r="D13" i="2"/>
  <c r="G13" i="2" s="1"/>
  <c r="B16" i="2"/>
  <c r="B18" i="2"/>
  <c r="B19" i="2" s="1"/>
  <c r="E13" i="2"/>
  <c r="E14" i="2" s="1"/>
  <c r="E15" i="2" s="1"/>
  <c r="C16" i="2"/>
  <c r="C18" i="2" s="1"/>
  <c r="C19" i="2" s="1"/>
  <c r="D16" i="2"/>
  <c r="D18" i="2" s="1"/>
  <c r="D19" i="2" s="1"/>
  <c r="AC12" i="3"/>
  <c r="AD12" i="3" s="1"/>
  <c r="AE12" i="3" s="1"/>
  <c r="AG12" i="3" s="1"/>
  <c r="AE11" i="3"/>
  <c r="AG11" i="3" s="1"/>
  <c r="AI9" i="3"/>
  <c r="G16" i="2" l="1"/>
  <c r="W13" i="3"/>
  <c r="AI4" i="3"/>
  <c r="Z4" i="3"/>
  <c r="AC4" i="3"/>
  <c r="W4" i="3"/>
  <c r="AK3" i="3"/>
  <c r="AK4" i="3" s="1"/>
  <c r="AG3" i="3"/>
  <c r="AH3" i="3" s="1"/>
  <c r="AH4" i="3" s="1"/>
  <c r="AA3" i="3"/>
  <c r="AA4" i="3" s="1"/>
  <c r="AF3" i="3"/>
  <c r="J16" i="3"/>
  <c r="M3" i="3"/>
  <c r="N3" i="3" s="1"/>
  <c r="AC9" i="3" l="1"/>
  <c r="AD9" i="3" s="1"/>
  <c r="AF4" i="3"/>
  <c r="AL3" i="3"/>
  <c r="AL4" i="3" s="1"/>
  <c r="N16" i="3"/>
  <c r="O16" i="3"/>
  <c r="C4" i="3"/>
  <c r="F4" i="3"/>
  <c r="J4" i="3"/>
  <c r="O4" i="3"/>
  <c r="Q3" i="3"/>
  <c r="R3" i="3" s="1"/>
  <c r="S3" i="3" s="1"/>
  <c r="S4" i="3" s="1"/>
  <c r="K3" i="3"/>
  <c r="N4" i="3" s="1"/>
  <c r="I3" i="3"/>
  <c r="I4" i="3" s="1"/>
  <c r="J4" i="1"/>
  <c r="L4" i="1" s="1"/>
  <c r="AM9" i="3" l="1"/>
  <c r="AM10" i="3" s="1"/>
  <c r="AM11" i="3" s="1"/>
  <c r="AE9" i="3"/>
  <c r="AG9" i="3" s="1"/>
  <c r="AG13" i="3" s="1"/>
  <c r="AJ16" i="3"/>
  <c r="AM3" i="3"/>
  <c r="AM4" i="3" s="1"/>
  <c r="Q4" i="3"/>
  <c r="R4" i="3"/>
  <c r="K4" i="3"/>
  <c r="M4" i="1"/>
  <c r="AJ10" i="3" l="1"/>
  <c r="AO11" i="3" s="1"/>
  <c r="AJ9" i="3"/>
  <c r="AJ12" i="3"/>
  <c r="AO13" i="3" s="1"/>
  <c r="AJ11" i="3"/>
  <c r="AH13" i="3"/>
  <c r="AI12" i="3"/>
  <c r="AI13" i="3" s="1"/>
  <c r="AM12" i="3"/>
  <c r="AO10" i="3" l="1"/>
  <c r="AL9" i="3"/>
  <c r="AO12" i="3"/>
  <c r="AL11" i="3"/>
  <c r="AL12" i="3"/>
  <c r="AL10" i="3" l="1"/>
  <c r="AJ13" i="3"/>
</calcChain>
</file>

<file path=xl/comments1.xml><?xml version="1.0" encoding="utf-8"?>
<comments xmlns="http://schemas.openxmlformats.org/spreadsheetml/2006/main">
  <authors>
    <author>home</author>
  </authors>
  <commentList>
    <comment ref="C9" authorId="0" shapeId="0">
      <text>
        <r>
          <rPr>
            <b/>
            <sz val="9"/>
            <color indexed="81"/>
            <rFont val="Tahoma"/>
            <family val="2"/>
          </rPr>
          <t>3 DECIMALES PARA REDONDEO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3 DECIMALES PARA REDONDEO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= SI($F$3&gt;=H15;$F$5;0)</t>
        </r>
      </text>
    </comment>
  </commentList>
</comments>
</file>

<file path=xl/comments2.xml><?xml version="1.0" encoding="utf-8"?>
<comments xmlns="http://schemas.openxmlformats.org/spreadsheetml/2006/main">
  <authors>
    <author>home</author>
  </authors>
  <commentList>
    <comment ref="C9" authorId="0" shapeId="0">
      <text>
        <r>
          <rPr>
            <b/>
            <sz val="9"/>
            <color indexed="81"/>
            <rFont val="Tahoma"/>
            <family val="2"/>
          </rPr>
          <t>3 DECIMALES PARA REDONDEO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3 DECIMALES PARA REDONDEO</t>
        </r>
      </text>
    </comment>
  </commentList>
</comments>
</file>

<file path=xl/sharedStrings.xml><?xml version="1.0" encoding="utf-8"?>
<sst xmlns="http://schemas.openxmlformats.org/spreadsheetml/2006/main" count="213" uniqueCount="70">
  <si>
    <t>ROC#</t>
  </si>
  <si>
    <t>ANULADO</t>
  </si>
  <si>
    <t>FECHA</t>
  </si>
  <si>
    <t>N° CONTRATO AP</t>
  </si>
  <si>
    <t>PRECIO LIQUIDACION</t>
  </si>
  <si>
    <t>UTILIDAD $</t>
  </si>
  <si>
    <t>MONTO C$</t>
  </si>
  <si>
    <t>MONTO $</t>
  </si>
  <si>
    <t xml:space="preserve">T/C </t>
  </si>
  <si>
    <t>NO</t>
  </si>
  <si>
    <t>VALORADO</t>
  </si>
  <si>
    <t>N° DE CUOTAS</t>
  </si>
  <si>
    <t>CUOTA N°</t>
  </si>
  <si>
    <t>% UTILIDAD TOTAL</t>
  </si>
  <si>
    <t>TOTAL AP $</t>
  </si>
  <si>
    <t>MONTO AP $</t>
  </si>
  <si>
    <t>VALOR CUOTA $</t>
  </si>
  <si>
    <t>SALDO $</t>
  </si>
  <si>
    <t>MONTO PAGADO C$</t>
  </si>
  <si>
    <t>MONTO PAGADO $</t>
  </si>
  <si>
    <t>UTILIDAD POR CUOTA $</t>
  </si>
  <si>
    <t>SALDO C$</t>
  </si>
  <si>
    <t>CONTRATO AP</t>
  </si>
  <si>
    <t>Total</t>
  </si>
  <si>
    <t>% UTILIDAD SOBRE PRE LIQ</t>
  </si>
  <si>
    <t>Nº CONTRATO AP</t>
  </si>
  <si>
    <t>MONTO UTILIDAD $</t>
  </si>
  <si>
    <t>ROC AP #</t>
  </si>
  <si>
    <t>% UTILIDAD AP</t>
  </si>
  <si>
    <t>CÒMO AFECTA LA UTILIDAD POR CUOTA EL HECHO QUE EL CLIENTE PAGUE UN MONTO MAYOR AL DE SU CUOTA¿?, A COMO ESTA PLANTEADO AUNQUE SE DIGITE UN MONTO MAYOR LA UTILIDAD POR CUOTA SIGUE SIENDO LA MISMA, Y SI EN VEZ DE 3 CUOTAS LA CANCELA EN DOS? HABRÀ ENTRADO LA MISMA CANTIDAD DE UTILIDAD?</t>
  </si>
  <si>
    <t>UTILIDAD POR CUOTA C$</t>
  </si>
  <si>
    <t>PRECIO LIQUIDACION $</t>
  </si>
  <si>
    <t>Valorado</t>
  </si>
  <si>
    <t>Utilidad</t>
  </si>
  <si>
    <t>valor debe de ser gravado en tabla</t>
  </si>
  <si>
    <t>UTILIDAD POR CUOTA ACUMULATIVO $</t>
  </si>
  <si>
    <t>EMPEÑO</t>
  </si>
  <si>
    <t>PORCENTAJES  SISTEMA COSTO</t>
  </si>
  <si>
    <t>PORCENTAJE SISTEMA UTILIDAD</t>
  </si>
  <si>
    <t>MONTO APARTADO</t>
  </si>
  <si>
    <t>PAGO1</t>
  </si>
  <si>
    <t>PAGO2</t>
  </si>
  <si>
    <t>PAGO3</t>
  </si>
  <si>
    <t>PAGO4</t>
  </si>
  <si>
    <t>UTILIDAD POR CUOTA</t>
  </si>
  <si>
    <t>INTERES DEL EMPEÑO</t>
  </si>
  <si>
    <t>TASA COMPRA</t>
  </si>
  <si>
    <t>TASA VENTA</t>
  </si>
  <si>
    <t>VALOR CUOTA</t>
  </si>
  <si>
    <t>PARCIAL PARA VALORADO</t>
  </si>
  <si>
    <t>VALOR DEL EMPEÑO</t>
  </si>
  <si>
    <t>VALIDACION</t>
  </si>
  <si>
    <t>% UTILIDAD APARTADO</t>
  </si>
  <si>
    <t>OBSERVACIONES DE LA VALIDACION</t>
  </si>
  <si>
    <t>VALIDACION SISTEMA DE UTILIDAD</t>
  </si>
  <si>
    <t>Mejorado por Adilio 16/11/20</t>
  </si>
  <si>
    <t>UTILIDAD TOTAL</t>
  </si>
  <si>
    <t>ROC AP#</t>
  </si>
  <si>
    <t>UTILIDAD  TOTAL APARTADO</t>
  </si>
  <si>
    <t>UTILIDAD TOTAL AP $</t>
  </si>
  <si>
    <t>MONTO PAGADO EN SISTEMA</t>
  </si>
  <si>
    <t>Muestra bajo estudio, Contrato apartado numero 142, Roc 377, 380,385</t>
  </si>
  <si>
    <t>campos verdes, son editables</t>
  </si>
  <si>
    <t>DIFERENCIA EXCEL VS EMPRESA</t>
  </si>
  <si>
    <t>SALDO</t>
  </si>
  <si>
    <t>ITEMS 2</t>
  </si>
  <si>
    <t>ITEMS 3</t>
  </si>
  <si>
    <r>
      <t xml:space="preserve">CUANDO SON </t>
    </r>
    <r>
      <rPr>
        <b/>
        <sz val="12"/>
        <color theme="1"/>
        <rFont val="Calibri"/>
        <family val="2"/>
        <scheme val="minor"/>
      </rPr>
      <t>VARIOS ARTICULOS</t>
    </r>
    <r>
      <rPr>
        <sz val="11"/>
        <color theme="1"/>
        <rFont val="Calibri"/>
        <family val="2"/>
        <scheme val="minor"/>
      </rPr>
      <t xml:space="preserve"> EN UN MISMO CONTRATO DE SISTEMA DE APARTADO LAS UTILIDADES </t>
    </r>
    <r>
      <rPr>
        <b/>
        <sz val="11"/>
        <color theme="1"/>
        <rFont val="Calibri"/>
        <family val="2"/>
        <scheme val="minor"/>
      </rPr>
      <t>NO PEGAN</t>
    </r>
  </si>
  <si>
    <t>14.95/14.95</t>
  </si>
  <si>
    <t>UTILIDAD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</si>
</sst>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"/>
    <numFmt numFmtId="166" formatCode="0.000%"/>
    <numFmt numFmtId="167" formatCode="0.00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sz val="11"/>
      <color theme="0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/>
    <xf numFmtId="0" fontId="1" fillId="0" borderId="5" xfId="0" applyFont="1" applyBorder="1"/>
    <xf numFmtId="14" fontId="1" fillId="0" borderId="5" xfId="0" applyNumberFormat="1" applyFont="1" applyBorder="1"/>
    <xf numFmtId="2" fontId="1" fillId="0" borderId="5" xfId="0" applyNumberFormat="1" applyFont="1" applyBorder="1"/>
    <xf numFmtId="0" fontId="1" fillId="2" borderId="5" xfId="0" applyFont="1" applyFill="1" applyBorder="1"/>
    <xf numFmtId="2" fontId="1" fillId="0" borderId="6" xfId="0" applyNumberFormat="1" applyFont="1" applyBorder="1"/>
    <xf numFmtId="2" fontId="1" fillId="3" borderId="5" xfId="0" applyNumberFormat="1" applyFont="1" applyFill="1" applyBorder="1"/>
    <xf numFmtId="0" fontId="5" fillId="0" borderId="5" xfId="0" applyFont="1" applyBorder="1"/>
    <xf numFmtId="0" fontId="3" fillId="4" borderId="6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1" fillId="5" borderId="6" xfId="0" applyFont="1" applyFill="1" applyBorder="1"/>
    <xf numFmtId="14" fontId="1" fillId="5" borderId="6" xfId="0" applyNumberFormat="1" applyFont="1" applyFill="1" applyBorder="1"/>
    <xf numFmtId="2" fontId="1" fillId="5" borderId="6" xfId="0" applyNumberFormat="1" applyFont="1" applyFill="1" applyBorder="1"/>
    <xf numFmtId="2" fontId="1" fillId="3" borderId="6" xfId="0" applyNumberFormat="1" applyFont="1" applyFill="1" applyBorder="1"/>
    <xf numFmtId="0" fontId="1" fillId="2" borderId="6" xfId="0" applyFont="1" applyFill="1" applyBorder="1"/>
    <xf numFmtId="2" fontId="1" fillId="5" borderId="5" xfId="0" applyNumberFormat="1" applyFont="1" applyFill="1" applyBorder="1"/>
    <xf numFmtId="0" fontId="4" fillId="0" borderId="10" xfId="0" applyFont="1" applyBorder="1"/>
    <xf numFmtId="2" fontId="4" fillId="0" borderId="10" xfId="0" applyNumberFormat="1" applyFont="1" applyBorder="1"/>
    <xf numFmtId="2" fontId="4" fillId="3" borderId="10" xfId="0" applyNumberFormat="1" applyFont="1" applyFill="1" applyBorder="1"/>
    <xf numFmtId="0" fontId="4" fillId="2" borderId="10" xfId="0" applyFont="1" applyFill="1" applyBorder="1"/>
    <xf numFmtId="2" fontId="4" fillId="0" borderId="7" xfId="0" applyNumberFormat="1" applyFont="1" applyBorder="1"/>
    <xf numFmtId="0" fontId="1" fillId="5" borderId="7" xfId="0" applyFont="1" applyFill="1" applyBorder="1" applyAlignment="1">
      <alignment horizontal="center" vertical="center"/>
    </xf>
    <xf numFmtId="14" fontId="1" fillId="5" borderId="7" xfId="0" applyNumberFormat="1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1" fillId="5" borderId="7" xfId="0" applyFont="1" applyFill="1" applyBorder="1"/>
    <xf numFmtId="2" fontId="1" fillId="5" borderId="7" xfId="0" applyNumberFormat="1" applyFont="1" applyFill="1" applyBorder="1"/>
    <xf numFmtId="2" fontId="2" fillId="3" borderId="7" xfId="0" applyNumberFormat="1" applyFont="1" applyFill="1" applyBorder="1" applyAlignment="1">
      <alignment horizontal="center" vertical="center"/>
    </xf>
    <xf numFmtId="2" fontId="1" fillId="6" borderId="7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2" fontId="4" fillId="5" borderId="11" xfId="0" applyNumberFormat="1" applyFont="1" applyFill="1" applyBorder="1" applyAlignment="1">
      <alignment horizontal="center" vertical="center"/>
    </xf>
    <xf numFmtId="2" fontId="1" fillId="5" borderId="5" xfId="0" applyNumberFormat="1" applyFont="1" applyFill="1" applyBorder="1" applyAlignment="1">
      <alignment horizontal="center" vertical="center"/>
    </xf>
    <xf numFmtId="2" fontId="1" fillId="6" borderId="5" xfId="0" applyNumberFormat="1" applyFont="1" applyFill="1" applyBorder="1" applyAlignment="1">
      <alignment horizontal="center" vertical="center"/>
    </xf>
    <xf numFmtId="2" fontId="4" fillId="3" borderId="12" xfId="0" applyNumberFormat="1" applyFont="1" applyFill="1" applyBorder="1" applyAlignment="1">
      <alignment horizontal="center" vertical="center"/>
    </xf>
    <xf numFmtId="2" fontId="4" fillId="3" borderId="1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0" fillId="11" borderId="0" xfId="0" applyFill="1"/>
    <xf numFmtId="9" fontId="0" fillId="11" borderId="0" xfId="1" applyFont="1" applyFill="1"/>
    <xf numFmtId="0" fontId="2" fillId="0" borderId="7" xfId="0" applyFont="1" applyBorder="1"/>
    <xf numFmtId="165" fontId="0" fillId="11" borderId="0" xfId="1" applyNumberFormat="1" applyFont="1" applyFill="1"/>
    <xf numFmtId="0" fontId="2" fillId="0" borderId="0" xfId="0" applyFont="1" applyAlignment="1">
      <alignment horizontal="left"/>
    </xf>
    <xf numFmtId="164" fontId="0" fillId="9" borderId="0" xfId="0" applyNumberFormat="1" applyFill="1"/>
    <xf numFmtId="164" fontId="0" fillId="10" borderId="0" xfId="0" applyNumberFormat="1" applyFill="1"/>
    <xf numFmtId="164" fontId="0" fillId="11" borderId="7" xfId="0" applyNumberForma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2" fontId="2" fillId="10" borderId="0" xfId="0" applyNumberFormat="1" applyFont="1" applyFill="1" applyAlignment="1">
      <alignment horizontal="center"/>
    </xf>
    <xf numFmtId="2" fontId="2" fillId="13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center" vertical="center"/>
    </xf>
    <xf numFmtId="166" fontId="2" fillId="8" borderId="0" xfId="0" applyNumberFormat="1" applyFont="1" applyFill="1"/>
    <xf numFmtId="166" fontId="2" fillId="8" borderId="0" xfId="1" applyNumberFormat="1" applyFont="1" applyFill="1"/>
    <xf numFmtId="0" fontId="1" fillId="0" borderId="0" xfId="0" applyFont="1" applyBorder="1"/>
    <xf numFmtId="2" fontId="1" fillId="0" borderId="0" xfId="0" applyNumberFormat="1" applyFont="1" applyBorder="1"/>
    <xf numFmtId="0" fontId="5" fillId="0" borderId="0" xfId="0" applyFont="1" applyBorder="1"/>
    <xf numFmtId="2" fontId="1" fillId="3" borderId="0" xfId="0" applyNumberFormat="1" applyFont="1" applyFill="1" applyBorder="1"/>
    <xf numFmtId="0" fontId="1" fillId="2" borderId="0" xfId="0" applyFont="1" applyFill="1" applyBorder="1"/>
    <xf numFmtId="0" fontId="4" fillId="0" borderId="0" xfId="0" applyFont="1" applyBorder="1"/>
    <xf numFmtId="0" fontId="4" fillId="0" borderId="8" xfId="0" applyFont="1" applyBorder="1"/>
    <xf numFmtId="2" fontId="4" fillId="0" borderId="8" xfId="0" applyNumberFormat="1" applyFont="1" applyBorder="1"/>
    <xf numFmtId="2" fontId="4" fillId="0" borderId="4" xfId="0" applyNumberFormat="1" applyFont="1" applyBorder="1"/>
    <xf numFmtId="0" fontId="3" fillId="14" borderId="6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166" fontId="2" fillId="8" borderId="7" xfId="0" applyNumberFormat="1" applyFont="1" applyFill="1" applyBorder="1" applyAlignment="1">
      <alignment horizontal="center" vertical="center"/>
    </xf>
    <xf numFmtId="2" fontId="2" fillId="15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9" fontId="2" fillId="8" borderId="0" xfId="0" applyNumberFormat="1" applyFont="1" applyFill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7" fontId="0" fillId="0" borderId="0" xfId="0" applyNumberFormat="1"/>
    <xf numFmtId="0" fontId="2" fillId="0" borderId="0" xfId="0" applyFont="1" applyAlignment="1">
      <alignment horizontal="center" vertical="center"/>
    </xf>
    <xf numFmtId="167" fontId="0" fillId="16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0" fontId="0" fillId="0" borderId="7" xfId="0" applyBorder="1"/>
    <xf numFmtId="2" fontId="0" fillId="0" borderId="7" xfId="0" applyNumberFormat="1" applyBorder="1"/>
    <xf numFmtId="0" fontId="2" fillId="17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2" borderId="0" xfId="0" applyFont="1" applyFill="1" applyAlignment="1">
      <alignment horizontal="left"/>
    </xf>
    <xf numFmtId="0" fontId="0" fillId="11" borderId="7" xfId="0" applyFill="1" applyBorder="1" applyAlignment="1">
      <alignment horizontal="center" vertical="center"/>
    </xf>
    <xf numFmtId="0" fontId="0" fillId="11" borderId="7" xfId="0" applyFill="1" applyBorder="1"/>
    <xf numFmtId="2" fontId="0" fillId="11" borderId="7" xfId="0" applyNumberFormat="1" applyFill="1" applyBorder="1" applyAlignment="1">
      <alignment horizontal="center" vertical="center"/>
    </xf>
    <xf numFmtId="0" fontId="0" fillId="18" borderId="0" xfId="0" applyFill="1"/>
    <xf numFmtId="0" fontId="2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5" xfId="0" applyBorder="1"/>
    <xf numFmtId="0" fontId="0" fillId="0" borderId="0" xfId="0" applyAlignment="1">
      <alignment horizontal="left"/>
    </xf>
    <xf numFmtId="0" fontId="0" fillId="0" borderId="15" xfId="0" applyBorder="1" applyAlignment="1">
      <alignment horizontal="left"/>
    </xf>
    <xf numFmtId="0" fontId="6" fillId="2" borderId="8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 wrapText="1"/>
    </xf>
    <xf numFmtId="0" fontId="6" fillId="2" borderId="9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2" fontId="2" fillId="7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2" fontId="2" fillId="12" borderId="0" xfId="0" applyNumberFormat="1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0" fillId="19" borderId="0" xfId="0" applyFill="1" applyAlignment="1">
      <alignment horizontal="center"/>
    </xf>
    <xf numFmtId="0" fontId="9" fillId="7" borderId="0" xfId="0" applyFont="1" applyFill="1" applyAlignment="1">
      <alignment horizontal="center"/>
    </xf>
    <xf numFmtId="164" fontId="0" fillId="11" borderId="0" xfId="1" applyNumberFormat="1" applyFont="1" applyFill="1"/>
    <xf numFmtId="2" fontId="0" fillId="10" borderId="0" xfId="0" applyNumberFormat="1" applyFill="1"/>
    <xf numFmtId="0" fontId="12" fillId="0" borderId="0" xfId="0" applyFont="1"/>
  </cellXfs>
  <cellStyles count="2">
    <cellStyle name="Normal" xfId="0" builtinId="0"/>
    <cellStyle name="Porcentaje" xfId="1" builtinId="5"/>
  </cellStyles>
  <dxfs count="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2" formatCode="0.0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2" formatCode="0.0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2" formatCode="0.00"/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2" formatCode="0.00"/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8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2" formatCode="0.0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2" formatCode="0.0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2" formatCode="0.00"/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2" formatCode="0.00"/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8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28575</xdr:colOff>
          <xdr:row>1</xdr:row>
          <xdr:rowOff>28575</xdr:rowOff>
        </xdr:from>
        <xdr:to>
          <xdr:col>1</xdr:col>
          <xdr:colOff>1590675</xdr:colOff>
          <xdr:row>2</xdr:row>
          <xdr:rowOff>38100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REINICIAR</a:t>
              </a:r>
            </a:p>
          </xdr:txBody>
        </xdr:sp>
        <xdr:clientData fPrintsWithSheet="0"/>
      </xdr:twoCellAnchor>
    </mc:Choice>
    <mc:Fallback/>
  </mc:AlternateContent>
  <xdr:twoCellAnchor>
    <xdr:from>
      <xdr:col>3</xdr:col>
      <xdr:colOff>723773</xdr:colOff>
      <xdr:row>2</xdr:row>
      <xdr:rowOff>144668</xdr:rowOff>
    </xdr:from>
    <xdr:to>
      <xdr:col>3</xdr:col>
      <xdr:colOff>833442</xdr:colOff>
      <xdr:row>4</xdr:row>
      <xdr:rowOff>164696</xdr:rowOff>
    </xdr:to>
    <xdr:sp macro="" textlink="">
      <xdr:nvSpPr>
        <xdr:cNvPr id="2" name="Flecha derecha 1"/>
        <xdr:cNvSpPr/>
      </xdr:nvSpPr>
      <xdr:spPr>
        <a:xfrm rot="2716401">
          <a:off x="6516931" y="685635"/>
          <a:ext cx="410553" cy="109669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1276958</xdr:colOff>
      <xdr:row>4</xdr:row>
      <xdr:rowOff>164155</xdr:rowOff>
    </xdr:from>
    <xdr:to>
      <xdr:col>1</xdr:col>
      <xdr:colOff>1413503</xdr:colOff>
      <xdr:row>6</xdr:row>
      <xdr:rowOff>126294</xdr:rowOff>
    </xdr:to>
    <xdr:sp macro="" textlink="">
      <xdr:nvSpPr>
        <xdr:cNvPr id="4" name="Flecha derecha 3"/>
        <xdr:cNvSpPr/>
      </xdr:nvSpPr>
      <xdr:spPr>
        <a:xfrm rot="2716401">
          <a:off x="3154861" y="1048502"/>
          <a:ext cx="343139" cy="136545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572256</xdr:colOff>
      <xdr:row>10</xdr:row>
      <xdr:rowOff>74201</xdr:rowOff>
    </xdr:from>
    <xdr:to>
      <xdr:col>2</xdr:col>
      <xdr:colOff>700554</xdr:colOff>
      <xdr:row>11</xdr:row>
      <xdr:rowOff>143553</xdr:rowOff>
    </xdr:to>
    <xdr:sp macro="" textlink="">
      <xdr:nvSpPr>
        <xdr:cNvPr id="5" name="Flecha derecha 4"/>
        <xdr:cNvSpPr/>
      </xdr:nvSpPr>
      <xdr:spPr>
        <a:xfrm rot="2716401">
          <a:off x="4707004" y="2064028"/>
          <a:ext cx="259852" cy="128298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267456</xdr:colOff>
      <xdr:row>10</xdr:row>
      <xdr:rowOff>121826</xdr:rowOff>
    </xdr:from>
    <xdr:to>
      <xdr:col>3</xdr:col>
      <xdr:colOff>395754</xdr:colOff>
      <xdr:row>12</xdr:row>
      <xdr:rowOff>678</xdr:rowOff>
    </xdr:to>
    <xdr:sp macro="" textlink="">
      <xdr:nvSpPr>
        <xdr:cNvPr id="8" name="Flecha derecha 7"/>
        <xdr:cNvSpPr/>
      </xdr:nvSpPr>
      <xdr:spPr>
        <a:xfrm rot="2716401">
          <a:off x="6392929" y="2111653"/>
          <a:ext cx="259852" cy="128298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562731</xdr:colOff>
      <xdr:row>11</xdr:row>
      <xdr:rowOff>102776</xdr:rowOff>
    </xdr:from>
    <xdr:to>
      <xdr:col>2</xdr:col>
      <xdr:colOff>691029</xdr:colOff>
      <xdr:row>12</xdr:row>
      <xdr:rowOff>172128</xdr:rowOff>
    </xdr:to>
    <xdr:sp macro="" textlink="">
      <xdr:nvSpPr>
        <xdr:cNvPr id="9" name="Flecha derecha 8"/>
        <xdr:cNvSpPr/>
      </xdr:nvSpPr>
      <xdr:spPr>
        <a:xfrm rot="2716401">
          <a:off x="4697479" y="2283103"/>
          <a:ext cx="259852" cy="128298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257931</xdr:colOff>
      <xdr:row>11</xdr:row>
      <xdr:rowOff>150401</xdr:rowOff>
    </xdr:from>
    <xdr:to>
      <xdr:col>3</xdr:col>
      <xdr:colOff>386229</xdr:colOff>
      <xdr:row>13</xdr:row>
      <xdr:rowOff>29253</xdr:rowOff>
    </xdr:to>
    <xdr:sp macro="" textlink="">
      <xdr:nvSpPr>
        <xdr:cNvPr id="10" name="Flecha derecha 9"/>
        <xdr:cNvSpPr/>
      </xdr:nvSpPr>
      <xdr:spPr>
        <a:xfrm rot="2716401">
          <a:off x="6383404" y="2330728"/>
          <a:ext cx="259852" cy="128298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562731</xdr:colOff>
      <xdr:row>12</xdr:row>
      <xdr:rowOff>102776</xdr:rowOff>
    </xdr:from>
    <xdr:to>
      <xdr:col>2</xdr:col>
      <xdr:colOff>691029</xdr:colOff>
      <xdr:row>13</xdr:row>
      <xdr:rowOff>172128</xdr:rowOff>
    </xdr:to>
    <xdr:sp macro="" textlink="">
      <xdr:nvSpPr>
        <xdr:cNvPr id="11" name="Flecha derecha 10"/>
        <xdr:cNvSpPr/>
      </xdr:nvSpPr>
      <xdr:spPr>
        <a:xfrm rot="2716401">
          <a:off x="4697479" y="2473603"/>
          <a:ext cx="259852" cy="128298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257931</xdr:colOff>
      <xdr:row>12</xdr:row>
      <xdr:rowOff>150401</xdr:rowOff>
    </xdr:from>
    <xdr:to>
      <xdr:col>3</xdr:col>
      <xdr:colOff>386229</xdr:colOff>
      <xdr:row>14</xdr:row>
      <xdr:rowOff>29253</xdr:rowOff>
    </xdr:to>
    <xdr:sp macro="" textlink="">
      <xdr:nvSpPr>
        <xdr:cNvPr id="12" name="Flecha derecha 11"/>
        <xdr:cNvSpPr/>
      </xdr:nvSpPr>
      <xdr:spPr>
        <a:xfrm rot="2716401">
          <a:off x="6383404" y="2521228"/>
          <a:ext cx="259852" cy="128298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553206</xdr:colOff>
      <xdr:row>13</xdr:row>
      <xdr:rowOff>83725</xdr:rowOff>
    </xdr:from>
    <xdr:to>
      <xdr:col>2</xdr:col>
      <xdr:colOff>681504</xdr:colOff>
      <xdr:row>14</xdr:row>
      <xdr:rowOff>153077</xdr:rowOff>
    </xdr:to>
    <xdr:sp macro="" textlink="">
      <xdr:nvSpPr>
        <xdr:cNvPr id="13" name="Flecha derecha 12"/>
        <xdr:cNvSpPr/>
      </xdr:nvSpPr>
      <xdr:spPr>
        <a:xfrm rot="2716401">
          <a:off x="4687954" y="2645052"/>
          <a:ext cx="259852" cy="128298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248406</xdr:colOff>
      <xdr:row>13</xdr:row>
      <xdr:rowOff>131350</xdr:rowOff>
    </xdr:from>
    <xdr:to>
      <xdr:col>3</xdr:col>
      <xdr:colOff>376704</xdr:colOff>
      <xdr:row>15</xdr:row>
      <xdr:rowOff>10202</xdr:rowOff>
    </xdr:to>
    <xdr:sp macro="" textlink="">
      <xdr:nvSpPr>
        <xdr:cNvPr id="14" name="Flecha derecha 13"/>
        <xdr:cNvSpPr/>
      </xdr:nvSpPr>
      <xdr:spPr>
        <a:xfrm rot="2716401">
          <a:off x="6373879" y="2692677"/>
          <a:ext cx="259852" cy="128298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0</xdr:col>
      <xdr:colOff>66675</xdr:colOff>
      <xdr:row>23</xdr:row>
      <xdr:rowOff>142875</xdr:rowOff>
    </xdr:from>
    <xdr:to>
      <xdr:col>6</xdr:col>
      <xdr:colOff>390524</xdr:colOff>
      <xdr:row>36</xdr:row>
      <xdr:rowOff>20561</xdr:rowOff>
    </xdr:to>
    <xdr:pic>
      <xdr:nvPicPr>
        <xdr:cNvPr id="15" name="Imagen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105400"/>
          <a:ext cx="9810749" cy="23541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85725</xdr:colOff>
      <xdr:row>23</xdr:row>
      <xdr:rowOff>38099</xdr:rowOff>
    </xdr:from>
    <xdr:to>
      <xdr:col>11</xdr:col>
      <xdr:colOff>390525</xdr:colOff>
      <xdr:row>31</xdr:row>
      <xdr:rowOff>76200</xdr:rowOff>
    </xdr:to>
    <xdr:sp macro="" textlink="">
      <xdr:nvSpPr>
        <xdr:cNvPr id="3" name="Rectángulo 2"/>
        <xdr:cNvSpPr/>
      </xdr:nvSpPr>
      <xdr:spPr>
        <a:xfrm>
          <a:off x="10515600" y="5238749"/>
          <a:ext cx="2505075" cy="15621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 b="1">
              <a:solidFill>
                <a:sysClr val="windowText" lastClr="000000"/>
              </a:solidFill>
            </a:rPr>
            <a:t>Reporte</a:t>
          </a:r>
          <a:r>
            <a:rPr lang="es-MX" sz="1100" b="1" baseline="0">
              <a:solidFill>
                <a:sysClr val="windowText" lastClr="000000"/>
              </a:solidFill>
            </a:rPr>
            <a:t> fue recortado para mejor visualizacion.</a:t>
          </a:r>
        </a:p>
        <a:p>
          <a:pPr algn="ctr"/>
          <a:r>
            <a:rPr lang="es-MX" sz="1100" b="1" baseline="0">
              <a:solidFill>
                <a:sysClr val="windowText" lastClr="000000"/>
              </a:solidFill>
            </a:rPr>
            <a:t>1) Mejorar la Columna de saldos.</a:t>
          </a:r>
        </a:p>
        <a:p>
          <a:pPr algn="ctr"/>
          <a:r>
            <a:rPr lang="es-MX" sz="1100" b="1" baseline="0">
              <a:solidFill>
                <a:sysClr val="windowText" lastClr="000000"/>
              </a:solidFill>
            </a:rPr>
            <a:t>ahora la llamaremos</a:t>
          </a:r>
        </a:p>
        <a:p>
          <a:pPr algn="ctr"/>
          <a:endParaRPr lang="es-MX" sz="1100" b="1" baseline="0">
            <a:solidFill>
              <a:sysClr val="windowText" lastClr="000000"/>
            </a:solidFill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NI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SALDO AP $: </a:t>
          </a:r>
          <a:r>
            <a:rPr lang="es-NI" sz="110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Monto Ap $ -  </a:t>
          </a:r>
          <a:r>
            <a:rPr lang="es-NI" sz="110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  <a:sym typeface="Symbol" panose="05050102010706020507" pitchFamily="18" charset="2"/>
            </a:rPr>
            <a:t></a:t>
          </a:r>
          <a:r>
            <a:rPr lang="es-NI" sz="110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Monto Pagado $</a:t>
          </a:r>
          <a:endParaRPr lang="es-MX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s-MX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504825</xdr:colOff>
      <xdr:row>28</xdr:row>
      <xdr:rowOff>66675</xdr:rowOff>
    </xdr:from>
    <xdr:to>
      <xdr:col>7</xdr:col>
      <xdr:colOff>104777</xdr:colOff>
      <xdr:row>32</xdr:row>
      <xdr:rowOff>104775</xdr:rowOff>
    </xdr:to>
    <xdr:cxnSp macro="">
      <xdr:nvCxnSpPr>
        <xdr:cNvPr id="7" name="Conector recto de flecha 6"/>
        <xdr:cNvCxnSpPr/>
      </xdr:nvCxnSpPr>
      <xdr:spPr>
        <a:xfrm flipH="1">
          <a:off x="9829800" y="5981700"/>
          <a:ext cx="704852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138115</xdr:colOff>
      <xdr:row>16</xdr:row>
      <xdr:rowOff>42863</xdr:rowOff>
    </xdr:from>
    <xdr:to>
      <xdr:col>5</xdr:col>
      <xdr:colOff>19054</xdr:colOff>
      <xdr:row>16</xdr:row>
      <xdr:rowOff>180975</xdr:rowOff>
    </xdr:to>
    <xdr:sp macro="" textlink="">
      <xdr:nvSpPr>
        <xdr:cNvPr id="19" name="Abrir llave 18"/>
        <xdr:cNvSpPr/>
      </xdr:nvSpPr>
      <xdr:spPr>
        <a:xfrm rot="16200000">
          <a:off x="7753354" y="3038474"/>
          <a:ext cx="138112" cy="776289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533400</xdr:colOff>
      <xdr:row>17</xdr:row>
      <xdr:rowOff>19050</xdr:rowOff>
    </xdr:from>
    <xdr:to>
      <xdr:col>4</xdr:col>
      <xdr:colOff>542925</xdr:colOff>
      <xdr:row>23</xdr:row>
      <xdr:rowOff>142875</xdr:rowOff>
    </xdr:to>
    <xdr:cxnSp macro="">
      <xdr:nvCxnSpPr>
        <xdr:cNvPr id="21" name="Conector recto de flecha 20"/>
        <xdr:cNvCxnSpPr/>
      </xdr:nvCxnSpPr>
      <xdr:spPr>
        <a:xfrm>
          <a:off x="7829550" y="3524250"/>
          <a:ext cx="9525" cy="1819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23</xdr:row>
      <xdr:rowOff>133350</xdr:rowOff>
    </xdr:from>
    <xdr:to>
      <xdr:col>7</xdr:col>
      <xdr:colOff>133350</xdr:colOff>
      <xdr:row>24</xdr:row>
      <xdr:rowOff>47625</xdr:rowOff>
    </xdr:to>
    <xdr:cxnSp macro="">
      <xdr:nvCxnSpPr>
        <xdr:cNvPr id="23" name="Conector recto de flecha 22"/>
        <xdr:cNvCxnSpPr/>
      </xdr:nvCxnSpPr>
      <xdr:spPr>
        <a:xfrm>
          <a:off x="7867650" y="5334000"/>
          <a:ext cx="2695575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66676</xdr:colOff>
      <xdr:row>4</xdr:row>
      <xdr:rowOff>57150</xdr:rowOff>
    </xdr:from>
    <xdr:to>
      <xdr:col>9</xdr:col>
      <xdr:colOff>752475</xdr:colOff>
      <xdr:row>8</xdr:row>
      <xdr:rowOff>85725</xdr:rowOff>
    </xdr:to>
    <xdr:sp macro="" textlink="">
      <xdr:nvSpPr>
        <xdr:cNvPr id="26" name="Rectángulo 25"/>
        <xdr:cNvSpPr/>
      </xdr:nvSpPr>
      <xdr:spPr>
        <a:xfrm>
          <a:off x="10496551" y="838200"/>
          <a:ext cx="1362074" cy="7905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 b="1" baseline="0">
              <a:solidFill>
                <a:sysClr val="windowText" lastClr="000000"/>
              </a:solidFill>
            </a:rPr>
            <a:t>Flechas con relleno grises, indica donde se debe de reondear a  3  decimales</a:t>
          </a:r>
        </a:p>
        <a:p>
          <a:pPr algn="ctr"/>
          <a:endParaRPr lang="es-MX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438151</xdr:colOff>
      <xdr:row>5</xdr:row>
      <xdr:rowOff>95250</xdr:rowOff>
    </xdr:from>
    <xdr:to>
      <xdr:col>6</xdr:col>
      <xdr:colOff>1095375</xdr:colOff>
      <xdr:row>10</xdr:row>
      <xdr:rowOff>123825</xdr:rowOff>
    </xdr:to>
    <xdr:cxnSp macro="">
      <xdr:nvCxnSpPr>
        <xdr:cNvPr id="28" name="Conector recto de flecha 27"/>
        <xdr:cNvCxnSpPr/>
      </xdr:nvCxnSpPr>
      <xdr:spPr>
        <a:xfrm flipH="1">
          <a:off x="6381751" y="1066800"/>
          <a:ext cx="4038599" cy="1228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238126</xdr:colOff>
      <xdr:row>11</xdr:row>
      <xdr:rowOff>28575</xdr:rowOff>
    </xdr:from>
    <xdr:to>
      <xdr:col>10</xdr:col>
      <xdr:colOff>190501</xdr:colOff>
      <xdr:row>15</xdr:row>
      <xdr:rowOff>19050</xdr:rowOff>
    </xdr:to>
    <xdr:sp macro="" textlink="">
      <xdr:nvSpPr>
        <xdr:cNvPr id="30" name="Rectángulo 29"/>
        <xdr:cNvSpPr/>
      </xdr:nvSpPr>
      <xdr:spPr>
        <a:xfrm>
          <a:off x="10668001" y="2390775"/>
          <a:ext cx="1390650" cy="7524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 b="1" baseline="0">
              <a:solidFill>
                <a:sysClr val="windowText" lastClr="000000"/>
              </a:solidFill>
            </a:rPr>
            <a:t>valores del sistema</a:t>
          </a:r>
        </a:p>
        <a:p>
          <a:pPr algn="ctr"/>
          <a:endParaRPr lang="es-MX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866777</xdr:colOff>
      <xdr:row>12</xdr:row>
      <xdr:rowOff>95251</xdr:rowOff>
    </xdr:from>
    <xdr:to>
      <xdr:col>7</xdr:col>
      <xdr:colOff>238126</xdr:colOff>
      <xdr:row>13</xdr:row>
      <xdr:rowOff>23813</xdr:rowOff>
    </xdr:to>
    <xdr:cxnSp macro="">
      <xdr:nvCxnSpPr>
        <xdr:cNvPr id="31" name="Conector recto de flecha 30"/>
        <xdr:cNvCxnSpPr>
          <a:stCxn id="30" idx="1"/>
        </xdr:cNvCxnSpPr>
      </xdr:nvCxnSpPr>
      <xdr:spPr>
        <a:xfrm flipH="1" flipV="1">
          <a:off x="9058277" y="2647951"/>
          <a:ext cx="1609724" cy="1190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638175</xdr:colOff>
      <xdr:row>12</xdr:row>
      <xdr:rowOff>114300</xdr:rowOff>
    </xdr:from>
    <xdr:to>
      <xdr:col>5</xdr:col>
      <xdr:colOff>114300</xdr:colOff>
      <xdr:row>31</xdr:row>
      <xdr:rowOff>66675</xdr:rowOff>
    </xdr:to>
    <xdr:cxnSp macro="">
      <xdr:nvCxnSpPr>
        <xdr:cNvPr id="33" name="Conector recto de flecha 32"/>
        <xdr:cNvCxnSpPr/>
      </xdr:nvCxnSpPr>
      <xdr:spPr>
        <a:xfrm flipH="1">
          <a:off x="7934325" y="2667000"/>
          <a:ext cx="371475" cy="388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42</xdr:row>
      <xdr:rowOff>95250</xdr:rowOff>
    </xdr:from>
    <xdr:to>
      <xdr:col>6</xdr:col>
      <xdr:colOff>971549</xdr:colOff>
      <xdr:row>60</xdr:row>
      <xdr:rowOff>183858</xdr:rowOff>
    </xdr:to>
    <xdr:pic>
      <xdr:nvPicPr>
        <xdr:cNvPr id="45" name="Imagen 4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53450"/>
          <a:ext cx="10458449" cy="35176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1438275</xdr:colOff>
      <xdr:row>65</xdr:row>
      <xdr:rowOff>142876</xdr:rowOff>
    </xdr:from>
    <xdr:to>
      <xdr:col>5</xdr:col>
      <xdr:colOff>9525</xdr:colOff>
      <xdr:row>71</xdr:row>
      <xdr:rowOff>28575</xdr:rowOff>
    </xdr:to>
    <xdr:cxnSp macro="">
      <xdr:nvCxnSpPr>
        <xdr:cNvPr id="46" name="Conector recto de flecha 45"/>
        <xdr:cNvCxnSpPr/>
      </xdr:nvCxnSpPr>
      <xdr:spPr>
        <a:xfrm flipH="1" flipV="1">
          <a:off x="5391150" y="12992101"/>
          <a:ext cx="2809875" cy="10477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209550</xdr:colOff>
      <xdr:row>69</xdr:row>
      <xdr:rowOff>133350</xdr:rowOff>
    </xdr:from>
    <xdr:to>
      <xdr:col>4</xdr:col>
      <xdr:colOff>104775</xdr:colOff>
      <xdr:row>72</xdr:row>
      <xdr:rowOff>180975</xdr:rowOff>
    </xdr:to>
    <xdr:sp macro="" textlink="">
      <xdr:nvSpPr>
        <xdr:cNvPr id="47" name="CuadroTexto 46"/>
        <xdr:cNvSpPr txBox="1"/>
      </xdr:nvSpPr>
      <xdr:spPr>
        <a:xfrm>
          <a:off x="6153150" y="13754100"/>
          <a:ext cx="1247775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 b="1"/>
            <a:t>VALORES SON DISTINTOS</a:t>
          </a:r>
        </a:p>
      </xdr:txBody>
    </xdr:sp>
    <xdr:clientData/>
  </xdr:twoCellAnchor>
  <xdr:twoCellAnchor>
    <xdr:from>
      <xdr:col>7</xdr:col>
      <xdr:colOff>76200</xdr:colOff>
      <xdr:row>0</xdr:row>
      <xdr:rowOff>28575</xdr:rowOff>
    </xdr:from>
    <xdr:to>
      <xdr:col>10</xdr:col>
      <xdr:colOff>19050</xdr:colOff>
      <xdr:row>3</xdr:row>
      <xdr:rowOff>142875</xdr:rowOff>
    </xdr:to>
    <xdr:sp macro="" textlink="">
      <xdr:nvSpPr>
        <xdr:cNvPr id="49" name="Rectángulo 48"/>
        <xdr:cNvSpPr/>
      </xdr:nvSpPr>
      <xdr:spPr>
        <a:xfrm>
          <a:off x="10506075" y="28575"/>
          <a:ext cx="1381125" cy="6953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 b="1">
              <a:solidFill>
                <a:sysClr val="windowText" lastClr="000000"/>
              </a:solidFill>
            </a:rPr>
            <a:t>COLORES EN VERDE SON CAMPOS</a:t>
          </a:r>
          <a:r>
            <a:rPr lang="es-MX" sz="1100" b="1" baseline="0">
              <a:solidFill>
                <a:sysClr val="windowText" lastClr="000000"/>
              </a:solidFill>
            </a:rPr>
            <a:t> EDITABLES</a:t>
          </a:r>
          <a:endParaRPr lang="es-MX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47626</xdr:colOff>
      <xdr:row>1</xdr:row>
      <xdr:rowOff>28575</xdr:rowOff>
    </xdr:from>
    <xdr:to>
      <xdr:col>7</xdr:col>
      <xdr:colOff>66675</xdr:colOff>
      <xdr:row>1</xdr:row>
      <xdr:rowOff>133351</xdr:rowOff>
    </xdr:to>
    <xdr:cxnSp macro="">
      <xdr:nvCxnSpPr>
        <xdr:cNvPr id="51" name="Conector recto de flecha 50"/>
        <xdr:cNvCxnSpPr/>
      </xdr:nvCxnSpPr>
      <xdr:spPr>
        <a:xfrm flipH="1">
          <a:off x="7343776" y="228600"/>
          <a:ext cx="3152774" cy="1047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28575</xdr:colOff>
          <xdr:row>1</xdr:row>
          <xdr:rowOff>28575</xdr:rowOff>
        </xdr:from>
        <xdr:to>
          <xdr:col>1</xdr:col>
          <xdr:colOff>1590675</xdr:colOff>
          <xdr:row>2</xdr:row>
          <xdr:rowOff>38100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REINICIAR</a:t>
              </a:r>
            </a:p>
          </xdr:txBody>
        </xdr:sp>
        <xdr:clientData fPrintsWithSheet="0"/>
      </xdr:twoCellAnchor>
    </mc:Choice>
    <mc:Fallback/>
  </mc:AlternateContent>
  <xdr:twoCellAnchor>
    <xdr:from>
      <xdr:col>3</xdr:col>
      <xdr:colOff>660777</xdr:colOff>
      <xdr:row>3</xdr:row>
      <xdr:rowOff>195130</xdr:rowOff>
    </xdr:from>
    <xdr:to>
      <xdr:col>3</xdr:col>
      <xdr:colOff>835698</xdr:colOff>
      <xdr:row>5</xdr:row>
      <xdr:rowOff>127315</xdr:rowOff>
    </xdr:to>
    <xdr:sp macro="" textlink="">
      <xdr:nvSpPr>
        <xdr:cNvPr id="3" name="Flecha derecha 2"/>
        <xdr:cNvSpPr/>
      </xdr:nvSpPr>
      <xdr:spPr>
        <a:xfrm rot="2716401">
          <a:off x="6530483" y="850049"/>
          <a:ext cx="322710" cy="174921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1276958</xdr:colOff>
      <xdr:row>4</xdr:row>
      <xdr:rowOff>164155</xdr:rowOff>
    </xdr:from>
    <xdr:to>
      <xdr:col>1</xdr:col>
      <xdr:colOff>1413503</xdr:colOff>
      <xdr:row>6</xdr:row>
      <xdr:rowOff>126294</xdr:rowOff>
    </xdr:to>
    <xdr:sp macro="" textlink="">
      <xdr:nvSpPr>
        <xdr:cNvPr id="4" name="Flecha derecha 3"/>
        <xdr:cNvSpPr/>
      </xdr:nvSpPr>
      <xdr:spPr>
        <a:xfrm rot="2716401">
          <a:off x="3154861" y="1048502"/>
          <a:ext cx="343139" cy="136545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572256</xdr:colOff>
      <xdr:row>10</xdr:row>
      <xdr:rowOff>74201</xdr:rowOff>
    </xdr:from>
    <xdr:to>
      <xdr:col>2</xdr:col>
      <xdr:colOff>700554</xdr:colOff>
      <xdr:row>11</xdr:row>
      <xdr:rowOff>143553</xdr:rowOff>
    </xdr:to>
    <xdr:sp macro="" textlink="">
      <xdr:nvSpPr>
        <xdr:cNvPr id="5" name="Flecha derecha 4"/>
        <xdr:cNvSpPr/>
      </xdr:nvSpPr>
      <xdr:spPr>
        <a:xfrm rot="2716401">
          <a:off x="4459354" y="2311678"/>
          <a:ext cx="259852" cy="128298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267456</xdr:colOff>
      <xdr:row>10</xdr:row>
      <xdr:rowOff>121826</xdr:rowOff>
    </xdr:from>
    <xdr:to>
      <xdr:col>3</xdr:col>
      <xdr:colOff>395754</xdr:colOff>
      <xdr:row>12</xdr:row>
      <xdr:rowOff>678</xdr:rowOff>
    </xdr:to>
    <xdr:sp macro="" textlink="">
      <xdr:nvSpPr>
        <xdr:cNvPr id="6" name="Flecha derecha 5"/>
        <xdr:cNvSpPr/>
      </xdr:nvSpPr>
      <xdr:spPr>
        <a:xfrm rot="2716401">
          <a:off x="6145279" y="2359303"/>
          <a:ext cx="259852" cy="128298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562731</xdr:colOff>
      <xdr:row>11</xdr:row>
      <xdr:rowOff>102776</xdr:rowOff>
    </xdr:from>
    <xdr:to>
      <xdr:col>2</xdr:col>
      <xdr:colOff>691029</xdr:colOff>
      <xdr:row>12</xdr:row>
      <xdr:rowOff>172128</xdr:rowOff>
    </xdr:to>
    <xdr:sp macro="" textlink="">
      <xdr:nvSpPr>
        <xdr:cNvPr id="7" name="Flecha derecha 6"/>
        <xdr:cNvSpPr/>
      </xdr:nvSpPr>
      <xdr:spPr>
        <a:xfrm rot="2716401">
          <a:off x="4449829" y="2530753"/>
          <a:ext cx="259852" cy="128298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257931</xdr:colOff>
      <xdr:row>11</xdr:row>
      <xdr:rowOff>150401</xdr:rowOff>
    </xdr:from>
    <xdr:to>
      <xdr:col>3</xdr:col>
      <xdr:colOff>386229</xdr:colOff>
      <xdr:row>13</xdr:row>
      <xdr:rowOff>29253</xdr:rowOff>
    </xdr:to>
    <xdr:sp macro="" textlink="">
      <xdr:nvSpPr>
        <xdr:cNvPr id="8" name="Flecha derecha 7"/>
        <xdr:cNvSpPr/>
      </xdr:nvSpPr>
      <xdr:spPr>
        <a:xfrm rot="2716401">
          <a:off x="6135754" y="2578378"/>
          <a:ext cx="259852" cy="128298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562731</xdr:colOff>
      <xdr:row>12</xdr:row>
      <xdr:rowOff>102776</xdr:rowOff>
    </xdr:from>
    <xdr:to>
      <xdr:col>2</xdr:col>
      <xdr:colOff>691029</xdr:colOff>
      <xdr:row>13</xdr:row>
      <xdr:rowOff>172128</xdr:rowOff>
    </xdr:to>
    <xdr:sp macro="" textlink="">
      <xdr:nvSpPr>
        <xdr:cNvPr id="9" name="Flecha derecha 8"/>
        <xdr:cNvSpPr/>
      </xdr:nvSpPr>
      <xdr:spPr>
        <a:xfrm rot="2716401">
          <a:off x="4449829" y="2721253"/>
          <a:ext cx="259852" cy="128298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257931</xdr:colOff>
      <xdr:row>12</xdr:row>
      <xdr:rowOff>150401</xdr:rowOff>
    </xdr:from>
    <xdr:to>
      <xdr:col>3</xdr:col>
      <xdr:colOff>386229</xdr:colOff>
      <xdr:row>14</xdr:row>
      <xdr:rowOff>29253</xdr:rowOff>
    </xdr:to>
    <xdr:sp macro="" textlink="">
      <xdr:nvSpPr>
        <xdr:cNvPr id="10" name="Flecha derecha 9"/>
        <xdr:cNvSpPr/>
      </xdr:nvSpPr>
      <xdr:spPr>
        <a:xfrm rot="2716401">
          <a:off x="6135754" y="2768878"/>
          <a:ext cx="259852" cy="128298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553206</xdr:colOff>
      <xdr:row>13</xdr:row>
      <xdr:rowOff>83725</xdr:rowOff>
    </xdr:from>
    <xdr:to>
      <xdr:col>2</xdr:col>
      <xdr:colOff>681504</xdr:colOff>
      <xdr:row>14</xdr:row>
      <xdr:rowOff>153077</xdr:rowOff>
    </xdr:to>
    <xdr:sp macro="" textlink="">
      <xdr:nvSpPr>
        <xdr:cNvPr id="11" name="Flecha derecha 10"/>
        <xdr:cNvSpPr/>
      </xdr:nvSpPr>
      <xdr:spPr>
        <a:xfrm rot="2716401">
          <a:off x="4440304" y="2892702"/>
          <a:ext cx="259852" cy="128298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248406</xdr:colOff>
      <xdr:row>13</xdr:row>
      <xdr:rowOff>131350</xdr:rowOff>
    </xdr:from>
    <xdr:to>
      <xdr:col>3</xdr:col>
      <xdr:colOff>376704</xdr:colOff>
      <xdr:row>15</xdr:row>
      <xdr:rowOff>10202</xdr:rowOff>
    </xdr:to>
    <xdr:sp macro="" textlink="">
      <xdr:nvSpPr>
        <xdr:cNvPr id="12" name="Flecha derecha 11"/>
        <xdr:cNvSpPr/>
      </xdr:nvSpPr>
      <xdr:spPr>
        <a:xfrm rot="2716401">
          <a:off x="6126229" y="2940327"/>
          <a:ext cx="259852" cy="128298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0</xdr:col>
      <xdr:colOff>66675</xdr:colOff>
      <xdr:row>23</xdr:row>
      <xdr:rowOff>142875</xdr:rowOff>
    </xdr:from>
    <xdr:to>
      <xdr:col>6</xdr:col>
      <xdr:colOff>552449</xdr:colOff>
      <xdr:row>36</xdr:row>
      <xdr:rowOff>20561</xdr:rowOff>
    </xdr:to>
    <xdr:pic>
      <xdr:nvPicPr>
        <xdr:cNvPr id="13" name="Imagen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105400"/>
          <a:ext cx="9810749" cy="23541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85725</xdr:colOff>
      <xdr:row>23</xdr:row>
      <xdr:rowOff>38099</xdr:rowOff>
    </xdr:from>
    <xdr:to>
      <xdr:col>11</xdr:col>
      <xdr:colOff>390525</xdr:colOff>
      <xdr:row>31</xdr:row>
      <xdr:rowOff>76200</xdr:rowOff>
    </xdr:to>
    <xdr:sp macro="" textlink="">
      <xdr:nvSpPr>
        <xdr:cNvPr id="14" name="Rectángulo 13"/>
        <xdr:cNvSpPr/>
      </xdr:nvSpPr>
      <xdr:spPr>
        <a:xfrm>
          <a:off x="10515600" y="5000624"/>
          <a:ext cx="2505075" cy="15621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 b="1">
              <a:solidFill>
                <a:sysClr val="windowText" lastClr="000000"/>
              </a:solidFill>
            </a:rPr>
            <a:t>Reporte</a:t>
          </a:r>
          <a:r>
            <a:rPr lang="es-MX" sz="1100" b="1" baseline="0">
              <a:solidFill>
                <a:sysClr val="windowText" lastClr="000000"/>
              </a:solidFill>
            </a:rPr>
            <a:t> fue recortado para mejor visualizacion.</a:t>
          </a:r>
        </a:p>
        <a:p>
          <a:pPr algn="ctr"/>
          <a:r>
            <a:rPr lang="es-MX" sz="1100" b="1" baseline="0">
              <a:solidFill>
                <a:sysClr val="windowText" lastClr="000000"/>
              </a:solidFill>
            </a:rPr>
            <a:t>1) Mejorar la Columna de saldos.</a:t>
          </a:r>
        </a:p>
        <a:p>
          <a:pPr algn="ctr"/>
          <a:r>
            <a:rPr lang="es-MX" sz="1100" b="1" baseline="0">
              <a:solidFill>
                <a:sysClr val="windowText" lastClr="000000"/>
              </a:solidFill>
            </a:rPr>
            <a:t>ahora la llamaremos</a:t>
          </a:r>
        </a:p>
        <a:p>
          <a:pPr algn="ctr"/>
          <a:endParaRPr lang="es-MX" sz="1100" b="1" baseline="0">
            <a:solidFill>
              <a:sysClr val="windowText" lastClr="000000"/>
            </a:solidFill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NI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SALDO AP $: </a:t>
          </a:r>
          <a:r>
            <a:rPr lang="es-NI" sz="110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Monto Ap $ -  </a:t>
          </a:r>
          <a:r>
            <a:rPr lang="es-NI" sz="110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  <a:sym typeface="Symbol" panose="05050102010706020507" pitchFamily="18" charset="2"/>
            </a:rPr>
            <a:t></a:t>
          </a:r>
          <a:r>
            <a:rPr lang="es-NI" sz="110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Monto Pagado $</a:t>
          </a:r>
          <a:endParaRPr lang="es-MX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s-MX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504825</xdr:colOff>
      <xdr:row>28</xdr:row>
      <xdr:rowOff>66675</xdr:rowOff>
    </xdr:from>
    <xdr:to>
      <xdr:col>7</xdr:col>
      <xdr:colOff>104777</xdr:colOff>
      <xdr:row>32</xdr:row>
      <xdr:rowOff>104775</xdr:rowOff>
    </xdr:to>
    <xdr:cxnSp macro="">
      <xdr:nvCxnSpPr>
        <xdr:cNvPr id="15" name="Conector recto de flecha 14"/>
        <xdr:cNvCxnSpPr/>
      </xdr:nvCxnSpPr>
      <xdr:spPr>
        <a:xfrm flipH="1">
          <a:off x="9829800" y="5981700"/>
          <a:ext cx="704852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138115</xdr:colOff>
      <xdr:row>16</xdr:row>
      <xdr:rowOff>42863</xdr:rowOff>
    </xdr:from>
    <xdr:to>
      <xdr:col>5</xdr:col>
      <xdr:colOff>19054</xdr:colOff>
      <xdr:row>16</xdr:row>
      <xdr:rowOff>180975</xdr:rowOff>
    </xdr:to>
    <xdr:sp macro="" textlink="">
      <xdr:nvSpPr>
        <xdr:cNvPr id="16" name="Abrir llave 15"/>
        <xdr:cNvSpPr/>
      </xdr:nvSpPr>
      <xdr:spPr>
        <a:xfrm rot="16200000">
          <a:off x="7753354" y="3038474"/>
          <a:ext cx="138112" cy="776289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533400</xdr:colOff>
      <xdr:row>17</xdr:row>
      <xdr:rowOff>19050</xdr:rowOff>
    </xdr:from>
    <xdr:to>
      <xdr:col>4</xdr:col>
      <xdr:colOff>542925</xdr:colOff>
      <xdr:row>23</xdr:row>
      <xdr:rowOff>142875</xdr:rowOff>
    </xdr:to>
    <xdr:cxnSp macro="">
      <xdr:nvCxnSpPr>
        <xdr:cNvPr id="17" name="Conector recto de flecha 16"/>
        <xdr:cNvCxnSpPr/>
      </xdr:nvCxnSpPr>
      <xdr:spPr>
        <a:xfrm>
          <a:off x="7829550" y="3524250"/>
          <a:ext cx="9525" cy="1581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23</xdr:row>
      <xdr:rowOff>133350</xdr:rowOff>
    </xdr:from>
    <xdr:to>
      <xdr:col>7</xdr:col>
      <xdr:colOff>133350</xdr:colOff>
      <xdr:row>24</xdr:row>
      <xdr:rowOff>47625</xdr:rowOff>
    </xdr:to>
    <xdr:cxnSp macro="">
      <xdr:nvCxnSpPr>
        <xdr:cNvPr id="18" name="Conector recto de flecha 17"/>
        <xdr:cNvCxnSpPr/>
      </xdr:nvCxnSpPr>
      <xdr:spPr>
        <a:xfrm>
          <a:off x="7867650" y="5095875"/>
          <a:ext cx="2695575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85726</xdr:colOff>
      <xdr:row>0</xdr:row>
      <xdr:rowOff>190499</xdr:rowOff>
    </xdr:from>
    <xdr:to>
      <xdr:col>10</xdr:col>
      <xdr:colOff>38101</xdr:colOff>
      <xdr:row>5</xdr:row>
      <xdr:rowOff>95250</xdr:rowOff>
    </xdr:to>
    <xdr:sp macro="" textlink="">
      <xdr:nvSpPr>
        <xdr:cNvPr id="19" name="Rectángulo 18"/>
        <xdr:cNvSpPr/>
      </xdr:nvSpPr>
      <xdr:spPr>
        <a:xfrm>
          <a:off x="10515601" y="190499"/>
          <a:ext cx="1390650" cy="8763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 b="1" baseline="0">
              <a:solidFill>
                <a:sysClr val="windowText" lastClr="000000"/>
              </a:solidFill>
            </a:rPr>
            <a:t>Flechas con relleno grises, indica donde se debe de reondear a  3  decimales</a:t>
          </a:r>
        </a:p>
        <a:p>
          <a:pPr algn="ctr"/>
          <a:endParaRPr lang="es-MX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390525</xdr:colOff>
      <xdr:row>1</xdr:row>
      <xdr:rowOff>76200</xdr:rowOff>
    </xdr:from>
    <xdr:to>
      <xdr:col>7</xdr:col>
      <xdr:colOff>66675</xdr:colOff>
      <xdr:row>10</xdr:row>
      <xdr:rowOff>123825</xdr:rowOff>
    </xdr:to>
    <xdr:cxnSp macro="">
      <xdr:nvCxnSpPr>
        <xdr:cNvPr id="20" name="Conector recto de flecha 19"/>
        <xdr:cNvCxnSpPr/>
      </xdr:nvCxnSpPr>
      <xdr:spPr>
        <a:xfrm flipH="1">
          <a:off x="6334125" y="276225"/>
          <a:ext cx="4162425" cy="2019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142876</xdr:colOff>
      <xdr:row>11</xdr:row>
      <xdr:rowOff>28575</xdr:rowOff>
    </xdr:from>
    <xdr:to>
      <xdr:col>10</xdr:col>
      <xdr:colOff>95251</xdr:colOff>
      <xdr:row>15</xdr:row>
      <xdr:rowOff>19050</xdr:rowOff>
    </xdr:to>
    <xdr:sp macro="" textlink="">
      <xdr:nvSpPr>
        <xdr:cNvPr id="21" name="Rectángulo 20"/>
        <xdr:cNvSpPr/>
      </xdr:nvSpPr>
      <xdr:spPr>
        <a:xfrm>
          <a:off x="10572751" y="2390775"/>
          <a:ext cx="1390650" cy="7524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 b="1" baseline="0">
              <a:solidFill>
                <a:sysClr val="windowText" lastClr="000000"/>
              </a:solidFill>
            </a:rPr>
            <a:t>valores del sistema</a:t>
          </a:r>
        </a:p>
        <a:p>
          <a:pPr algn="ctr"/>
          <a:endParaRPr lang="es-MX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771527</xdr:colOff>
      <xdr:row>12</xdr:row>
      <xdr:rowOff>95251</xdr:rowOff>
    </xdr:from>
    <xdr:to>
      <xdr:col>7</xdr:col>
      <xdr:colOff>142876</xdr:colOff>
      <xdr:row>13</xdr:row>
      <xdr:rowOff>23813</xdr:rowOff>
    </xdr:to>
    <xdr:cxnSp macro="">
      <xdr:nvCxnSpPr>
        <xdr:cNvPr id="22" name="Conector recto de flecha 21"/>
        <xdr:cNvCxnSpPr>
          <a:stCxn id="21" idx="1"/>
        </xdr:cNvCxnSpPr>
      </xdr:nvCxnSpPr>
      <xdr:spPr>
        <a:xfrm flipH="1" flipV="1">
          <a:off x="8963027" y="2647951"/>
          <a:ext cx="1609724" cy="1190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638175</xdr:colOff>
      <xdr:row>12</xdr:row>
      <xdr:rowOff>152400</xdr:rowOff>
    </xdr:from>
    <xdr:to>
      <xdr:col>5</xdr:col>
      <xdr:colOff>314325</xdr:colOff>
      <xdr:row>31</xdr:row>
      <xdr:rowOff>66675</xdr:rowOff>
    </xdr:to>
    <xdr:cxnSp macro="">
      <xdr:nvCxnSpPr>
        <xdr:cNvPr id="23" name="Conector recto de flecha 22"/>
        <xdr:cNvCxnSpPr/>
      </xdr:nvCxnSpPr>
      <xdr:spPr>
        <a:xfrm flipH="1">
          <a:off x="7934325" y="2705100"/>
          <a:ext cx="571500" cy="384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1" name="Tabla1" displayName="Tabla1" ref="B2:S4" totalsRowCount="1" headerRowDxfId="77" headerRowBorderDxfId="76" tableBorderDxfId="75" totalsRowBorderDxfId="74">
  <autoFilter ref="B2:S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name="ROC#" totalsRowLabel="Total" dataDxfId="73" totalsRowDxfId="72"/>
    <tableColumn id="2" name="ANULADO" totalsRowFunction="count" dataDxfId="71" totalsRowDxfId="70"/>
    <tableColumn id="3" name="FECHA" dataDxfId="69"/>
    <tableColumn id="4" name="CONTRATO AP" dataDxfId="68" totalsRowDxfId="67"/>
    <tableColumn id="5" name="MONTO AP $" totalsRowFunction="sum" dataDxfId="66" totalsRowDxfId="65"/>
    <tableColumn id="6" name="N° DE CUOTAS" dataDxfId="64" totalsRowDxfId="63"/>
    <tableColumn id="7" name="CUOTA N°" dataDxfId="62" totalsRowDxfId="61"/>
    <tableColumn id="8" name="VALOR CUOTA $" totalsRowFunction="sum" dataDxfId="60" totalsRowDxfId="59">
      <calculatedColumnFormula>+F3/G3</calculatedColumnFormula>
    </tableColumn>
    <tableColumn id="9" name="VALORADO" totalsRowFunction="sum" dataDxfId="58" totalsRowDxfId="57"/>
    <tableColumn id="10" name="PRECIO LIQUIDACION" totalsRowFunction="sum" dataDxfId="56" totalsRowDxfId="55">
      <calculatedColumnFormula>+J3*0.1*2+J3</calculatedColumnFormula>
    </tableColumn>
    <tableColumn id="18" name="% UTILIDAD SOBRE PRE LIQ" dataDxfId="54" totalsRowDxfId="53"/>
    <tableColumn id="11" name="% UTILIDAD TOTAL" dataDxfId="52" totalsRowDxfId="51">
      <calculatedColumnFormula>((Tabla1[MONTO AP $]-Tabla1[VALORADO])*100%)/Tabla1[VALORADO]</calculatedColumnFormula>
    </tableColumn>
    <tableColumn id="12" name="UTILIDAD POR CUOTA $" totalsRowFunction="sum" dataDxfId="50" totalsRowDxfId="49">
      <calculatedColumnFormula>(+(J3*M3)/G3)*Tabla1[T/C ]</calculatedColumnFormula>
    </tableColumn>
    <tableColumn id="13" name="MONTO PAGADO C$" totalsRowFunction="sum" dataDxfId="48" totalsRowDxfId="47"/>
    <tableColumn id="14" name="T/C " dataDxfId="46" totalsRowDxfId="45"/>
    <tableColumn id="15" name="MONTO PAGADO $" totalsRowFunction="sum" dataDxfId="44" totalsRowDxfId="43">
      <calculatedColumnFormula>+O3/P3</calculatedColumnFormula>
    </tableColumn>
    <tableColumn id="16" name="SALDO $" totalsRowFunction="sum" dataDxfId="42" totalsRowDxfId="41">
      <calculatedColumnFormula>+F3-Q3</calculatedColumnFormula>
    </tableColumn>
    <tableColumn id="17" name="SALDO C$" totalsRowFunction="sum" dataDxfId="40" totalsRowDxfId="39">
      <calculatedColumnFormula>R3*P3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2:R4" totalsRowCount="1" headerRowDxfId="38" headerRowBorderDxfId="37" tableBorderDxfId="36" totalsRowBorderDxfId="35">
  <autoFilter ref="A2:R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name="ROC#" totalsRowLabel="Total" dataDxfId="34" totalsRowDxfId="33"/>
    <tableColumn id="2" name="ANULADO" totalsRowFunction="count" dataDxfId="32" totalsRowDxfId="31"/>
    <tableColumn id="3" name="FECHA" dataDxfId="30"/>
    <tableColumn id="4" name="CONTRATO AP" dataDxfId="29" totalsRowDxfId="28"/>
    <tableColumn id="5" name="MONTO AP $" totalsRowFunction="sum" dataDxfId="27" totalsRowDxfId="26"/>
    <tableColumn id="6" name="N° DE CUOTAS" dataDxfId="25" totalsRowDxfId="24"/>
    <tableColumn id="7" name="CUOTA N°" dataDxfId="23" totalsRowDxfId="22"/>
    <tableColumn id="8" name="VALOR CUOTA $" totalsRowFunction="sum" dataDxfId="21" totalsRowDxfId="20">
      <calculatedColumnFormula>+E3/F3</calculatedColumnFormula>
    </tableColumn>
    <tableColumn id="9" name="VALORADO" totalsRowFunction="sum" dataDxfId="19" totalsRowDxfId="18"/>
    <tableColumn id="10" name="PRECIO LIQUIDACION" totalsRowFunction="sum" dataDxfId="17" totalsRowDxfId="16">
      <calculatedColumnFormula>+I3*0.1*2+I3</calculatedColumnFormula>
    </tableColumn>
    <tableColumn id="18" name="% UTILIDAD SOBRE PRE LIQ" dataDxfId="15" totalsRowDxfId="14"/>
    <tableColumn id="11" name="% UTILIDAD TOTAL" dataDxfId="13" totalsRowDxfId="12">
      <calculatedColumnFormula>((Tabla13[MONTO AP $]-Tabla13[VALORADO])*100%)/Tabla13[VALORADO]</calculatedColumnFormula>
    </tableColumn>
    <tableColumn id="12" name="UTILIDAD POR CUOTA $" totalsRowFunction="sum" dataDxfId="11" totalsRowDxfId="10">
      <calculatedColumnFormula>(+(I3*L3)/F3)*Tabla13[T/C ]</calculatedColumnFormula>
    </tableColumn>
    <tableColumn id="13" name="MONTO PAGADO C$" totalsRowFunction="sum" dataDxfId="9" totalsRowDxfId="8"/>
    <tableColumn id="14" name="T/C " dataDxfId="7" totalsRowDxfId="6"/>
    <tableColumn id="15" name="MONTO PAGADO $" totalsRowFunction="sum" dataDxfId="5" totalsRowDxfId="4">
      <calculatedColumnFormula>+N3/O3</calculatedColumnFormula>
    </tableColumn>
    <tableColumn id="16" name="SALDO $" totalsRowFunction="sum" dataDxfId="3" totalsRowDxfId="2">
      <calculatedColumnFormula>+E3-P3</calculatedColumnFormula>
    </tableColumn>
    <tableColumn id="17" name="SALDO C$" totalsRowFunction="sum" dataDxfId="1" totalsRowDxfId="0">
      <calculatedColumnFormula>Q3*O3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3:O4"/>
  <sheetViews>
    <sheetView topLeftCell="B1" zoomScale="70" zoomScaleNormal="70" workbookViewId="0">
      <selection activeCell="I3" sqref="I3:O3"/>
    </sheetView>
  </sheetViews>
  <sheetFormatPr baseColWidth="10" defaultRowHeight="15" x14ac:dyDescent="0.25"/>
  <cols>
    <col min="10" max="10" width="12.42578125" bestFit="1" customWidth="1"/>
    <col min="12" max="12" width="10.42578125" bestFit="1" customWidth="1"/>
    <col min="13" max="13" width="7.7109375" customWidth="1"/>
  </cols>
  <sheetData>
    <row r="3" spans="2:15" s="1" customFormat="1" ht="45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14</v>
      </c>
      <c r="G3" s="1" t="s">
        <v>11</v>
      </c>
      <c r="H3" s="1" t="s">
        <v>12</v>
      </c>
      <c r="I3" s="1" t="s">
        <v>10</v>
      </c>
      <c r="J3" s="1" t="s">
        <v>4</v>
      </c>
      <c r="K3" s="1" t="s">
        <v>13</v>
      </c>
      <c r="L3" s="1" t="s">
        <v>5</v>
      </c>
      <c r="M3" s="1" t="s">
        <v>7</v>
      </c>
      <c r="N3" s="1" t="s">
        <v>8</v>
      </c>
      <c r="O3" s="1" t="s">
        <v>6</v>
      </c>
    </row>
    <row r="4" spans="2:15" x14ac:dyDescent="0.25">
      <c r="B4">
        <v>11946</v>
      </c>
      <c r="C4" t="s">
        <v>9</v>
      </c>
      <c r="D4" s="2">
        <v>44119</v>
      </c>
      <c r="E4">
        <v>6236</v>
      </c>
      <c r="G4">
        <v>3</v>
      </c>
      <c r="H4">
        <v>1</v>
      </c>
      <c r="I4">
        <v>19</v>
      </c>
      <c r="J4">
        <f>(+I4*(0.1*2))+I4</f>
        <v>22.8</v>
      </c>
      <c r="K4">
        <v>0.495</v>
      </c>
      <c r="L4" s="3">
        <f>(+J4*K4)/G4</f>
        <v>3.762</v>
      </c>
      <c r="M4" s="3">
        <f>(J4/G4)+L4</f>
        <v>11.362</v>
      </c>
      <c r="N4">
        <v>35.04</v>
      </c>
      <c r="O4"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workbookViewId="0">
      <selection activeCell="I12" sqref="I12"/>
    </sheetView>
  </sheetViews>
  <sheetFormatPr baseColWidth="10" defaultRowHeight="15" x14ac:dyDescent="0.25"/>
  <cols>
    <col min="2" max="2" width="28.140625" customWidth="1"/>
  </cols>
  <sheetData>
    <row r="2" spans="1:7" x14ac:dyDescent="0.25">
      <c r="E2">
        <f>+E3*C3</f>
        <v>3432</v>
      </c>
      <c r="F2">
        <f>+E3*C4</f>
        <v>3506</v>
      </c>
      <c r="G2">
        <f>+F2-E2</f>
        <v>74</v>
      </c>
    </row>
    <row r="3" spans="1:7" x14ac:dyDescent="0.25">
      <c r="A3">
        <v>1</v>
      </c>
      <c r="B3" t="s">
        <v>46</v>
      </c>
      <c r="C3">
        <v>34.32</v>
      </c>
      <c r="E3">
        <v>100</v>
      </c>
    </row>
    <row r="4" spans="1:7" x14ac:dyDescent="0.25">
      <c r="A4">
        <v>1</v>
      </c>
      <c r="B4" t="s">
        <v>47</v>
      </c>
      <c r="C4">
        <v>35.06</v>
      </c>
    </row>
    <row r="6" spans="1:7" x14ac:dyDescent="0.25">
      <c r="A6">
        <v>2</v>
      </c>
      <c r="B6" t="str">
        <f>+B4</f>
        <v>TASA VENTA</v>
      </c>
      <c r="F6">
        <v>3506</v>
      </c>
    </row>
    <row r="7" spans="1:7" x14ac:dyDescent="0.25">
      <c r="A7">
        <v>2</v>
      </c>
      <c r="B7" t="str">
        <f>+B3</f>
        <v>TASA COMPRA</v>
      </c>
      <c r="F7">
        <v>3432</v>
      </c>
    </row>
    <row r="12" spans="1:7" x14ac:dyDescent="0.25">
      <c r="E12">
        <v>0</v>
      </c>
      <c r="F1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AO28"/>
  <sheetViews>
    <sheetView topLeftCell="U1" zoomScale="85" zoomScaleNormal="85" workbookViewId="0">
      <selection activeCell="AG19" sqref="AG19"/>
    </sheetView>
  </sheetViews>
  <sheetFormatPr baseColWidth="10" defaultRowHeight="15" x14ac:dyDescent="0.25"/>
  <cols>
    <col min="2" max="2" width="9.140625" customWidth="1"/>
    <col min="3" max="3" width="12.5703125" customWidth="1"/>
    <col min="4" max="4" width="12.28515625" bestFit="1" customWidth="1"/>
    <col min="5" max="5" width="12.85546875" customWidth="1"/>
    <col min="6" max="6" width="14.5703125" bestFit="1" customWidth="1"/>
    <col min="7" max="7" width="12.140625" customWidth="1"/>
    <col min="8" max="8" width="8.5703125" customWidth="1"/>
    <col min="9" max="9" width="12" bestFit="1" customWidth="1"/>
    <col min="10" max="10" width="14.5703125" customWidth="1"/>
    <col min="11" max="12" width="14.7109375" customWidth="1"/>
    <col min="13" max="13" width="13.28515625" customWidth="1"/>
    <col min="14" max="14" width="19.85546875" bestFit="1" customWidth="1"/>
    <col min="15" max="15" width="11.85546875" customWidth="1"/>
    <col min="16" max="16" width="7" customWidth="1"/>
    <col min="17" max="17" width="11.5703125" customWidth="1"/>
    <col min="18" max="18" width="9.5703125" customWidth="1"/>
    <col min="19" max="19" width="9.140625" customWidth="1"/>
    <col min="23" max="23" width="11.42578125" customWidth="1"/>
    <col min="24" max="24" width="11.7109375" customWidth="1"/>
    <col min="25" max="25" width="10.5703125" customWidth="1"/>
    <col min="26" max="26" width="13" customWidth="1"/>
    <col min="27" max="27" width="15.42578125" customWidth="1"/>
    <col min="28" max="28" width="13.5703125" customWidth="1"/>
    <col min="29" max="29" width="11.85546875" customWidth="1"/>
    <col min="30" max="30" width="9.85546875" customWidth="1"/>
    <col min="31" max="33" width="9.140625" customWidth="1"/>
    <col min="34" max="34" width="10.140625" customWidth="1"/>
    <col min="35" max="35" width="13.5703125" customWidth="1"/>
    <col min="36" max="36" width="11.140625" customWidth="1"/>
    <col min="37" max="37" width="12.85546875" bestFit="1" customWidth="1"/>
    <col min="38" max="38" width="10.42578125" customWidth="1"/>
    <col min="40" max="40" width="2" customWidth="1"/>
  </cols>
  <sheetData>
    <row r="2" spans="2:41" ht="45" customHeight="1" x14ac:dyDescent="0.25">
      <c r="B2" s="4" t="s">
        <v>0</v>
      </c>
      <c r="C2" s="5" t="s">
        <v>1</v>
      </c>
      <c r="D2" s="5" t="s">
        <v>2</v>
      </c>
      <c r="E2" s="5" t="s">
        <v>22</v>
      </c>
      <c r="F2" s="5" t="s">
        <v>15</v>
      </c>
      <c r="G2" s="5" t="s">
        <v>11</v>
      </c>
      <c r="H2" s="5" t="s">
        <v>12</v>
      </c>
      <c r="I2" s="5" t="s">
        <v>16</v>
      </c>
      <c r="J2" s="5" t="s">
        <v>10</v>
      </c>
      <c r="K2" s="5" t="s">
        <v>4</v>
      </c>
      <c r="L2" s="5" t="s">
        <v>24</v>
      </c>
      <c r="M2" s="5" t="s">
        <v>13</v>
      </c>
      <c r="N2" s="5" t="s">
        <v>20</v>
      </c>
      <c r="O2" s="5" t="s">
        <v>18</v>
      </c>
      <c r="P2" s="5" t="s">
        <v>8</v>
      </c>
      <c r="Q2" s="5" t="s">
        <v>19</v>
      </c>
      <c r="R2" s="5" t="s">
        <v>17</v>
      </c>
      <c r="S2" s="6" t="s">
        <v>21</v>
      </c>
      <c r="V2" s="15" t="s">
        <v>0</v>
      </c>
      <c r="W2" s="15" t="s">
        <v>1</v>
      </c>
      <c r="X2" s="15" t="s">
        <v>2</v>
      </c>
      <c r="Y2" s="15" t="s">
        <v>25</v>
      </c>
      <c r="Z2" s="15" t="s">
        <v>10</v>
      </c>
      <c r="AA2" s="15" t="s">
        <v>4</v>
      </c>
      <c r="AB2" s="34" t="s">
        <v>28</v>
      </c>
      <c r="AC2" s="15" t="s">
        <v>15</v>
      </c>
      <c r="AD2" s="15" t="s">
        <v>11</v>
      </c>
      <c r="AE2" s="15" t="s">
        <v>12</v>
      </c>
      <c r="AF2" s="15" t="s">
        <v>16</v>
      </c>
      <c r="AG2" s="15" t="s">
        <v>13</v>
      </c>
      <c r="AH2" s="15" t="s">
        <v>20</v>
      </c>
      <c r="AI2" s="15" t="s">
        <v>18</v>
      </c>
      <c r="AJ2" s="15" t="s">
        <v>8</v>
      </c>
      <c r="AK2" s="15" t="s">
        <v>19</v>
      </c>
      <c r="AL2" s="15" t="s">
        <v>17</v>
      </c>
      <c r="AM2" s="16" t="s">
        <v>21</v>
      </c>
    </row>
    <row r="3" spans="2:41" x14ac:dyDescent="0.25">
      <c r="B3" s="7">
        <v>11946</v>
      </c>
      <c r="C3" s="8" t="s">
        <v>9</v>
      </c>
      <c r="D3" s="9">
        <v>44119</v>
      </c>
      <c r="E3" s="8">
        <v>6236</v>
      </c>
      <c r="F3" s="8">
        <v>34.090000000000003</v>
      </c>
      <c r="G3" s="8">
        <v>3</v>
      </c>
      <c r="H3" s="8">
        <v>1</v>
      </c>
      <c r="I3" s="10">
        <f>+F3/G3</f>
        <v>11.363333333333335</v>
      </c>
      <c r="J3" s="8">
        <v>19</v>
      </c>
      <c r="K3" s="8">
        <f>+J3*0.1*2+J3</f>
        <v>22.8</v>
      </c>
      <c r="L3" s="8">
        <v>0.495</v>
      </c>
      <c r="M3" s="10">
        <f>((Tabla1[MONTO AP $]-Tabla1[VALORADO])*100%)/Tabla1[VALORADO]</f>
        <v>0.7942105263157897</v>
      </c>
      <c r="N3" s="13">
        <f>(+(J3*M3)/G3)*Tabla1[T/C ]</f>
        <v>176.25120000000004</v>
      </c>
      <c r="O3" s="11">
        <v>400</v>
      </c>
      <c r="P3" s="8">
        <v>35.04</v>
      </c>
      <c r="Q3" s="10">
        <f>+O3/P3</f>
        <v>11.415525114155251</v>
      </c>
      <c r="R3" s="10">
        <f>+F3-Q3</f>
        <v>22.674474885844752</v>
      </c>
      <c r="S3" s="12">
        <f>R3*P3</f>
        <v>794.51360000000011</v>
      </c>
      <c r="V3" s="17">
        <v>11946</v>
      </c>
      <c r="W3" s="17" t="s">
        <v>9</v>
      </c>
      <c r="X3" s="18">
        <v>44119</v>
      </c>
      <c r="Y3" s="17">
        <v>6236</v>
      </c>
      <c r="Z3" s="17">
        <v>19</v>
      </c>
      <c r="AA3" s="17">
        <f>+Z3*0.1*2+Z3</f>
        <v>22.8</v>
      </c>
      <c r="AB3" s="17"/>
      <c r="AC3" s="17">
        <v>34.090000000000003</v>
      </c>
      <c r="AD3" s="17">
        <v>3</v>
      </c>
      <c r="AE3" s="17">
        <v>1</v>
      </c>
      <c r="AF3" s="19">
        <f>+AC3/AD3</f>
        <v>11.363333333333335</v>
      </c>
      <c r="AG3" s="19">
        <f>((Hoja3!$AC$3:$AC$3-Hoja3!$Z$3:$Z$3)*100%)/Hoja3!$Z$3:$Z$3</f>
        <v>0.7942105263157897</v>
      </c>
      <c r="AH3" s="20">
        <f>(+(Z3*AG3)/AD3)*Hoja3!$AJ$3:$AJ$3</f>
        <v>176.25120000000004</v>
      </c>
      <c r="AI3" s="21">
        <v>800</v>
      </c>
      <c r="AJ3" s="17">
        <v>35.04</v>
      </c>
      <c r="AK3" s="19">
        <f>+AI3/AJ3</f>
        <v>22.831050228310502</v>
      </c>
      <c r="AL3" s="19">
        <f>+AC3-AK3</f>
        <v>11.258949771689501</v>
      </c>
      <c r="AM3" s="22">
        <f>AL3*AJ3</f>
        <v>394.51360000000011</v>
      </c>
    </row>
    <row r="4" spans="2:41" x14ac:dyDescent="0.25">
      <c r="B4" s="7" t="s">
        <v>23</v>
      </c>
      <c r="C4" s="8">
        <f>SUBTOTAL(103,Tabla1[ANULADO])</f>
        <v>1</v>
      </c>
      <c r="D4" s="8"/>
      <c r="E4" s="8"/>
      <c r="F4" s="8">
        <f>SUBTOTAL(109,Tabla1[MONTO AP $])</f>
        <v>34.090000000000003</v>
      </c>
      <c r="G4" s="8"/>
      <c r="H4" s="8"/>
      <c r="I4" s="10">
        <f>SUBTOTAL(109,Tabla1[VALOR CUOTA $])</f>
        <v>11.363333333333335</v>
      </c>
      <c r="J4" s="8">
        <f>SUBTOTAL(109,Tabla1[VALORADO])</f>
        <v>19</v>
      </c>
      <c r="K4" s="8">
        <f>SUBTOTAL(109,Tabla1[PRECIO LIQUIDACION])</f>
        <v>22.8</v>
      </c>
      <c r="L4" s="14"/>
      <c r="M4" s="8"/>
      <c r="N4" s="13">
        <f>SUBTOTAL(109,Tabla1[UTILIDAD POR CUOTA $])</f>
        <v>176.25120000000004</v>
      </c>
      <c r="O4" s="11">
        <f>SUBTOTAL(109,Tabla1[MONTO PAGADO C$])</f>
        <v>400</v>
      </c>
      <c r="P4" s="8"/>
      <c r="Q4" s="10">
        <f>SUBTOTAL(109,Tabla1[MONTO PAGADO $])</f>
        <v>11.415525114155251</v>
      </c>
      <c r="R4" s="10">
        <f>SUBTOTAL(109,Tabla1[SALDO $])</f>
        <v>22.674474885844752</v>
      </c>
      <c r="S4" s="12">
        <f>SUBTOTAL(109,Tabla1[SALDO C$])</f>
        <v>794.51360000000011</v>
      </c>
      <c r="V4" s="23" t="s">
        <v>23</v>
      </c>
      <c r="W4" s="23">
        <f>SUBTOTAL(103,Hoja3!$W$3:$W$3)</f>
        <v>1</v>
      </c>
      <c r="X4" s="23"/>
      <c r="Y4" s="23"/>
      <c r="Z4" s="23">
        <f>SUBTOTAL(109,Hoja3!$Z$3:$Z$3)</f>
        <v>19</v>
      </c>
      <c r="AA4" s="23">
        <f>SUBTOTAL(109,Hoja3!$AA$3:$AA$3)</f>
        <v>22.8</v>
      </c>
      <c r="AB4" s="23"/>
      <c r="AC4" s="23">
        <f>SUBTOTAL(109,Hoja3!$AC$3:$AC$3)</f>
        <v>34.090000000000003</v>
      </c>
      <c r="AD4" s="23"/>
      <c r="AE4" s="23"/>
      <c r="AF4" s="24">
        <f>SUBTOTAL(109,Hoja3!$AF$3:$AF$3)</f>
        <v>11.363333333333335</v>
      </c>
      <c r="AG4" s="23"/>
      <c r="AH4" s="25">
        <f>SUBTOTAL(109,Hoja3!$AH$3:$AH$3)</f>
        <v>176.25120000000004</v>
      </c>
      <c r="AI4" s="26">
        <f>SUBTOTAL(109,Hoja3!$AI$3:$AI$3)</f>
        <v>800</v>
      </c>
      <c r="AJ4" s="23"/>
      <c r="AK4" s="24">
        <f>SUBTOTAL(109,Hoja3!$AK$3:$AK$3)</f>
        <v>22.831050228310502</v>
      </c>
      <c r="AL4" s="24">
        <f>SUBTOTAL(109,Hoja3!$AL$3:$AL$3)</f>
        <v>11.258949771689501</v>
      </c>
      <c r="AM4" s="27">
        <f>SUBTOTAL(109,Hoja3!$AM$3:$AM$3)</f>
        <v>394.51360000000011</v>
      </c>
    </row>
    <row r="5" spans="2:41" x14ac:dyDescent="0.25">
      <c r="B5" s="64"/>
      <c r="C5" s="64"/>
      <c r="D5" s="64"/>
      <c r="E5" s="64"/>
      <c r="F5" s="64"/>
      <c r="G5" s="64"/>
      <c r="H5" s="64"/>
      <c r="I5" s="65"/>
      <c r="J5" s="64"/>
      <c r="K5" s="64"/>
      <c r="L5" s="66"/>
      <c r="M5" s="64"/>
      <c r="N5" s="67"/>
      <c r="O5" s="68"/>
      <c r="P5" s="64"/>
      <c r="Q5" s="65"/>
      <c r="R5" s="65"/>
      <c r="S5" s="65"/>
      <c r="V5" s="69"/>
      <c r="W5" s="70"/>
      <c r="X5" s="70"/>
      <c r="Y5" s="70"/>
      <c r="Z5" s="70"/>
      <c r="AA5" s="70"/>
      <c r="AB5" s="70"/>
      <c r="AC5" s="70"/>
      <c r="AD5" s="70"/>
      <c r="AE5" s="70"/>
      <c r="AL5" s="71"/>
      <c r="AM5" s="72"/>
    </row>
    <row r="6" spans="2:41" ht="15" customHeight="1" x14ac:dyDescent="0.25">
      <c r="W6" s="99" t="s">
        <v>29</v>
      </c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100"/>
    </row>
    <row r="7" spans="2:41" x14ac:dyDescent="0.25"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2"/>
    </row>
    <row r="8" spans="2:41" ht="65.25" customHeight="1" x14ac:dyDescent="0.25">
      <c r="V8" s="34" t="s">
        <v>27</v>
      </c>
      <c r="W8" s="34" t="s">
        <v>1</v>
      </c>
      <c r="X8" s="34" t="s">
        <v>2</v>
      </c>
      <c r="Y8" s="34" t="s">
        <v>25</v>
      </c>
      <c r="Z8" s="34" t="s">
        <v>10</v>
      </c>
      <c r="AA8" s="34" t="s">
        <v>31</v>
      </c>
      <c r="AB8" s="34" t="s">
        <v>28</v>
      </c>
      <c r="AC8" s="34" t="s">
        <v>26</v>
      </c>
      <c r="AD8" s="34" t="s">
        <v>15</v>
      </c>
      <c r="AE8" s="34" t="s">
        <v>11</v>
      </c>
      <c r="AF8" s="34" t="s">
        <v>12</v>
      </c>
      <c r="AG8" s="34" t="s">
        <v>16</v>
      </c>
      <c r="AH8" s="34" t="s">
        <v>19</v>
      </c>
      <c r="AI8" s="34" t="s">
        <v>18</v>
      </c>
      <c r="AJ8" s="35" t="s">
        <v>20</v>
      </c>
      <c r="AK8" s="15" t="s">
        <v>8</v>
      </c>
      <c r="AL8" s="35" t="s">
        <v>30</v>
      </c>
      <c r="AM8" s="15" t="s">
        <v>17</v>
      </c>
      <c r="AO8" s="35" t="s">
        <v>35</v>
      </c>
    </row>
    <row r="9" spans="2:41" x14ac:dyDescent="0.25">
      <c r="V9" s="28">
        <v>388</v>
      </c>
      <c r="W9" s="28" t="s">
        <v>9</v>
      </c>
      <c r="X9" s="29">
        <v>44081</v>
      </c>
      <c r="Y9" s="28">
        <v>147</v>
      </c>
      <c r="Z9" s="28">
        <v>50</v>
      </c>
      <c r="AA9" s="28">
        <f>+Z9*0.15*2+Z9</f>
        <v>65</v>
      </c>
      <c r="AB9" s="28">
        <v>0.15</v>
      </c>
      <c r="AC9" s="28">
        <f>+AB9*AA9</f>
        <v>9.75</v>
      </c>
      <c r="AD9" s="28">
        <f>+AC9+AA9</f>
        <v>74.75</v>
      </c>
      <c r="AE9" s="28">
        <f>IF(AD9&gt;=60,4,     (IF(AD9&gt;=31,3,   (IF(AD9&gt;=0,2, "N/A"))              ))     )</f>
        <v>4</v>
      </c>
      <c r="AF9" s="28">
        <v>1</v>
      </c>
      <c r="AG9" s="30">
        <f>+AD9/AE9</f>
        <v>18.6875</v>
      </c>
      <c r="AH9" s="39">
        <v>22.5</v>
      </c>
      <c r="AI9" s="30">
        <f>+AH9*AK9</f>
        <v>787.95</v>
      </c>
      <c r="AJ9" s="39">
        <f>IF(AH9&gt;=AJ16,AJ16,(AH9-(Z9/AE9)))</f>
        <v>10</v>
      </c>
      <c r="AK9" s="17">
        <v>35.020000000000003</v>
      </c>
      <c r="AL9" s="36">
        <f>+AJ9*AK9</f>
        <v>350.20000000000005</v>
      </c>
      <c r="AM9" s="37">
        <f>+AD9-AH9</f>
        <v>52.25</v>
      </c>
      <c r="AO9" s="3">
        <v>0</v>
      </c>
    </row>
    <row r="10" spans="2:41" x14ac:dyDescent="0.25">
      <c r="V10" s="28">
        <v>11947</v>
      </c>
      <c r="W10" s="28" t="s">
        <v>9</v>
      </c>
      <c r="X10" s="29">
        <v>44120</v>
      </c>
      <c r="Y10" s="28">
        <v>6236</v>
      </c>
      <c r="Z10" s="28">
        <f>+Z9</f>
        <v>50</v>
      </c>
      <c r="AA10" s="28">
        <f>+AA9</f>
        <v>65</v>
      </c>
      <c r="AB10" s="28">
        <f>+AB9</f>
        <v>0.15</v>
      </c>
      <c r="AC10" s="28">
        <f t="shared" ref="AC10:AC12" si="0">+AB10*AA10</f>
        <v>9.75</v>
      </c>
      <c r="AD10" s="28">
        <f t="shared" ref="AD10:AD12" si="1">+AC10+AA10</f>
        <v>74.75</v>
      </c>
      <c r="AE10" s="28">
        <f t="shared" ref="AE10:AE12" si="2">IF(AD10&gt;=60,4,     (IF(AD10&gt;=31,3,   (IF(AD10&gt;=0,2, "N/A"))              ))     )</f>
        <v>4</v>
      </c>
      <c r="AF10" s="28">
        <f>+AF9+1</f>
        <v>2</v>
      </c>
      <c r="AG10" s="30">
        <f t="shared" ref="AG10:AG12" si="3">+AD10/AE10</f>
        <v>18.6875</v>
      </c>
      <c r="AH10" s="39">
        <v>50</v>
      </c>
      <c r="AI10" s="30">
        <f>+AH10*AK10</f>
        <v>1802</v>
      </c>
      <c r="AJ10" s="39">
        <f>IF(AJ16&gt;=(AD10-Z10),0,(AH10-(Z10/AE10)))</f>
        <v>0</v>
      </c>
      <c r="AK10" s="17">
        <v>36.04</v>
      </c>
      <c r="AL10" s="36">
        <f>+AJ10*AK10</f>
        <v>0</v>
      </c>
      <c r="AM10" s="37">
        <f>+AM9-AH10</f>
        <v>2.25</v>
      </c>
      <c r="AO10" s="3">
        <f>+AJ9</f>
        <v>10</v>
      </c>
    </row>
    <row r="11" spans="2:41" x14ac:dyDescent="0.25">
      <c r="V11" s="28">
        <v>11948</v>
      </c>
      <c r="W11" s="28" t="s">
        <v>9</v>
      </c>
      <c r="X11" s="29">
        <v>44121</v>
      </c>
      <c r="Y11" s="28">
        <v>6236</v>
      </c>
      <c r="Z11" s="28">
        <f>+Z10</f>
        <v>50</v>
      </c>
      <c r="AA11" s="28">
        <f t="shared" ref="AA11:AA12" si="4">+AA10</f>
        <v>65</v>
      </c>
      <c r="AB11" s="28">
        <f t="shared" ref="AB11:AB12" si="5">+AB10</f>
        <v>0.15</v>
      </c>
      <c r="AC11" s="28">
        <f t="shared" si="0"/>
        <v>9.75</v>
      </c>
      <c r="AD11" s="28">
        <f t="shared" si="1"/>
        <v>74.75</v>
      </c>
      <c r="AE11" s="28">
        <f t="shared" si="2"/>
        <v>4</v>
      </c>
      <c r="AF11" s="28">
        <f t="shared" ref="AF11:AF12" si="6">+AF10+1</f>
        <v>3</v>
      </c>
      <c r="AG11" s="30">
        <f t="shared" si="3"/>
        <v>18.6875</v>
      </c>
      <c r="AH11" s="39">
        <v>7.5</v>
      </c>
      <c r="AI11" s="30">
        <f>+AH11*AK11</f>
        <v>277.8</v>
      </c>
      <c r="AJ11" s="39">
        <f>IF(AJ16&gt;=(AD11-Z11),0,(AH11-(Z11/AE11)))</f>
        <v>0</v>
      </c>
      <c r="AK11" s="17">
        <v>37.04</v>
      </c>
      <c r="AL11" s="36">
        <f>+AJ11*AK11</f>
        <v>0</v>
      </c>
      <c r="AM11" s="37">
        <f>+AM10-AH11</f>
        <v>-5.25</v>
      </c>
      <c r="AO11" s="3">
        <f t="shared" ref="AO11:AO13" si="7">+AJ10</f>
        <v>0</v>
      </c>
    </row>
    <row r="12" spans="2:41" ht="15.75" thickBot="1" x14ac:dyDescent="0.3">
      <c r="V12" s="28">
        <v>11949</v>
      </c>
      <c r="W12" s="28" t="s">
        <v>9</v>
      </c>
      <c r="X12" s="29">
        <v>44122</v>
      </c>
      <c r="Y12" s="28">
        <v>6236</v>
      </c>
      <c r="Z12" s="28">
        <f>+Z11</f>
        <v>50</v>
      </c>
      <c r="AA12" s="28">
        <f t="shared" si="4"/>
        <v>65</v>
      </c>
      <c r="AB12" s="28">
        <f t="shared" si="5"/>
        <v>0.15</v>
      </c>
      <c r="AC12" s="28">
        <f t="shared" si="0"/>
        <v>9.75</v>
      </c>
      <c r="AD12" s="28">
        <f t="shared" si="1"/>
        <v>74.75</v>
      </c>
      <c r="AE12" s="28">
        <f t="shared" si="2"/>
        <v>4</v>
      </c>
      <c r="AF12" s="28">
        <f t="shared" si="6"/>
        <v>4</v>
      </c>
      <c r="AG12" s="42">
        <f t="shared" si="3"/>
        <v>18.6875</v>
      </c>
      <c r="AH12" s="43">
        <v>0</v>
      </c>
      <c r="AI12" s="30">
        <f>+AH12*AK12</f>
        <v>0</v>
      </c>
      <c r="AJ12" s="39">
        <f>IF(AJ16&gt;=(AD12-Z12),0,(AH12-(Z12/AE12)))</f>
        <v>0</v>
      </c>
      <c r="AK12" s="17">
        <v>38.04</v>
      </c>
      <c r="AL12" s="36">
        <f>+AJ12*AK12</f>
        <v>0</v>
      </c>
      <c r="AM12" s="37">
        <f>+AM11-AH12</f>
        <v>-5.25</v>
      </c>
      <c r="AO12" s="3">
        <f t="shared" si="7"/>
        <v>0</v>
      </c>
    </row>
    <row r="13" spans="2:41" ht="15.75" thickBot="1" x14ac:dyDescent="0.3">
      <c r="V13" s="31" t="s">
        <v>23</v>
      </c>
      <c r="W13" s="31">
        <f>SUBTOTAL(103,Hoja3!$W$3:$W$3)</f>
        <v>1</v>
      </c>
      <c r="X13" s="31"/>
      <c r="Y13" s="31"/>
      <c r="Z13" s="31"/>
      <c r="AA13" s="31"/>
      <c r="AB13" s="32"/>
      <c r="AC13" s="33"/>
      <c r="AD13" s="33"/>
      <c r="AE13" s="31"/>
      <c r="AF13" s="40"/>
      <c r="AG13" s="44">
        <f>+SUM(AG9:AG12)</f>
        <v>74.75</v>
      </c>
      <c r="AH13" s="45">
        <f>+SUM(AH9:AH12)</f>
        <v>80</v>
      </c>
      <c r="AI13" s="41">
        <f>+SUM(AI9:AI12)</f>
        <v>2867.75</v>
      </c>
      <c r="AJ13" s="38">
        <f>+SUM(AJ9:AJ12)</f>
        <v>10</v>
      </c>
      <c r="AK13" s="32"/>
      <c r="AL13" s="32">
        <v>350.4</v>
      </c>
      <c r="AM13" s="32"/>
      <c r="AO13" s="3">
        <f t="shared" si="7"/>
        <v>0</v>
      </c>
    </row>
    <row r="15" spans="2:41" ht="15" customHeight="1" x14ac:dyDescent="0.25">
      <c r="AF15">
        <v>40</v>
      </c>
      <c r="AI15" t="s">
        <v>32</v>
      </c>
      <c r="AJ15" s="38">
        <v>50</v>
      </c>
    </row>
    <row r="16" spans="2:41" ht="15" customHeight="1" x14ac:dyDescent="0.25">
      <c r="J16">
        <f>+Tabla1[MONTO AP $]-Tabla1[VALORADO]</f>
        <v>15.090000000000003</v>
      </c>
      <c r="N16">
        <f>+Tabla1[UTILIDAD POR CUOTA $]*3</f>
        <v>528.75360000000012</v>
      </c>
      <c r="O16">
        <f>(Tabla1[UTILIDAD POR CUOTA $]*3)/Tabla1[T/C ]</f>
        <v>15.090000000000003</v>
      </c>
      <c r="AI16" t="s">
        <v>33</v>
      </c>
      <c r="AJ16" s="38">
        <f>+AD9-Z9</f>
        <v>24.75</v>
      </c>
      <c r="AK16" s="103" t="s">
        <v>34</v>
      </c>
      <c r="AL16" s="104"/>
      <c r="AM16" s="105"/>
    </row>
    <row r="17" spans="36:36" ht="15" customHeight="1" x14ac:dyDescent="0.25"/>
    <row r="18" spans="36:36" ht="15" customHeight="1" x14ac:dyDescent="0.25">
      <c r="AJ18" s="3"/>
    </row>
    <row r="19" spans="36:36" ht="15" customHeight="1" x14ac:dyDescent="0.25"/>
    <row r="20" spans="36:36" ht="15" customHeight="1" x14ac:dyDescent="0.25"/>
    <row r="21" spans="36:36" ht="15" customHeight="1" x14ac:dyDescent="0.25"/>
    <row r="22" spans="36:36" ht="15" customHeight="1" x14ac:dyDescent="0.25"/>
    <row r="23" spans="36:36" ht="15" customHeight="1" x14ac:dyDescent="0.25"/>
    <row r="24" spans="36:36" ht="15" customHeight="1" x14ac:dyDescent="0.25"/>
    <row r="25" spans="36:36" ht="15" customHeight="1" x14ac:dyDescent="0.25"/>
    <row r="26" spans="36:36" ht="15" customHeight="1" x14ac:dyDescent="0.25"/>
    <row r="27" spans="36:36" ht="15" customHeight="1" x14ac:dyDescent="0.25"/>
    <row r="28" spans="36:36" ht="15" customHeight="1" x14ac:dyDescent="0.25"/>
  </sheetData>
  <mergeCells count="2">
    <mergeCell ref="W6:AM7"/>
    <mergeCell ref="AK16:AM16"/>
  </mergeCells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28"/>
  <sheetViews>
    <sheetView topLeftCell="U1" zoomScale="85" zoomScaleNormal="85" workbookViewId="0">
      <selection activeCell="AH24" sqref="AH24"/>
    </sheetView>
  </sheetViews>
  <sheetFormatPr baseColWidth="10" defaultRowHeight="15" x14ac:dyDescent="0.25"/>
  <cols>
    <col min="2" max="2" width="9.140625" customWidth="1"/>
    <col min="3" max="3" width="12.5703125" customWidth="1"/>
    <col min="4" max="4" width="12.28515625" bestFit="1" customWidth="1"/>
    <col min="5" max="5" width="12.85546875" customWidth="1"/>
    <col min="6" max="6" width="14.5703125" bestFit="1" customWidth="1"/>
    <col min="7" max="7" width="12.140625" customWidth="1"/>
    <col min="8" max="8" width="8.5703125" customWidth="1"/>
    <col min="9" max="9" width="12" bestFit="1" customWidth="1"/>
    <col min="10" max="10" width="14.5703125" customWidth="1"/>
    <col min="11" max="12" width="14.7109375" customWidth="1"/>
    <col min="13" max="13" width="13.28515625" customWidth="1"/>
    <col min="14" max="14" width="19.85546875" bestFit="1" customWidth="1"/>
    <col min="15" max="15" width="11.85546875" customWidth="1"/>
    <col min="16" max="16" width="7" customWidth="1"/>
    <col min="17" max="17" width="11.5703125" customWidth="1"/>
    <col min="18" max="18" width="9.5703125" customWidth="1"/>
    <col min="19" max="19" width="9.140625" customWidth="1"/>
    <col min="23" max="23" width="11.42578125" customWidth="1"/>
    <col min="24" max="24" width="11.7109375" customWidth="1"/>
    <col min="25" max="25" width="10.5703125" customWidth="1"/>
    <col min="26" max="26" width="13" customWidth="1"/>
    <col min="27" max="27" width="15.42578125" customWidth="1"/>
    <col min="28" max="28" width="13.5703125" customWidth="1"/>
    <col min="29" max="29" width="11.85546875" customWidth="1"/>
    <col min="30" max="30" width="9.85546875" customWidth="1"/>
    <col min="31" max="33" width="9.140625" customWidth="1"/>
    <col min="34" max="34" width="10.140625" customWidth="1"/>
    <col min="35" max="35" width="13.5703125" customWidth="1"/>
    <col min="36" max="36" width="11.140625" customWidth="1"/>
    <col min="37" max="37" width="12.85546875" bestFit="1" customWidth="1"/>
    <col min="38" max="38" width="10.42578125" customWidth="1"/>
    <col min="40" max="40" width="10" customWidth="1"/>
  </cols>
  <sheetData>
    <row r="2" spans="1:41" ht="45" customHeight="1" x14ac:dyDescent="0.25">
      <c r="A2" s="4" t="s">
        <v>0</v>
      </c>
      <c r="B2" s="5" t="s">
        <v>1</v>
      </c>
      <c r="C2" s="5" t="s">
        <v>2</v>
      </c>
      <c r="D2" s="5" t="s">
        <v>22</v>
      </c>
      <c r="E2" s="5" t="s">
        <v>15</v>
      </c>
      <c r="F2" s="5" t="s">
        <v>11</v>
      </c>
      <c r="G2" s="5" t="s">
        <v>12</v>
      </c>
      <c r="H2" s="5" t="s">
        <v>16</v>
      </c>
      <c r="I2" s="5" t="s">
        <v>10</v>
      </c>
      <c r="J2" s="5" t="s">
        <v>4</v>
      </c>
      <c r="K2" s="5" t="s">
        <v>24</v>
      </c>
      <c r="L2" s="5" t="s">
        <v>13</v>
      </c>
      <c r="M2" s="5" t="s">
        <v>20</v>
      </c>
      <c r="N2" s="5" t="s">
        <v>18</v>
      </c>
      <c r="O2" s="5" t="s">
        <v>8</v>
      </c>
      <c r="P2" s="5" t="s">
        <v>19</v>
      </c>
      <c r="Q2" s="5" t="s">
        <v>17</v>
      </c>
      <c r="R2" s="6" t="s">
        <v>21</v>
      </c>
      <c r="U2" s="74" t="s">
        <v>57</v>
      </c>
      <c r="V2" s="74" t="s">
        <v>1</v>
      </c>
      <c r="W2" s="74" t="s">
        <v>2</v>
      </c>
      <c r="X2" s="74" t="s">
        <v>25</v>
      </c>
      <c r="Y2" s="74" t="s">
        <v>10</v>
      </c>
      <c r="Z2" s="74" t="s">
        <v>4</v>
      </c>
      <c r="AA2" s="34" t="s">
        <v>28</v>
      </c>
      <c r="AB2" s="74" t="s">
        <v>26</v>
      </c>
      <c r="AC2" s="34" t="s">
        <v>15</v>
      </c>
      <c r="AD2" s="73" t="s">
        <v>56</v>
      </c>
      <c r="AE2" s="74" t="s">
        <v>11</v>
      </c>
      <c r="AF2" s="74" t="s">
        <v>12</v>
      </c>
      <c r="AG2" s="74" t="s">
        <v>16</v>
      </c>
      <c r="AI2" s="15" t="s">
        <v>20</v>
      </c>
      <c r="AJ2" s="15" t="s">
        <v>18</v>
      </c>
      <c r="AK2" s="15" t="s">
        <v>8</v>
      </c>
      <c r="AL2" s="15" t="s">
        <v>19</v>
      </c>
      <c r="AM2" s="15" t="s">
        <v>17</v>
      </c>
      <c r="AN2" s="16" t="s">
        <v>21</v>
      </c>
    </row>
    <row r="3" spans="1:41" x14ac:dyDescent="0.25">
      <c r="A3" s="7">
        <v>11946</v>
      </c>
      <c r="B3" s="8" t="s">
        <v>9</v>
      </c>
      <c r="C3" s="9">
        <v>44119</v>
      </c>
      <c r="D3" s="8">
        <v>6236</v>
      </c>
      <c r="E3" s="8">
        <v>34.090000000000003</v>
      </c>
      <c r="F3" s="8">
        <v>3</v>
      </c>
      <c r="G3" s="8">
        <v>1</v>
      </c>
      <c r="H3" s="10">
        <f>+E3/F3</f>
        <v>11.363333333333335</v>
      </c>
      <c r="I3" s="8">
        <v>19</v>
      </c>
      <c r="J3" s="8">
        <f>+I3*0.1*2+I3</f>
        <v>22.8</v>
      </c>
      <c r="K3" s="8">
        <v>0.495</v>
      </c>
      <c r="L3" s="10">
        <f>((Tabla13[MONTO AP $]-Tabla13[VALORADO])*100%)/Tabla13[VALORADO]</f>
        <v>0.7942105263157897</v>
      </c>
      <c r="M3" s="13">
        <f>(+(I3*L3)/F3)*Tabla13[T/C ]</f>
        <v>176.25120000000004</v>
      </c>
      <c r="N3" s="11">
        <v>400</v>
      </c>
      <c r="O3" s="8">
        <v>35.04</v>
      </c>
      <c r="P3" s="10">
        <f>+N3/O3</f>
        <v>11.415525114155251</v>
      </c>
      <c r="Q3" s="10">
        <f>+E3-P3</f>
        <v>22.674474885844752</v>
      </c>
      <c r="R3" s="12">
        <f>Q3*O3</f>
        <v>794.51360000000011</v>
      </c>
      <c r="U3" s="17">
        <v>11946</v>
      </c>
      <c r="V3" s="17" t="s">
        <v>9</v>
      </c>
      <c r="W3" s="18">
        <v>44119</v>
      </c>
      <c r="X3" s="17">
        <v>6236</v>
      </c>
      <c r="Y3" s="17">
        <v>30</v>
      </c>
      <c r="Z3" s="17">
        <f>+Y3*0.1*2+Y3</f>
        <v>36</v>
      </c>
      <c r="AA3" s="17">
        <v>0.5</v>
      </c>
      <c r="AB3" s="17">
        <f>+Z3*AA3</f>
        <v>18</v>
      </c>
      <c r="AC3" s="36">
        <f>+Z3+AB3</f>
        <v>54</v>
      </c>
      <c r="AD3" s="19">
        <f>+AC3-Y3</f>
        <v>24</v>
      </c>
      <c r="AE3" s="17">
        <f>IF(AC3&gt;=60,4,     (IF(AC3&gt;=31,3,   (IF(AC3&gt;=0,2, "N/A"))              ))     )</f>
        <v>3</v>
      </c>
      <c r="AF3" s="17">
        <v>1</v>
      </c>
      <c r="AG3" s="19">
        <f>+AI3/AK3</f>
        <v>20</v>
      </c>
      <c r="AI3" s="20">
        <v>700.8</v>
      </c>
      <c r="AJ3" s="21">
        <v>800</v>
      </c>
      <c r="AK3" s="17">
        <v>35.04</v>
      </c>
      <c r="AL3" s="19">
        <f>+AJ3/AK3</f>
        <v>22.831050228310502</v>
      </c>
      <c r="AM3" s="19">
        <f>+AB3-AL3</f>
        <v>-4.8310502283105023</v>
      </c>
      <c r="AN3" s="22">
        <f>AM3*AK3</f>
        <v>-169.28</v>
      </c>
    </row>
    <row r="4" spans="1:41" x14ac:dyDescent="0.25">
      <c r="A4" s="7" t="s">
        <v>23</v>
      </c>
      <c r="B4" s="8">
        <f>SUBTOTAL(103,Tabla13[ANULADO])</f>
        <v>1</v>
      </c>
      <c r="C4" s="8"/>
      <c r="D4" s="8"/>
      <c r="E4" s="8">
        <f>SUBTOTAL(109,Tabla13[MONTO AP $])</f>
        <v>34.090000000000003</v>
      </c>
      <c r="F4" s="8"/>
      <c r="G4" s="8"/>
      <c r="H4" s="10">
        <f>SUBTOTAL(109,Tabla13[VALOR CUOTA $])</f>
        <v>11.363333333333335</v>
      </c>
      <c r="I4" s="8">
        <f>SUBTOTAL(109,Tabla13[VALORADO])</f>
        <v>19</v>
      </c>
      <c r="J4" s="8">
        <f>SUBTOTAL(109,Tabla13[PRECIO LIQUIDACION])</f>
        <v>22.8</v>
      </c>
      <c r="K4" s="14"/>
      <c r="L4" s="8"/>
      <c r="M4" s="13">
        <f>SUBTOTAL(109,Tabla13[UTILIDAD POR CUOTA $])</f>
        <v>176.25120000000004</v>
      </c>
      <c r="N4" s="11">
        <f>SUBTOTAL(109,Tabla13[MONTO PAGADO C$])</f>
        <v>400</v>
      </c>
      <c r="O4" s="8"/>
      <c r="P4" s="10">
        <f>SUBTOTAL(109,Tabla13[MONTO PAGADO $])</f>
        <v>11.415525114155251</v>
      </c>
      <c r="Q4" s="10">
        <f>SUBTOTAL(109,Tabla13[SALDO $])</f>
        <v>22.674474885844752</v>
      </c>
      <c r="R4" s="12">
        <f>SUBTOTAL(109,Tabla13[SALDO C$])</f>
        <v>794.51360000000011</v>
      </c>
      <c r="U4" s="23" t="s">
        <v>23</v>
      </c>
      <c r="V4" s="23">
        <f>SUBTOTAL(103,Ad.!$V$3:$V$3)</f>
        <v>1</v>
      </c>
      <c r="W4" s="23"/>
      <c r="X4" s="23"/>
      <c r="Y4" s="23">
        <f>SUBTOTAL(109,Ad.!$Y$3:$Y$3)</f>
        <v>30</v>
      </c>
      <c r="Z4" s="23">
        <f>SUBTOTAL(109,Ad.!$Z$3:$Z$3)</f>
        <v>36</v>
      </c>
      <c r="AA4" s="23"/>
      <c r="AB4" s="23">
        <f>SUBTOTAL(109,Ad.!$AB$3:$AB$3)</f>
        <v>18</v>
      </c>
      <c r="AD4" s="23"/>
      <c r="AE4" s="23"/>
      <c r="AF4" s="23"/>
      <c r="AG4" s="24">
        <f>SUBTOTAL(109,Ad.!$AG$3:$AG$3)</f>
        <v>20</v>
      </c>
      <c r="AI4" s="25">
        <f>SUBTOTAL(109,Ad.!$AI$3:$AI$3)</f>
        <v>700.8</v>
      </c>
      <c r="AJ4" s="26">
        <f>SUBTOTAL(109,Ad.!$AJ$3:$AJ$3)</f>
        <v>800</v>
      </c>
      <c r="AK4" s="23"/>
      <c r="AL4" s="24">
        <f>SUBTOTAL(109,Ad.!$AL$3:$AL$3)</f>
        <v>22.831050228310502</v>
      </c>
      <c r="AM4" s="24">
        <f>SUBTOTAL(109,Ad.!$AM$3:$AM$3)</f>
        <v>-4.8310502283105023</v>
      </c>
      <c r="AN4" s="27">
        <f>SUBTOTAL(109,Ad.!$AN$3:$AN$3)</f>
        <v>-169.28</v>
      </c>
    </row>
    <row r="5" spans="1:41" x14ac:dyDescent="0.25">
      <c r="B5" s="64"/>
      <c r="C5" s="64"/>
      <c r="D5" s="64"/>
      <c r="E5" s="64"/>
      <c r="F5" s="64"/>
      <c r="G5" s="64"/>
      <c r="H5" s="64"/>
      <c r="I5" s="65"/>
      <c r="J5" s="64"/>
      <c r="K5" s="64"/>
      <c r="L5" s="66"/>
      <c r="M5" s="64"/>
      <c r="N5" s="67"/>
      <c r="O5" s="68"/>
      <c r="P5" s="64"/>
      <c r="Q5" s="65"/>
      <c r="R5" s="65"/>
      <c r="S5" s="65"/>
      <c r="V5" s="69"/>
      <c r="W5" s="70"/>
      <c r="X5" s="70"/>
      <c r="Y5" s="70"/>
      <c r="Z5" s="70"/>
      <c r="AA5" s="70"/>
      <c r="AB5" s="70"/>
      <c r="AC5" s="70"/>
      <c r="AD5" s="70"/>
      <c r="AE5" s="70"/>
      <c r="AL5" s="71"/>
      <c r="AM5" s="72"/>
    </row>
    <row r="6" spans="1:41" ht="15" customHeight="1" x14ac:dyDescent="0.25">
      <c r="W6" s="99" t="s">
        <v>29</v>
      </c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100"/>
    </row>
    <row r="7" spans="1:41" x14ac:dyDescent="0.25"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2"/>
    </row>
    <row r="8" spans="1:41" ht="65.25" customHeight="1" x14ac:dyDescent="0.25">
      <c r="V8" s="34" t="s">
        <v>27</v>
      </c>
      <c r="W8" s="34" t="s">
        <v>1</v>
      </c>
      <c r="X8" s="34" t="s">
        <v>2</v>
      </c>
      <c r="Y8" s="34" t="s">
        <v>25</v>
      </c>
      <c r="Z8" s="34" t="s">
        <v>10</v>
      </c>
      <c r="AA8" s="34" t="s">
        <v>31</v>
      </c>
      <c r="AB8" s="34" t="s">
        <v>28</v>
      </c>
      <c r="AC8" s="34" t="s">
        <v>26</v>
      </c>
      <c r="AD8" s="34" t="s">
        <v>15</v>
      </c>
      <c r="AE8" s="73" t="s">
        <v>59</v>
      </c>
      <c r="AF8" s="34" t="s">
        <v>11</v>
      </c>
      <c r="AG8" s="34" t="s">
        <v>12</v>
      </c>
      <c r="AH8" s="34" t="s">
        <v>16</v>
      </c>
      <c r="AI8" s="34" t="s">
        <v>19</v>
      </c>
      <c r="AJ8" s="34" t="s">
        <v>18</v>
      </c>
      <c r="AK8" s="35" t="s">
        <v>20</v>
      </c>
      <c r="AL8" s="15" t="s">
        <v>8</v>
      </c>
      <c r="AM8" s="35" t="s">
        <v>30</v>
      </c>
      <c r="AN8" s="74" t="s">
        <v>17</v>
      </c>
      <c r="AO8" s="35" t="s">
        <v>35</v>
      </c>
    </row>
    <row r="9" spans="1:41" x14ac:dyDescent="0.25">
      <c r="V9" s="28">
        <v>388</v>
      </c>
      <c r="W9" s="28" t="s">
        <v>9</v>
      </c>
      <c r="X9" s="29">
        <v>44081</v>
      </c>
      <c r="Y9" s="28">
        <v>147</v>
      </c>
      <c r="Z9" s="28">
        <v>30</v>
      </c>
      <c r="AA9" s="28">
        <f>+Z9*0.1*2+Z9</f>
        <v>36</v>
      </c>
      <c r="AB9" s="28">
        <v>0.5</v>
      </c>
      <c r="AC9" s="28">
        <f>+AB9*AA9</f>
        <v>18</v>
      </c>
      <c r="AD9" s="28">
        <f>+AC9+AA9</f>
        <v>54</v>
      </c>
      <c r="AE9" s="28">
        <f>+AD9-Z9</f>
        <v>24</v>
      </c>
      <c r="AF9" s="28">
        <f>IF(AD9&gt;=60,4,     (IF(AD9&gt;=31,3,   (IF(AD9&gt;=0,2, "N/A"))              ))     )</f>
        <v>3</v>
      </c>
      <c r="AG9" s="28">
        <v>1</v>
      </c>
      <c r="AH9" s="30">
        <f>+AD9/AF9</f>
        <v>18</v>
      </c>
      <c r="AI9" s="39">
        <v>20</v>
      </c>
      <c r="AJ9" s="30">
        <f>+AI9*AL9</f>
        <v>700.8</v>
      </c>
      <c r="AK9" s="39">
        <f>IF(AI9&gt;=AJ16,AJ16,(AI9-(Z9/AF9)))</f>
        <v>10</v>
      </c>
      <c r="AL9" s="17">
        <v>35.04</v>
      </c>
      <c r="AM9" s="36">
        <f>+AK9*AL9</f>
        <v>350.4</v>
      </c>
      <c r="AN9" s="37">
        <f>+AD9-AI9</f>
        <v>34</v>
      </c>
      <c r="AO9" s="3">
        <v>0</v>
      </c>
    </row>
    <row r="10" spans="1:41" x14ac:dyDescent="0.25">
      <c r="V10" s="28">
        <v>11947</v>
      </c>
      <c r="W10" s="28" t="s">
        <v>9</v>
      </c>
      <c r="X10" s="29">
        <v>44120</v>
      </c>
      <c r="Y10" s="28">
        <v>6236</v>
      </c>
      <c r="Z10" s="28">
        <f>+Z9</f>
        <v>30</v>
      </c>
      <c r="AA10" s="28">
        <f>+AA9</f>
        <v>36</v>
      </c>
      <c r="AB10" s="28">
        <f>+AB9</f>
        <v>0.5</v>
      </c>
      <c r="AC10" s="28">
        <f t="shared" ref="AC10:AC12" si="0">+AB10*AA10</f>
        <v>18</v>
      </c>
      <c r="AD10" s="28">
        <f t="shared" ref="AD10:AD12" si="1">+AC10+AA10</f>
        <v>54</v>
      </c>
      <c r="AE10" s="28"/>
      <c r="AF10" s="28">
        <f>IF(AD10&gt;=60,4,     (IF(AD10&gt;=31,3,   (IF(AD10&gt;=0,2, "N/A"))              ))     )</f>
        <v>3</v>
      </c>
      <c r="AG10" s="28">
        <f>+AG9+1</f>
        <v>2</v>
      </c>
      <c r="AH10" s="30">
        <f>+AD10/AF10</f>
        <v>18</v>
      </c>
      <c r="AI10" s="39">
        <v>50</v>
      </c>
      <c r="AJ10" s="30">
        <f>+AI10*AL10</f>
        <v>1802</v>
      </c>
      <c r="AK10" s="39">
        <f>IF(AJ16&gt;=(AD10-Z10),0,(AI10-(Z10/AF10)))</f>
        <v>0</v>
      </c>
      <c r="AL10" s="17">
        <v>36.04</v>
      </c>
      <c r="AM10" s="36">
        <f>+AK10*AL10</f>
        <v>0</v>
      </c>
      <c r="AN10" s="37">
        <f>+AN9-AI10</f>
        <v>-16</v>
      </c>
      <c r="AO10" s="3">
        <f>+AK9</f>
        <v>10</v>
      </c>
    </row>
    <row r="11" spans="1:41" x14ac:dyDescent="0.25">
      <c r="V11" s="28">
        <v>11948</v>
      </c>
      <c r="W11" s="28" t="s">
        <v>9</v>
      </c>
      <c r="X11" s="29">
        <v>44121</v>
      </c>
      <c r="Y11" s="28">
        <v>6236</v>
      </c>
      <c r="Z11" s="28">
        <f>+Z10</f>
        <v>30</v>
      </c>
      <c r="AA11" s="28">
        <f t="shared" ref="AA11:AB12" si="2">+AA10</f>
        <v>36</v>
      </c>
      <c r="AB11" s="28">
        <f t="shared" si="2"/>
        <v>0.5</v>
      </c>
      <c r="AC11" s="28">
        <f t="shared" si="0"/>
        <v>18</v>
      </c>
      <c r="AD11" s="28">
        <f t="shared" si="1"/>
        <v>54</v>
      </c>
      <c r="AE11" s="28"/>
      <c r="AF11" s="28">
        <f>IF(AD11&gt;=60,4,     (IF(AD11&gt;=31,3,   (IF(AD11&gt;=0,2, "N/A"))              ))     )</f>
        <v>3</v>
      </c>
      <c r="AG11" s="28">
        <f t="shared" ref="AG11:AG12" si="3">+AG10+1</f>
        <v>3</v>
      </c>
      <c r="AH11" s="30">
        <f>+AD11/AF11</f>
        <v>18</v>
      </c>
      <c r="AI11" s="39">
        <v>7.5</v>
      </c>
      <c r="AJ11" s="30">
        <f>+AI11*AL11</f>
        <v>277.8</v>
      </c>
      <c r="AK11" s="39">
        <f>IF(AJ16&gt;=(AD11-Z11),0,(AI11-(Z11/AF11)))</f>
        <v>0</v>
      </c>
      <c r="AL11" s="17">
        <v>37.04</v>
      </c>
      <c r="AM11" s="36">
        <f>+AK11*AL11</f>
        <v>0</v>
      </c>
      <c r="AN11" s="37">
        <f>+AN10-AI11</f>
        <v>-23.5</v>
      </c>
      <c r="AO11" s="3">
        <f>+AK10</f>
        <v>0</v>
      </c>
    </row>
    <row r="12" spans="1:41" ht="15.75" thickBot="1" x14ac:dyDescent="0.3">
      <c r="V12" s="28">
        <v>11949</v>
      </c>
      <c r="W12" s="28" t="s">
        <v>9</v>
      </c>
      <c r="X12" s="29">
        <v>44122</v>
      </c>
      <c r="Y12" s="28">
        <v>6236</v>
      </c>
      <c r="Z12" s="28">
        <f>+Z11</f>
        <v>30</v>
      </c>
      <c r="AA12" s="28">
        <f t="shared" si="2"/>
        <v>36</v>
      </c>
      <c r="AB12" s="28">
        <f t="shared" si="2"/>
        <v>0.5</v>
      </c>
      <c r="AC12" s="28">
        <f t="shared" si="0"/>
        <v>18</v>
      </c>
      <c r="AD12" s="28">
        <f t="shared" si="1"/>
        <v>54</v>
      </c>
      <c r="AE12" s="28"/>
      <c r="AF12" s="28">
        <f>IF(AD12&gt;=60,4,     (IF(AD12&gt;=31,3,   (IF(AD12&gt;=0,2, "N/A"))              ))     )</f>
        <v>3</v>
      </c>
      <c r="AG12" s="28">
        <f t="shared" si="3"/>
        <v>4</v>
      </c>
      <c r="AH12" s="42">
        <f>+AD12/AF12</f>
        <v>18</v>
      </c>
      <c r="AI12" s="43">
        <v>0</v>
      </c>
      <c r="AJ12" s="30">
        <f>+AI12*AL12</f>
        <v>0</v>
      </c>
      <c r="AK12" s="39">
        <f>IF(AJ16&gt;=(AD12-Z12),0,(AI12-(Z12/AF12)))</f>
        <v>0</v>
      </c>
      <c r="AL12" s="17">
        <v>38.04</v>
      </c>
      <c r="AM12" s="36">
        <f>+AK12*AL12</f>
        <v>0</v>
      </c>
      <c r="AN12" s="37">
        <f>+AN11-AI12</f>
        <v>-23.5</v>
      </c>
      <c r="AO12" s="3">
        <f>+AK11</f>
        <v>0</v>
      </c>
    </row>
    <row r="13" spans="1:41" ht="15.75" thickBot="1" x14ac:dyDescent="0.3">
      <c r="V13" s="31" t="s">
        <v>23</v>
      </c>
      <c r="W13" s="31">
        <f>SUBTOTAL(103,Ad.!$V$3:$V$3)</f>
        <v>1</v>
      </c>
      <c r="X13" s="31"/>
      <c r="Y13" s="31"/>
      <c r="Z13" s="31"/>
      <c r="AA13" s="31"/>
      <c r="AB13" s="32"/>
      <c r="AC13" s="33"/>
      <c r="AD13" s="33"/>
      <c r="AE13" s="31"/>
      <c r="AF13" s="31"/>
      <c r="AG13" s="40"/>
      <c r="AH13" s="44">
        <f>+SUM(AH9:AH12)</f>
        <v>72</v>
      </c>
      <c r="AI13" s="45">
        <f>+SUM(AI9:AI12)</f>
        <v>77.5</v>
      </c>
      <c r="AJ13" s="41">
        <f>+SUM(AJ9:AJ12)</f>
        <v>2780.6000000000004</v>
      </c>
      <c r="AK13" s="38">
        <f>+SUM(AK9:AK12)</f>
        <v>10</v>
      </c>
      <c r="AL13" s="32"/>
      <c r="AM13" s="32">
        <v>350.4</v>
      </c>
      <c r="AN13" s="32"/>
      <c r="AO13" s="3">
        <f>+AK12</f>
        <v>0</v>
      </c>
    </row>
    <row r="15" spans="1:41" ht="15" customHeight="1" x14ac:dyDescent="0.25">
      <c r="AF15">
        <v>40</v>
      </c>
      <c r="AI15" t="s">
        <v>32</v>
      </c>
      <c r="AJ15" s="38">
        <v>50</v>
      </c>
    </row>
    <row r="16" spans="1:41" ht="15" customHeight="1" x14ac:dyDescent="0.25">
      <c r="J16">
        <f>+Tabla13[MONTO AP $]-Tabla13[VALORADO]</f>
        <v>15.090000000000003</v>
      </c>
      <c r="N16">
        <f>+Tabla13[UTILIDAD POR CUOTA $]*3</f>
        <v>528.75360000000012</v>
      </c>
      <c r="O16">
        <f>(Tabla13[UTILIDAD POR CUOTA $]*3)/Tabla13[T/C ]</f>
        <v>15.090000000000003</v>
      </c>
      <c r="AI16" t="s">
        <v>33</v>
      </c>
      <c r="AJ16" s="38">
        <f>+AD9-Z9</f>
        <v>24</v>
      </c>
      <c r="AK16" s="103" t="s">
        <v>34</v>
      </c>
      <c r="AL16" s="104"/>
      <c r="AM16" s="105"/>
    </row>
    <row r="17" spans="22:36" ht="15" customHeight="1" x14ac:dyDescent="0.25"/>
    <row r="18" spans="22:36" ht="15" customHeight="1" x14ac:dyDescent="0.25">
      <c r="AJ18" s="3"/>
    </row>
    <row r="19" spans="22:36" ht="15" customHeight="1" x14ac:dyDescent="0.25"/>
    <row r="20" spans="22:36" ht="15" customHeight="1" x14ac:dyDescent="0.25"/>
    <row r="21" spans="22:36" ht="15" customHeight="1" x14ac:dyDescent="0.25"/>
    <row r="22" spans="22:36" ht="15" customHeight="1" x14ac:dyDescent="0.25">
      <c r="V22" s="106" t="s">
        <v>55</v>
      </c>
      <c r="W22" s="106"/>
      <c r="X22" s="106"/>
      <c r="Y22" s="106"/>
      <c r="Z22" s="106"/>
    </row>
    <row r="23" spans="22:36" ht="15" customHeight="1" x14ac:dyDescent="0.25">
      <c r="V23" s="106"/>
      <c r="W23" s="106"/>
      <c r="X23" s="106"/>
      <c r="Y23" s="106"/>
      <c r="Z23" s="106"/>
    </row>
    <row r="24" spans="22:36" ht="15" customHeight="1" x14ac:dyDescent="0.25"/>
    <row r="25" spans="22:36" ht="15" customHeight="1" x14ac:dyDescent="0.25"/>
    <row r="26" spans="22:36" ht="15" customHeight="1" x14ac:dyDescent="0.25"/>
    <row r="27" spans="22:36" ht="15" customHeight="1" x14ac:dyDescent="0.25"/>
    <row r="28" spans="22:36" ht="15" customHeight="1" x14ac:dyDescent="0.25"/>
  </sheetData>
  <mergeCells count="3">
    <mergeCell ref="W6:AM7"/>
    <mergeCell ref="AK16:AM16"/>
    <mergeCell ref="V22:Z23"/>
  </mergeCells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M72"/>
  <sheetViews>
    <sheetView workbookViewId="0">
      <selection activeCell="F19" sqref="F19:F21"/>
    </sheetView>
  </sheetViews>
  <sheetFormatPr baseColWidth="10" defaultRowHeight="15" x14ac:dyDescent="0.25"/>
  <cols>
    <col min="1" max="1" width="29.7109375" customWidth="1"/>
    <col min="2" max="2" width="29.5703125" customWidth="1"/>
    <col min="3" max="3" width="29.85546875" customWidth="1"/>
    <col min="4" max="4" width="20.28515625" bestFit="1" customWidth="1"/>
    <col min="5" max="5" width="13.42578125" customWidth="1"/>
    <col min="6" max="6" width="19.42578125" customWidth="1"/>
    <col min="7" max="7" width="16.5703125" customWidth="1"/>
    <col min="8" max="8" width="5.28515625" customWidth="1"/>
    <col min="9" max="9" width="4.85546875" customWidth="1"/>
  </cols>
  <sheetData>
    <row r="1" spans="1:8" ht="15.75" x14ac:dyDescent="0.25">
      <c r="A1" s="114" t="s">
        <v>61</v>
      </c>
      <c r="B1" s="114"/>
      <c r="C1" s="114"/>
      <c r="D1" s="114"/>
      <c r="E1" s="114"/>
      <c r="F1" s="114"/>
      <c r="G1" s="114"/>
    </row>
    <row r="2" spans="1:8" x14ac:dyDescent="0.25">
      <c r="A2" s="49" t="s">
        <v>62</v>
      </c>
      <c r="C2" s="47" t="s">
        <v>45</v>
      </c>
      <c r="D2" s="50">
        <v>0.15</v>
      </c>
      <c r="F2" s="77"/>
    </row>
    <row r="3" spans="1:8" x14ac:dyDescent="0.25">
      <c r="C3" s="47" t="s">
        <v>4</v>
      </c>
      <c r="D3">
        <f>(B5*D2*2)+B5</f>
        <v>26</v>
      </c>
      <c r="E3" s="47" t="s">
        <v>11</v>
      </c>
      <c r="F3" s="78">
        <f>IF(D5&gt;=60,4,     (IF(D5&gt;=31,3,   (IF(D5&gt;=0,2, "N/A"))              ))     )</f>
        <v>3</v>
      </c>
    </row>
    <row r="4" spans="1:8" ht="15.75" customHeight="1" x14ac:dyDescent="0.25">
      <c r="C4" s="47" t="s">
        <v>52</v>
      </c>
      <c r="D4" s="115">
        <v>0.72489999999999999</v>
      </c>
      <c r="E4" s="47"/>
      <c r="F4" s="77"/>
    </row>
    <row r="5" spans="1:8" x14ac:dyDescent="0.25">
      <c r="A5" s="47" t="s">
        <v>36</v>
      </c>
      <c r="B5" s="49">
        <v>20</v>
      </c>
      <c r="C5" s="47" t="s">
        <v>39</v>
      </c>
      <c r="D5" s="54">
        <f>ROUND((D3*(1+D4)),3)</f>
        <v>44.847000000000001</v>
      </c>
      <c r="E5" s="47" t="s">
        <v>48</v>
      </c>
      <c r="F5" s="84">
        <f>+D5/F3</f>
        <v>14.949</v>
      </c>
    </row>
    <row r="6" spans="1:8" x14ac:dyDescent="0.25">
      <c r="A6" s="47" t="s">
        <v>50</v>
      </c>
      <c r="B6">
        <f>+B5</f>
        <v>20</v>
      </c>
      <c r="C6" s="48" t="s">
        <v>58</v>
      </c>
      <c r="D6" s="116">
        <f>+D5-B5</f>
        <v>24.847000000000001</v>
      </c>
      <c r="F6" s="77"/>
    </row>
    <row r="7" spans="1:8" x14ac:dyDescent="0.25">
      <c r="A7" s="47" t="s">
        <v>37</v>
      </c>
      <c r="B7" s="63">
        <f>ROUND((   (B6*100%)/D5),3)</f>
        <v>0.44600000000000001</v>
      </c>
      <c r="C7" s="47" t="s">
        <v>38</v>
      </c>
      <c r="D7" s="62">
        <f>1-B7</f>
        <v>0.55400000000000005</v>
      </c>
      <c r="F7" s="79">
        <f>+B7+D7</f>
        <v>1</v>
      </c>
    </row>
    <row r="8" spans="1:8" x14ac:dyDescent="0.25">
      <c r="F8" s="77"/>
    </row>
    <row r="9" spans="1:8" x14ac:dyDescent="0.25">
      <c r="C9" s="82">
        <v>3</v>
      </c>
      <c r="D9" s="82">
        <v>3</v>
      </c>
      <c r="F9" s="77"/>
    </row>
    <row r="10" spans="1:8" ht="34.5" customHeight="1" x14ac:dyDescent="0.25">
      <c r="B10" s="107" t="s">
        <v>60</v>
      </c>
      <c r="C10" s="33" t="s">
        <v>49</v>
      </c>
      <c r="D10" s="33" t="s">
        <v>44</v>
      </c>
      <c r="E10" s="87" t="s">
        <v>64</v>
      </c>
      <c r="F10" s="107" t="s">
        <v>54</v>
      </c>
      <c r="G10" s="107" t="s">
        <v>63</v>
      </c>
    </row>
    <row r="11" spans="1:8" x14ac:dyDescent="0.25">
      <c r="B11" s="108"/>
      <c r="C11" s="75">
        <f>+B7</f>
        <v>0.44600000000000001</v>
      </c>
      <c r="D11" s="75">
        <f>+D7</f>
        <v>0.55400000000000005</v>
      </c>
      <c r="F11" s="108"/>
      <c r="G11" s="108"/>
    </row>
    <row r="12" spans="1:8" x14ac:dyDescent="0.25">
      <c r="A12" s="51" t="s">
        <v>40</v>
      </c>
      <c r="B12" s="56">
        <v>14.96</v>
      </c>
      <c r="C12" s="80">
        <f>ROUND((B12*$C$11),$C$9)</f>
        <v>6.6719999999999997</v>
      </c>
      <c r="D12" s="80">
        <f>ROUND(($D$11*B12),$D$9)</f>
        <v>8.2880000000000003</v>
      </c>
      <c r="E12" s="86">
        <f>+$D$5-B12</f>
        <v>29.887</v>
      </c>
      <c r="F12" s="57">
        <v>8.2829999999999995</v>
      </c>
      <c r="G12" s="83">
        <f>+D12-F12</f>
        <v>5.0000000000007816E-3</v>
      </c>
      <c r="H12" s="47">
        <v>1</v>
      </c>
    </row>
    <row r="13" spans="1:8" x14ac:dyDescent="0.25">
      <c r="A13" s="51" t="s">
        <v>41</v>
      </c>
      <c r="B13" s="56">
        <v>14.96</v>
      </c>
      <c r="C13" s="80">
        <f t="shared" ref="C13:C15" si="0">ROUND((B13*$C$11),$C$9)</f>
        <v>6.6719999999999997</v>
      </c>
      <c r="D13" s="80">
        <f t="shared" ref="D13:D15" si="1">ROUND(($D$11*B13),$D$9)</f>
        <v>8.2880000000000003</v>
      </c>
      <c r="E13" s="86">
        <f>+E12-B13</f>
        <v>14.927</v>
      </c>
      <c r="F13" s="57">
        <v>8.2829999999999995</v>
      </c>
      <c r="G13" s="83">
        <f>+D13-F13</f>
        <v>5.0000000000007816E-3</v>
      </c>
      <c r="H13" s="47">
        <v>2</v>
      </c>
    </row>
    <row r="14" spans="1:8" x14ac:dyDescent="0.25">
      <c r="A14" s="51" t="s">
        <v>42</v>
      </c>
      <c r="B14" s="56">
        <v>14.93</v>
      </c>
      <c r="C14" s="80">
        <f t="shared" si="0"/>
        <v>6.6589999999999998</v>
      </c>
      <c r="D14" s="80">
        <f t="shared" si="1"/>
        <v>8.2710000000000008</v>
      </c>
      <c r="E14" s="86">
        <f t="shared" ref="E14:E15" si="2">+E13-B14</f>
        <v>-3.0000000000001137E-3</v>
      </c>
      <c r="F14" s="57">
        <v>8.2829999999999995</v>
      </c>
      <c r="G14" s="83">
        <f>+D14-F14</f>
        <v>-1.1999999999998678E-2</v>
      </c>
      <c r="H14" s="47">
        <v>3</v>
      </c>
    </row>
    <row r="15" spans="1:8" x14ac:dyDescent="0.25">
      <c r="A15" s="51" t="s">
        <v>43</v>
      </c>
      <c r="B15" s="56">
        <f xml:space="preserve"> IF($F$3&gt;=H15,$F$5,0)</f>
        <v>0</v>
      </c>
      <c r="C15" s="80">
        <f t="shared" si="0"/>
        <v>0</v>
      </c>
      <c r="D15" s="80">
        <f t="shared" si="1"/>
        <v>0</v>
      </c>
      <c r="E15" s="86">
        <f t="shared" si="2"/>
        <v>-3.0000000000001137E-3</v>
      </c>
      <c r="F15" s="57"/>
      <c r="G15" s="83">
        <f>+D15-F15</f>
        <v>0</v>
      </c>
      <c r="H15" s="47">
        <v>4</v>
      </c>
    </row>
    <row r="16" spans="1:8" x14ac:dyDescent="0.25">
      <c r="B16" s="58">
        <f>SUM(B12:B15)</f>
        <v>44.85</v>
      </c>
      <c r="C16" s="80">
        <f t="shared" ref="C16:D16" si="3">SUM(C12:C15)</f>
        <v>20.003</v>
      </c>
      <c r="D16" s="80">
        <f t="shared" si="3"/>
        <v>24.847000000000001</v>
      </c>
      <c r="E16" s="85"/>
      <c r="F16" s="58">
        <f>SUM(F12:F15)</f>
        <v>24.848999999999997</v>
      </c>
      <c r="G16" s="58">
        <f>SUM(G12:G15)</f>
        <v>-1.9999999999971152E-3</v>
      </c>
    </row>
    <row r="17" spans="1:7" x14ac:dyDescent="0.25">
      <c r="C17" s="46"/>
      <c r="D17" s="46"/>
      <c r="G17" s="81"/>
    </row>
    <row r="18" spans="1:7" ht="15.75" x14ac:dyDescent="0.25">
      <c r="A18" s="89" t="s">
        <v>51</v>
      </c>
      <c r="B18" s="61">
        <f>+SUM(B12:B15)-D5</f>
        <v>3.0000000000001137E-3</v>
      </c>
      <c r="C18" s="76">
        <f>+B5-C16</f>
        <v>-3.0000000000001137E-3</v>
      </c>
      <c r="D18" s="59">
        <f>D16-D6</f>
        <v>0</v>
      </c>
      <c r="F18" s="60">
        <f>+D6-F16</f>
        <v>-1.9999999999953388E-3</v>
      </c>
    </row>
    <row r="19" spans="1:7" ht="29.25" customHeight="1" x14ac:dyDescent="0.25">
      <c r="A19" s="110" t="s">
        <v>53</v>
      </c>
      <c r="B19" s="109" t="str">
        <f>"CALCULOS SON DISTINTO AL OBJETIVO POR "&amp;B18</f>
        <v>CALCULOS SON DISTINTO AL OBJETIVO POR 0.00300000000000011</v>
      </c>
      <c r="C19" s="112" t="str">
        <f>"CALCULOS SON DISTINTO AL OBJETIVO POR "&amp;C18</f>
        <v>CALCULOS SON DISTINTO AL OBJETIVO POR -0.00300000000000011</v>
      </c>
      <c r="D19" s="111" t="str">
        <f>"CALCULOS SON DISTINTO AL OBJETIVO POR "&amp;D18</f>
        <v>CALCULOS SON DISTINTO AL OBJETIVO POR 0</v>
      </c>
      <c r="F19" s="109" t="str">
        <f>"CALCULOS SON DISTINTO AL OBJETIVO POR           "&amp;F18</f>
        <v>CALCULOS SON DISTINTO AL OBJETIVO POR           -0.00199999999999534</v>
      </c>
    </row>
    <row r="20" spans="1:7" ht="29.25" customHeight="1" x14ac:dyDescent="0.25">
      <c r="A20" s="110"/>
      <c r="B20" s="109"/>
      <c r="C20" s="112"/>
      <c r="D20" s="111"/>
      <c r="F20" s="109"/>
    </row>
    <row r="21" spans="1:7" ht="8.25" customHeight="1" x14ac:dyDescent="0.25">
      <c r="A21" s="110"/>
      <c r="B21" s="109"/>
      <c r="C21" s="112"/>
      <c r="D21" s="111"/>
      <c r="F21" s="109"/>
    </row>
    <row r="22" spans="1:7" ht="17.25" customHeight="1" x14ac:dyDescent="0.25"/>
    <row r="25" spans="1:7" x14ac:dyDescent="0.25">
      <c r="A25" s="106"/>
      <c r="B25" s="106"/>
      <c r="C25" s="106"/>
      <c r="D25" s="106"/>
      <c r="E25" s="106"/>
      <c r="F25" s="106"/>
      <c r="G25" s="106"/>
    </row>
    <row r="38" spans="1:13" ht="4.5" customHeight="1" x14ac:dyDescent="0.25">
      <c r="A38" s="93"/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</row>
    <row r="40" spans="1:13" ht="15.75" x14ac:dyDescent="0.25">
      <c r="A40" s="113" t="s">
        <v>67</v>
      </c>
      <c r="B40" s="113"/>
      <c r="C40" s="113"/>
      <c r="D40" s="113"/>
      <c r="E40" s="113"/>
      <c r="F40" s="113"/>
      <c r="G40" s="113"/>
    </row>
    <row r="63" spans="3:6" x14ac:dyDescent="0.25">
      <c r="C63" s="82" t="s">
        <v>56</v>
      </c>
      <c r="F63" s="47" t="s">
        <v>44</v>
      </c>
    </row>
    <row r="64" spans="3:6" x14ac:dyDescent="0.25">
      <c r="C64" s="77">
        <v>24.75</v>
      </c>
      <c r="F64" s="97">
        <v>7.54</v>
      </c>
    </row>
    <row r="65" spans="3:7" ht="15.75" thickBot="1" x14ac:dyDescent="0.3">
      <c r="C65" s="95">
        <v>5.6</v>
      </c>
      <c r="F65" s="97">
        <v>8.23</v>
      </c>
    </row>
    <row r="66" spans="3:7" ht="15.75" thickTop="1" x14ac:dyDescent="0.25">
      <c r="C66" s="94">
        <f>SUM(C64:C65)</f>
        <v>30.35</v>
      </c>
      <c r="F66" s="97">
        <v>7.54</v>
      </c>
    </row>
    <row r="67" spans="3:7" x14ac:dyDescent="0.25">
      <c r="F67" s="97">
        <v>8.2200000000000006</v>
      </c>
    </row>
    <row r="68" spans="3:7" x14ac:dyDescent="0.25">
      <c r="F68" s="97">
        <v>7.53</v>
      </c>
    </row>
    <row r="69" spans="3:7" x14ac:dyDescent="0.25">
      <c r="F69" s="97">
        <v>8.2200000000000006</v>
      </c>
    </row>
    <row r="70" spans="3:7" x14ac:dyDescent="0.25">
      <c r="F70" s="97">
        <v>7.2</v>
      </c>
    </row>
    <row r="71" spans="3:7" ht="15.75" thickBot="1" x14ac:dyDescent="0.3">
      <c r="F71" s="98">
        <v>7.86</v>
      </c>
      <c r="G71" s="96"/>
    </row>
    <row r="72" spans="3:7" ht="15.75" thickTop="1" x14ac:dyDescent="0.25">
      <c r="F72" s="53">
        <f>SUM(F64:F71)</f>
        <v>62.34</v>
      </c>
    </row>
  </sheetData>
  <mergeCells count="11">
    <mergeCell ref="A40:G40"/>
    <mergeCell ref="A1:G1"/>
    <mergeCell ref="G10:G11"/>
    <mergeCell ref="A25:G25"/>
    <mergeCell ref="B19:B21"/>
    <mergeCell ref="A19:A21"/>
    <mergeCell ref="D19:D21"/>
    <mergeCell ref="F10:F11"/>
    <mergeCell ref="F19:F21"/>
    <mergeCell ref="B10:B11"/>
    <mergeCell ref="C19:C21"/>
  </mergeCells>
  <pageMargins left="0.7" right="0.7" top="0.75" bottom="0.75" header="0.3" footer="0.3"/>
  <pageSetup paperSize="9" orientation="portrait" horizontalDpi="360" verticalDpi="36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Button 2">
              <controlPr defaultSize="0" print="0" autoFill="0" autoPict="0" macro="[0]!REINICIO">
                <anchor moveWithCells="1" sizeWithCells="1">
                  <from>
                    <xdr:col>1</xdr:col>
                    <xdr:colOff>28575</xdr:colOff>
                    <xdr:row>1</xdr:row>
                    <xdr:rowOff>28575</xdr:rowOff>
                  </from>
                  <to>
                    <xdr:col>1</xdr:col>
                    <xdr:colOff>1590675</xdr:colOff>
                    <xdr:row>2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5"/>
  <sheetViews>
    <sheetView workbookViewId="0">
      <selection activeCell="K10" sqref="K10"/>
    </sheetView>
  </sheetViews>
  <sheetFormatPr baseColWidth="10" defaultRowHeight="15" x14ac:dyDescent="0.25"/>
  <cols>
    <col min="1" max="1" width="29.7109375" customWidth="1"/>
    <col min="2" max="2" width="29.5703125" customWidth="1"/>
    <col min="3" max="3" width="29.85546875" customWidth="1"/>
    <col min="4" max="4" width="20.28515625" bestFit="1" customWidth="1"/>
    <col min="5" max="5" width="13.42578125" customWidth="1"/>
    <col min="6" max="6" width="17" customWidth="1"/>
    <col min="7" max="7" width="16.5703125" customWidth="1"/>
    <col min="8" max="8" width="4.140625" customWidth="1"/>
    <col min="9" max="9" width="3.85546875" customWidth="1"/>
  </cols>
  <sheetData>
    <row r="1" spans="1:8" ht="15.75" x14ac:dyDescent="0.25">
      <c r="A1" s="114" t="s">
        <v>61</v>
      </c>
      <c r="B1" s="114"/>
      <c r="C1" s="114"/>
      <c r="D1" s="114"/>
      <c r="E1" s="114"/>
      <c r="F1" s="90" t="s">
        <v>65</v>
      </c>
      <c r="G1" s="91"/>
    </row>
    <row r="2" spans="1:8" x14ac:dyDescent="0.25">
      <c r="A2" s="49" t="s">
        <v>62</v>
      </c>
      <c r="C2" s="47" t="s">
        <v>45</v>
      </c>
      <c r="D2" s="50">
        <v>0.15</v>
      </c>
      <c r="F2" s="90" t="s">
        <v>66</v>
      </c>
      <c r="G2" s="91"/>
    </row>
    <row r="3" spans="1:8" x14ac:dyDescent="0.25">
      <c r="C3" s="47" t="s">
        <v>4</v>
      </c>
      <c r="D3">
        <f>(B5*D2*2)+B5</f>
        <v>65</v>
      </c>
      <c r="E3" s="47" t="s">
        <v>11</v>
      </c>
      <c r="F3" s="78">
        <f>IF(D5&gt;=60,4,     (IF(D5&gt;=31,3,   (IF(D5&gt;=0,2, "N/A"))              ))     )</f>
        <v>4</v>
      </c>
    </row>
    <row r="4" spans="1:8" ht="15.75" customHeight="1" x14ac:dyDescent="0.25">
      <c r="C4" s="47" t="s">
        <v>52</v>
      </c>
      <c r="D4" s="52">
        <v>0.15</v>
      </c>
      <c r="E4" s="47"/>
      <c r="F4" s="77"/>
    </row>
    <row r="5" spans="1:8" x14ac:dyDescent="0.25">
      <c r="A5" s="47" t="s">
        <v>36</v>
      </c>
      <c r="B5" s="49">
        <v>50</v>
      </c>
      <c r="C5" s="47" t="s">
        <v>39</v>
      </c>
      <c r="D5" s="54">
        <f>ROUND((D3*(1+D4)),3)+G1+G2</f>
        <v>74.75</v>
      </c>
      <c r="E5" s="47" t="s">
        <v>48</v>
      </c>
      <c r="F5" s="84">
        <f>+D5/F3</f>
        <v>18.6875</v>
      </c>
    </row>
    <row r="6" spans="1:8" x14ac:dyDescent="0.25">
      <c r="A6" s="47" t="s">
        <v>50</v>
      </c>
      <c r="B6">
        <f>50+10</f>
        <v>60</v>
      </c>
      <c r="C6" s="48" t="s">
        <v>58</v>
      </c>
      <c r="D6" s="55">
        <f>+D5-B5</f>
        <v>24.75</v>
      </c>
      <c r="F6" s="77"/>
    </row>
    <row r="7" spans="1:8" x14ac:dyDescent="0.25">
      <c r="A7" s="47" t="s">
        <v>37</v>
      </c>
      <c r="B7" s="63">
        <f>ROUND((   (B6*100%)/D5),3)</f>
        <v>0.80300000000000005</v>
      </c>
      <c r="C7" s="47" t="s">
        <v>38</v>
      </c>
      <c r="D7" s="62">
        <f>1-B7</f>
        <v>0.19699999999999995</v>
      </c>
      <c r="F7" s="79">
        <f>+B7+D7</f>
        <v>1</v>
      </c>
    </row>
    <row r="8" spans="1:8" x14ac:dyDescent="0.25">
      <c r="F8" s="77"/>
    </row>
    <row r="9" spans="1:8" x14ac:dyDescent="0.25">
      <c r="C9" s="82">
        <v>3</v>
      </c>
      <c r="D9" s="82">
        <v>3</v>
      </c>
      <c r="F9" s="77"/>
    </row>
    <row r="10" spans="1:8" ht="34.5" customHeight="1" x14ac:dyDescent="0.25">
      <c r="B10" s="107" t="s">
        <v>60</v>
      </c>
      <c r="C10" s="33" t="s">
        <v>49</v>
      </c>
      <c r="D10" s="33" t="s">
        <v>44</v>
      </c>
      <c r="E10" s="87" t="s">
        <v>64</v>
      </c>
      <c r="F10" s="107" t="s">
        <v>54</v>
      </c>
      <c r="G10" s="107" t="s">
        <v>63</v>
      </c>
    </row>
    <row r="11" spans="1:8" x14ac:dyDescent="0.25">
      <c r="B11" s="108"/>
      <c r="C11" s="75">
        <f>+B7</f>
        <v>0.80300000000000005</v>
      </c>
      <c r="D11" s="75">
        <f>+D7</f>
        <v>0.19699999999999995</v>
      </c>
      <c r="F11" s="108"/>
      <c r="G11" s="108"/>
    </row>
    <row r="12" spans="1:8" x14ac:dyDescent="0.25">
      <c r="A12" s="51" t="s">
        <v>40</v>
      </c>
      <c r="B12" s="92">
        <f t="shared" ref="B12:B14" si="0" xml:space="preserve"> IF($F$3&gt;=H12,$F$5,0)</f>
        <v>18.6875</v>
      </c>
      <c r="C12" s="80">
        <f>ROUND((B12*$C$11),$C$9)</f>
        <v>15.006</v>
      </c>
      <c r="D12" s="80">
        <f>ROUND(($D$11*B12),$D$9)</f>
        <v>3.681</v>
      </c>
      <c r="E12" s="86">
        <f>+$D$5-B12</f>
        <v>56.0625</v>
      </c>
      <c r="F12" s="57">
        <f>7.54+8.23</f>
        <v>15.77</v>
      </c>
      <c r="G12" s="83">
        <f>+D12-F12</f>
        <v>-12.088999999999999</v>
      </c>
      <c r="H12" s="47">
        <v>1</v>
      </c>
    </row>
    <row r="13" spans="1:8" x14ac:dyDescent="0.25">
      <c r="A13" s="51" t="s">
        <v>41</v>
      </c>
      <c r="B13" s="92">
        <f t="shared" si="0"/>
        <v>18.6875</v>
      </c>
      <c r="C13" s="80">
        <f t="shared" ref="C13:C15" si="1">ROUND((B13*$C$11),$C$9)</f>
        <v>15.006</v>
      </c>
      <c r="D13" s="80">
        <f t="shared" ref="D13:D15" si="2">ROUND(($D$11*B13),$D$9)</f>
        <v>3.681</v>
      </c>
      <c r="E13" s="86">
        <f>+E12-B13</f>
        <v>37.375</v>
      </c>
      <c r="F13" s="57">
        <v>0</v>
      </c>
      <c r="G13" s="83">
        <f>+D13-F13</f>
        <v>3.681</v>
      </c>
      <c r="H13" s="47">
        <v>2</v>
      </c>
    </row>
    <row r="14" spans="1:8" x14ac:dyDescent="0.25">
      <c r="A14" s="51" t="s">
        <v>42</v>
      </c>
      <c r="B14" s="92">
        <f t="shared" si="0"/>
        <v>18.6875</v>
      </c>
      <c r="C14" s="80">
        <f t="shared" si="1"/>
        <v>15.006</v>
      </c>
      <c r="D14" s="80">
        <f t="shared" si="2"/>
        <v>3.681</v>
      </c>
      <c r="E14" s="86">
        <f t="shared" ref="E14:E15" si="3">+E13-B14</f>
        <v>18.6875</v>
      </c>
      <c r="F14" s="57">
        <v>0</v>
      </c>
      <c r="G14" s="83">
        <f>+D14-F14</f>
        <v>3.681</v>
      </c>
      <c r="H14" s="47">
        <v>3</v>
      </c>
    </row>
    <row r="15" spans="1:8" x14ac:dyDescent="0.25">
      <c r="A15" s="51" t="s">
        <v>43</v>
      </c>
      <c r="B15" s="92">
        <f xml:space="preserve"> IF($F$3&gt;=H15,$F$5,0)</f>
        <v>18.6875</v>
      </c>
      <c r="C15" s="80">
        <f t="shared" si="1"/>
        <v>15.006</v>
      </c>
      <c r="D15" s="80">
        <f t="shared" si="2"/>
        <v>3.681</v>
      </c>
      <c r="E15" s="86">
        <f t="shared" si="3"/>
        <v>0</v>
      </c>
      <c r="F15" s="57"/>
      <c r="G15" s="83">
        <f>+D15-F15</f>
        <v>3.681</v>
      </c>
      <c r="H15" s="47">
        <v>4</v>
      </c>
    </row>
    <row r="16" spans="1:8" x14ac:dyDescent="0.25">
      <c r="B16" s="58">
        <f>SUM(B12:B15)</f>
        <v>74.75</v>
      </c>
      <c r="C16" s="80">
        <f t="shared" ref="C16:D16" si="4">SUM(C12:C15)</f>
        <v>60.024000000000001</v>
      </c>
      <c r="D16" s="80">
        <f t="shared" si="4"/>
        <v>14.724</v>
      </c>
      <c r="E16" s="85"/>
      <c r="F16" s="58">
        <f>SUM(F12:F15)</f>
        <v>15.77</v>
      </c>
      <c r="G16" s="58">
        <f>SUM(G12:G15)</f>
        <v>-1.0459999999999976</v>
      </c>
    </row>
    <row r="17" spans="1:7" x14ac:dyDescent="0.25">
      <c r="C17" s="88"/>
      <c r="D17" s="88"/>
      <c r="G17" s="81"/>
    </row>
    <row r="18" spans="1:7" ht="15.75" x14ac:dyDescent="0.25">
      <c r="A18" s="89" t="s">
        <v>51</v>
      </c>
      <c r="B18" s="61">
        <f>+SUM(B12:B15)-D5</f>
        <v>0</v>
      </c>
      <c r="C18" s="76">
        <f>+B5-C16</f>
        <v>-10.024000000000001</v>
      </c>
      <c r="D18" s="59">
        <f>D16-D6</f>
        <v>-10.026</v>
      </c>
      <c r="F18" s="60">
        <f>+D6-F16</f>
        <v>8.98</v>
      </c>
    </row>
    <row r="19" spans="1:7" ht="29.25" customHeight="1" x14ac:dyDescent="0.25">
      <c r="A19" s="110" t="s">
        <v>53</v>
      </c>
      <c r="B19" s="109" t="str">
        <f>"CALCULOS SON DISTINTO AL OBJETIVO POR "&amp;B18</f>
        <v>CALCULOS SON DISTINTO AL OBJETIVO POR 0</v>
      </c>
      <c r="C19" s="112" t="str">
        <f>"CALCULOS SON DISTINTO AL OBJETIVO POR "&amp;C18</f>
        <v>CALCULOS SON DISTINTO AL OBJETIVO POR -10.024</v>
      </c>
      <c r="D19" s="111" t="str">
        <f>"CALCULOS SON DISTINTO AL OBJETIVO POR "&amp;D18</f>
        <v>CALCULOS SON DISTINTO AL OBJETIVO POR -10.026</v>
      </c>
      <c r="F19" s="109" t="str">
        <f>"CALCULOS SON DISTINTO AL OBJETIVO POR           "&amp;F18</f>
        <v>CALCULOS SON DISTINTO AL OBJETIVO POR           8.98</v>
      </c>
    </row>
    <row r="20" spans="1:7" ht="29.25" customHeight="1" x14ac:dyDescent="0.25">
      <c r="A20" s="110"/>
      <c r="B20" s="109"/>
      <c r="C20" s="112"/>
      <c r="D20" s="111"/>
      <c r="F20" s="109"/>
    </row>
    <row r="21" spans="1:7" ht="8.25" customHeight="1" x14ac:dyDescent="0.25">
      <c r="A21" s="110"/>
      <c r="B21" s="109"/>
      <c r="C21" s="112"/>
      <c r="D21" s="111"/>
      <c r="F21" s="109"/>
    </row>
    <row r="22" spans="1:7" ht="17.25" customHeight="1" x14ac:dyDescent="0.25"/>
    <row r="25" spans="1:7" x14ac:dyDescent="0.25">
      <c r="A25" s="106"/>
      <c r="B25" s="106"/>
      <c r="C25" s="106"/>
      <c r="D25" s="106"/>
      <c r="E25" s="106"/>
      <c r="F25" s="106"/>
      <c r="G25" s="106"/>
    </row>
  </sheetData>
  <mergeCells count="10">
    <mergeCell ref="A25:G25"/>
    <mergeCell ref="A1:E1"/>
    <mergeCell ref="B10:B11"/>
    <mergeCell ref="F10:F11"/>
    <mergeCell ref="G10:G11"/>
    <mergeCell ref="A19:A21"/>
    <mergeCell ref="B19:B21"/>
    <mergeCell ref="C19:C21"/>
    <mergeCell ref="D19:D21"/>
    <mergeCell ref="F19:F21"/>
  </mergeCells>
  <pageMargins left="0.7" right="0.7" top="0.75" bottom="0.75" header="0.3" footer="0.3"/>
  <pageSetup paperSize="9" orientation="portrait" horizontalDpi="360" verticalDpi="36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 macro="[0]!REINICIO">
                <anchor moveWithCells="1" sizeWithCells="1">
                  <from>
                    <xdr:col>1</xdr:col>
                    <xdr:colOff>28575</xdr:colOff>
                    <xdr:row>1</xdr:row>
                    <xdr:rowOff>28575</xdr:rowOff>
                  </from>
                  <to>
                    <xdr:col>1</xdr:col>
                    <xdr:colOff>1590675</xdr:colOff>
                    <xdr:row>2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M20" sqref="M20"/>
    </sheetView>
  </sheetViews>
  <sheetFormatPr baseColWidth="10" defaultRowHeight="15" x14ac:dyDescent="0.25"/>
  <cols>
    <col min="1" max="1" width="13.28515625" customWidth="1"/>
    <col min="2" max="2" width="10.7109375" customWidth="1"/>
    <col min="3" max="3" width="10.5703125" customWidth="1"/>
  </cols>
  <sheetData>
    <row r="1" spans="1:4" x14ac:dyDescent="0.25">
      <c r="A1">
        <f>24.75+5.6</f>
        <v>30.35</v>
      </c>
      <c r="C1">
        <f>6.25+1.414</f>
        <v>7.6639999999999997</v>
      </c>
    </row>
    <row r="2" spans="1:4" x14ac:dyDescent="0.25">
      <c r="C2">
        <f>6.25+1.414</f>
        <v>7.6639999999999997</v>
      </c>
    </row>
    <row r="3" spans="1:4" x14ac:dyDescent="0.25">
      <c r="C3">
        <f>6.25+1.414</f>
        <v>7.6639999999999997</v>
      </c>
    </row>
    <row r="4" spans="1:4" x14ac:dyDescent="0.25">
      <c r="C4">
        <f>6.002+1.358</f>
        <v>7.3599999999999994</v>
      </c>
    </row>
    <row r="5" spans="1:4" ht="23.25" x14ac:dyDescent="0.35">
      <c r="C5">
        <f>SUM(C1:C4)</f>
        <v>30.351999999999997</v>
      </c>
      <c r="D5" s="117">
        <f>+C5-A1</f>
        <v>1.9999999999953388E-3</v>
      </c>
    </row>
    <row r="11" spans="1:4" x14ac:dyDescent="0.25">
      <c r="A11">
        <v>14.96</v>
      </c>
      <c r="C11">
        <f>24.85/3</f>
        <v>8.2833333333333332</v>
      </c>
      <c r="D11" t="s">
        <v>68</v>
      </c>
    </row>
    <row r="12" spans="1:4" x14ac:dyDescent="0.25">
      <c r="C12">
        <f>A11/14.95</f>
        <v>1.0006688963210704</v>
      </c>
    </row>
    <row r="14" spans="1:4" x14ac:dyDescent="0.25">
      <c r="B14" t="s">
        <v>69</v>
      </c>
      <c r="C14">
        <f>+C11*C12</f>
        <v>8.2888740245261996</v>
      </c>
    </row>
    <row r="16" spans="1:4" x14ac:dyDescent="0.25">
      <c r="A16">
        <v>44.85</v>
      </c>
    </row>
    <row r="17" spans="1:1" x14ac:dyDescent="0.25">
      <c r="A17">
        <f>+A11-C14</f>
        <v>6.6711259754738013</v>
      </c>
    </row>
    <row r="19" spans="1:1" x14ac:dyDescent="0.25">
      <c r="A19">
        <f>+A16-A17</f>
        <v>38.178874024526202</v>
      </c>
    </row>
  </sheetData>
  <pageMargins left="0.7" right="0.7" top="0.75" bottom="0.75" header="0.3" footer="0.3"/>
  <pageSetup paperSize="9"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Hoja4</vt:lpstr>
      <vt:lpstr>Hoja3</vt:lpstr>
      <vt:lpstr>Ad.</vt:lpstr>
      <vt:lpstr>Adilio%</vt:lpstr>
      <vt:lpstr>Adilio% variositems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PC_ADMON</dc:creator>
  <cp:lastModifiedBy>home</cp:lastModifiedBy>
  <cp:lastPrinted>2020-12-03T17:25:52Z</cp:lastPrinted>
  <dcterms:created xsi:type="dcterms:W3CDTF">2020-10-15T20:10:42Z</dcterms:created>
  <dcterms:modified xsi:type="dcterms:W3CDTF">2020-12-17T23:07:01Z</dcterms:modified>
</cp:coreProperties>
</file>