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jfif" ContentType="image/jpe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activeX/activeX6.xml" ContentType="application/vnd.ms-office.activeX+xml"/>
  <Override PartName="/xl/tables/table8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WilStore\WilDesign\Public\Siteweb\Application VBA\"/>
    </mc:Choice>
  </mc:AlternateContent>
  <bookViews>
    <workbookView xWindow="0" yWindow="0" windowWidth="24000" windowHeight="9630" firstSheet="3" activeTab="10"/>
  </bookViews>
  <sheets>
    <sheet name="Reception" sheetId="15" r:id="rId1"/>
    <sheet name="Employers" sheetId="13" r:id="rId2"/>
    <sheet name="Payement" sheetId="12" r:id="rId3"/>
    <sheet name="Facture" sheetId="11" r:id="rId4"/>
    <sheet name="Fidelisation" sheetId="9" r:id="rId5"/>
    <sheet name="Suivi des Employers" sheetId="8" r:id="rId6"/>
    <sheet name="Historique des Ventes" sheetId="7" r:id="rId7"/>
    <sheet name="Panier" sheetId="5" r:id="rId8"/>
    <sheet name="Clients" sheetId="4" r:id="rId9"/>
    <sheet name="Article" sheetId="3" r:id="rId10"/>
    <sheet name="Home" sheetId="1" r:id="rId11"/>
    <sheet name="layout" sheetId="2" r:id="rId12"/>
  </sheets>
  <definedNames>
    <definedName name="image">INDIRECT(INDEX(Article!$F$4:$F$40,MATCH(Panier!$C$13,Article!$B$4:$B$40,0)))</definedName>
    <definedName name="Nr.Employer" localSheetId="1">Tableau5[Nr.Employers]</definedName>
    <definedName name="Nr.Employer" localSheetId="2">Tableau5[Nr.Employers]</definedName>
    <definedName name="Nr.Employer" localSheetId="0">Tableau5[Nr.Employers]</definedName>
    <definedName name="Nr.Employer">Tableau5[Nr.Employers]</definedName>
    <definedName name="Nr_Article" localSheetId="1">Tableau1[Nr.Article]</definedName>
    <definedName name="Nr_Article" localSheetId="3">Tableau1[Nr.Article]</definedName>
    <definedName name="Nr_Article" localSheetId="4">Tableau1[Nr.Article]</definedName>
    <definedName name="Nr_Article" localSheetId="6">Tableau1[Nr.Article]</definedName>
    <definedName name="Nr_Article" localSheetId="2">Tableau1[Nr.Article]</definedName>
    <definedName name="Nr_Article" localSheetId="0">Tableau1[Nr.Article]</definedName>
    <definedName name="Nr_Article" localSheetId="5">Tableau1[Nr.Article]</definedName>
    <definedName name="Nr_Article">Tableau1[Nr.Article]</definedName>
    <definedName name="Nr_Client" localSheetId="1">Tableau2[Nr.Client]</definedName>
    <definedName name="Nr_Client" localSheetId="3">Tableau2[Nr.Client]</definedName>
    <definedName name="Nr_Client" localSheetId="4">Tableau2[Nr.Client]</definedName>
    <definedName name="Nr_Client" localSheetId="6">Tableau2[Nr.Client]</definedName>
    <definedName name="Nr_Client" localSheetId="2">Tableau2[Nr.Client]</definedName>
    <definedName name="Nr_Client" localSheetId="0">Tableau2[Nr.Client]</definedName>
    <definedName name="Nr_Client" localSheetId="5">Tableau2[Nr.Client]</definedName>
    <definedName name="Nr_Client">Tableau2[Nr.Client]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F4" i="11"/>
  <c r="J8" i="4"/>
  <c r="K8" i="4" s="1"/>
  <c r="Q8" i="4"/>
  <c r="J7" i="4"/>
  <c r="K7" i="4" s="1"/>
  <c r="Q7" i="4"/>
  <c r="J6" i="4"/>
  <c r="K6" i="4" s="1"/>
  <c r="Q6" i="4"/>
  <c r="J5" i="4"/>
  <c r="K5" i="4" s="1"/>
  <c r="Q5" i="4"/>
  <c r="J4" i="4"/>
  <c r="K4" i="4" s="1"/>
  <c r="Q4" i="4"/>
  <c r="L8" i="4" l="1"/>
  <c r="M8" i="4"/>
  <c r="N8" i="4"/>
  <c r="P8" i="4"/>
  <c r="O8" i="4"/>
  <c r="P7" i="4"/>
  <c r="N7" i="4"/>
  <c r="O7" i="4"/>
  <c r="L7" i="4"/>
  <c r="M7" i="4"/>
  <c r="M6" i="4"/>
  <c r="L6" i="4"/>
  <c r="N6" i="4"/>
  <c r="O6" i="4"/>
  <c r="P6" i="4"/>
  <c r="L5" i="4"/>
  <c r="M5" i="4"/>
  <c r="N5" i="4"/>
  <c r="P5" i="4"/>
  <c r="O5" i="4"/>
  <c r="L4" i="4"/>
  <c r="M4" i="4"/>
  <c r="N4" i="4"/>
  <c r="O4" i="4"/>
  <c r="P4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C4" i="15" l="1"/>
  <c r="B4" i="8" l="1"/>
  <c r="D4" i="8" l="1"/>
  <c r="I4" i="8"/>
  <c r="H4" i="8"/>
  <c r="B5" i="8"/>
  <c r="C4" i="8"/>
  <c r="E4" i="8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17" i="5"/>
  <c r="E14" i="5"/>
  <c r="C14" i="5"/>
  <c r="E13" i="5"/>
  <c r="E44" i="11"/>
  <c r="E40" i="11" a="1"/>
  <c r="E40" i="11" s="1"/>
  <c r="D40" i="11" a="1"/>
  <c r="D40" i="11" s="1"/>
  <c r="C40" i="11" a="1"/>
  <c r="C40" i="11" s="1"/>
  <c r="B40" i="11" a="1"/>
  <c r="B40" i="11" s="1"/>
  <c r="E39" i="11" a="1"/>
  <c r="E39" i="11" s="1"/>
  <c r="D39" i="11" a="1"/>
  <c r="D39" i="11" s="1"/>
  <c r="C39" i="11" a="1"/>
  <c r="C39" i="11" s="1"/>
  <c r="B39" i="11" a="1"/>
  <c r="B39" i="11" s="1"/>
  <c r="E38" i="11" a="1"/>
  <c r="E38" i="11" s="1"/>
  <c r="D38" i="11" a="1"/>
  <c r="D38" i="11" s="1"/>
  <c r="C38" i="11" a="1"/>
  <c r="C38" i="11" s="1"/>
  <c r="B38" i="11" a="1"/>
  <c r="B38" i="11" s="1"/>
  <c r="E37" i="11" a="1"/>
  <c r="E37" i="11" s="1"/>
  <c r="D37" i="11" a="1"/>
  <c r="D37" i="11" s="1"/>
  <c r="C37" i="11" a="1"/>
  <c r="C37" i="11" s="1"/>
  <c r="B37" i="11" a="1"/>
  <c r="B37" i="11" s="1"/>
  <c r="E36" i="11" a="1"/>
  <c r="E36" i="11" s="1"/>
  <c r="D36" i="11" a="1"/>
  <c r="D36" i="11" s="1"/>
  <c r="C36" i="11" a="1"/>
  <c r="C36" i="11" s="1"/>
  <c r="B36" i="11" a="1"/>
  <c r="B36" i="11" s="1"/>
  <c r="E35" i="11" a="1"/>
  <c r="E35" i="11" s="1"/>
  <c r="D35" i="11" a="1"/>
  <c r="D35" i="11" s="1"/>
  <c r="C35" i="11" a="1"/>
  <c r="C35" i="11" s="1"/>
  <c r="B35" i="11" a="1"/>
  <c r="B35" i="11" s="1"/>
  <c r="E34" i="11" a="1"/>
  <c r="E34" i="11" s="1"/>
  <c r="D34" i="11" a="1"/>
  <c r="D34" i="11" s="1"/>
  <c r="C34" i="11" a="1"/>
  <c r="C34" i="11" s="1"/>
  <c r="B34" i="11" a="1"/>
  <c r="B34" i="11" s="1"/>
  <c r="E33" i="11" a="1"/>
  <c r="E33" i="11" s="1"/>
  <c r="D33" i="11" a="1"/>
  <c r="D33" i="11" s="1"/>
  <c r="C33" i="11" a="1"/>
  <c r="C33" i="11" s="1"/>
  <c r="B33" i="11" a="1"/>
  <c r="B33" i="11" s="1"/>
  <c r="E32" i="11" a="1"/>
  <c r="E32" i="11" s="1"/>
  <c r="D32" i="11" a="1"/>
  <c r="D32" i="11" s="1"/>
  <c r="C32" i="11" a="1"/>
  <c r="C32" i="11" s="1"/>
  <c r="B32" i="11" a="1"/>
  <c r="B32" i="11" s="1"/>
  <c r="E31" i="11" a="1"/>
  <c r="E31" i="11" s="1"/>
  <c r="D31" i="11" a="1"/>
  <c r="D31" i="11" s="1"/>
  <c r="C31" i="11" a="1"/>
  <c r="C31" i="11" s="1"/>
  <c r="B31" i="11" a="1"/>
  <c r="B31" i="11" s="1"/>
  <c r="E30" i="11" a="1"/>
  <c r="E30" i="11" s="1"/>
  <c r="D30" i="11" a="1"/>
  <c r="D30" i="11" s="1"/>
  <c r="C30" i="11" a="1"/>
  <c r="C30" i="11" s="1"/>
  <c r="B30" i="11" a="1"/>
  <c r="B30" i="11" s="1"/>
  <c r="E29" i="11" a="1"/>
  <c r="E29" i="11" s="1"/>
  <c r="D29" i="11" a="1"/>
  <c r="D29" i="11" s="1"/>
  <c r="C29" i="11" a="1"/>
  <c r="C29" i="11" s="1"/>
  <c r="B29" i="11" a="1"/>
  <c r="B29" i="11" s="1"/>
  <c r="E28" i="11" a="1"/>
  <c r="E28" i="11" s="1"/>
  <c r="D28" i="11" a="1"/>
  <c r="D28" i="11" s="1"/>
  <c r="C28" i="11" a="1"/>
  <c r="C28" i="11" s="1"/>
  <c r="B28" i="11" a="1"/>
  <c r="B28" i="11" s="1"/>
  <c r="E27" i="11" a="1"/>
  <c r="E27" i="11" s="1"/>
  <c r="D27" i="11" a="1"/>
  <c r="D27" i="11" s="1"/>
  <c r="C27" i="11" a="1"/>
  <c r="C27" i="11" s="1"/>
  <c r="B27" i="11" a="1"/>
  <c r="B27" i="11" s="1"/>
  <c r="E26" i="11" a="1"/>
  <c r="E26" i="11" s="1"/>
  <c r="D26" i="11" a="1"/>
  <c r="D26" i="11" s="1"/>
  <c r="C26" i="11" a="1"/>
  <c r="C26" i="11" s="1"/>
  <c r="B26" i="11" a="1"/>
  <c r="B26" i="11" s="1"/>
  <c r="E25" i="11" a="1"/>
  <c r="E25" i="11" s="1"/>
  <c r="D25" i="11" a="1"/>
  <c r="D25" i="11" s="1"/>
  <c r="C25" i="11" a="1"/>
  <c r="C25" i="11" s="1"/>
  <c r="B25" i="11" a="1"/>
  <c r="B25" i="11" s="1"/>
  <c r="E24" i="11" a="1"/>
  <c r="E24" i="11" s="1"/>
  <c r="D24" i="11" a="1"/>
  <c r="D24" i="11" s="1"/>
  <c r="C24" i="11" a="1"/>
  <c r="C24" i="11" s="1"/>
  <c r="B24" i="11" a="1"/>
  <c r="B24" i="11" s="1"/>
  <c r="E23" i="11" a="1"/>
  <c r="E23" i="11" s="1"/>
  <c r="D23" i="11" a="1"/>
  <c r="D23" i="11" s="1"/>
  <c r="C23" i="11" a="1"/>
  <c r="C23" i="11" s="1"/>
  <c r="B23" i="11" a="1"/>
  <c r="B23" i="11" s="1"/>
  <c r="E22" i="11" a="1"/>
  <c r="E22" i="11" s="1"/>
  <c r="D22" i="11" a="1"/>
  <c r="D22" i="11" s="1"/>
  <c r="C22" i="11" a="1"/>
  <c r="C22" i="11" s="1"/>
  <c r="B22" i="11" a="1"/>
  <c r="B22" i="11" s="1"/>
  <c r="E21" i="11" a="1"/>
  <c r="E21" i="11" s="1"/>
  <c r="D21" i="11" a="1"/>
  <c r="D21" i="11" s="1"/>
  <c r="C21" i="11" a="1"/>
  <c r="C21" i="11" s="1"/>
  <c r="B21" i="11" a="1"/>
  <c r="B21" i="11" s="1"/>
  <c r="E20" i="11" a="1"/>
  <c r="E20" i="11" s="1"/>
  <c r="D20" i="11" a="1"/>
  <c r="D20" i="11" s="1"/>
  <c r="C20" i="11" a="1"/>
  <c r="C20" i="11" s="1"/>
  <c r="B20" i="11" a="1"/>
  <c r="B20" i="11" s="1"/>
  <c r="E19" i="11" a="1"/>
  <c r="E19" i="11" s="1"/>
  <c r="D19" i="11" a="1"/>
  <c r="D19" i="11" s="1"/>
  <c r="C19" i="11" a="1"/>
  <c r="C19" i="11" s="1"/>
  <c r="B19" i="11" a="1"/>
  <c r="B19" i="11" s="1"/>
  <c r="E18" i="11" a="1"/>
  <c r="E18" i="11" s="1"/>
  <c r="D18" i="11" a="1"/>
  <c r="D18" i="11" s="1"/>
  <c r="C18" i="11" a="1"/>
  <c r="C18" i="11" s="1"/>
  <c r="B18" i="11" a="1"/>
  <c r="B18" i="11" s="1"/>
  <c r="E17" i="11" a="1"/>
  <c r="E17" i="11" s="1"/>
  <c r="D17" i="11" a="1"/>
  <c r="D17" i="11" s="1"/>
  <c r="C17" i="11" a="1"/>
  <c r="C17" i="11" s="1"/>
  <c r="B17" i="11" a="1"/>
  <c r="B17" i="11" s="1"/>
  <c r="E16" i="11" a="1"/>
  <c r="E16" i="11" s="1"/>
  <c r="D16" i="11" a="1"/>
  <c r="D16" i="11" s="1"/>
  <c r="C16" i="11" a="1"/>
  <c r="C16" i="11" s="1"/>
  <c r="B16" i="11" a="1"/>
  <c r="B16" i="11" s="1"/>
  <c r="E15" i="11" a="1"/>
  <c r="E15" i="11" s="1"/>
  <c r="D15" i="11" a="1"/>
  <c r="D15" i="11" s="1"/>
  <c r="C15" i="11" a="1"/>
  <c r="C15" i="11" s="1"/>
  <c r="B15" i="11" a="1"/>
  <c r="B15" i="11" s="1"/>
  <c r="B6" i="8" l="1"/>
  <c r="H6" i="8" s="1"/>
  <c r="I5" i="8"/>
  <c r="H5" i="8"/>
  <c r="F4" i="8"/>
  <c r="G4" i="8" s="1"/>
  <c r="J4" i="8" s="1"/>
  <c r="F19" i="11"/>
  <c r="F16" i="11"/>
  <c r="F20" i="11"/>
  <c r="F32" i="11"/>
  <c r="F34" i="11"/>
  <c r="F36" i="11"/>
  <c r="F24" i="11"/>
  <c r="F35" i="11"/>
  <c r="F38" i="11"/>
  <c r="F25" i="11"/>
  <c r="F31" i="11"/>
  <c r="F27" i="11"/>
  <c r="F15" i="11"/>
  <c r="F18" i="11"/>
  <c r="F22" i="11"/>
  <c r="F29" i="11"/>
  <c r="F17" i="11"/>
  <c r="F28" i="11"/>
  <c r="F21" i="11"/>
  <c r="F30" i="11"/>
  <c r="F33" i="11"/>
  <c r="F40" i="11"/>
  <c r="F39" i="11"/>
  <c r="F37" i="11"/>
  <c r="F23" i="11"/>
  <c r="F26" i="11"/>
  <c r="K4" i="8" l="1"/>
  <c r="B7" i="8"/>
  <c r="I6" i="8"/>
  <c r="C5" i="8"/>
  <c r="E5" i="8"/>
  <c r="F5" i="8" s="1"/>
  <c r="G5" i="8" s="1"/>
  <c r="J5" i="8" s="1"/>
  <c r="K5" i="8" s="1"/>
  <c r="D5" i="8"/>
  <c r="F43" i="11"/>
  <c r="F48" i="11" l="1"/>
  <c r="C7" i="8"/>
  <c r="B8" i="8"/>
  <c r="H7" i="8"/>
  <c r="I7" i="8"/>
  <c r="E6" i="8"/>
  <c r="F6" i="8" s="1"/>
  <c r="G6" i="8" s="1"/>
  <c r="J6" i="8" s="1"/>
  <c r="D6" i="8"/>
  <c r="C6" i="8"/>
  <c r="B9" i="8" l="1"/>
  <c r="B10" i="8" s="1"/>
  <c r="H10" i="8" s="1"/>
  <c r="I8" i="8"/>
  <c r="H8" i="8"/>
  <c r="K6" i="8"/>
  <c r="E7" i="8"/>
  <c r="F7" i="8" s="1"/>
  <c r="G7" i="8" s="1"/>
  <c r="J7" i="8" s="1"/>
  <c r="D7" i="8"/>
  <c r="I6" i="11"/>
  <c r="I10" i="8" l="1"/>
  <c r="I9" i="8"/>
  <c r="E10" i="8"/>
  <c r="D10" i="8"/>
  <c r="C10" i="8"/>
  <c r="E9" i="8"/>
  <c r="D9" i="8"/>
  <c r="H9" i="8"/>
  <c r="C9" i="8"/>
  <c r="K7" i="8"/>
  <c r="F10" i="8"/>
  <c r="G10" i="8" s="1"/>
  <c r="J10" i="8" s="1"/>
  <c r="K10" i="8" s="1"/>
  <c r="F9" i="8"/>
  <c r="G9" i="8" s="1"/>
  <c r="D8" i="8"/>
  <c r="E11" i="11" s="1"/>
  <c r="B43" i="11" s="1"/>
  <c r="E8" i="8"/>
  <c r="F8" i="8" s="1"/>
  <c r="G8" i="8" s="1"/>
  <c r="J8" i="8" s="1"/>
  <c r="C8" i="8"/>
  <c r="A1" i="8"/>
  <c r="J9" i="8" l="1"/>
  <c r="K9" i="8" s="1"/>
  <c r="I3" i="11"/>
  <c r="F44" i="11"/>
  <c r="F45" i="11" s="1"/>
  <c r="F46" i="11" s="1"/>
  <c r="F49" i="11" s="1"/>
  <c r="F3" i="11"/>
  <c r="K8" i="8"/>
  <c r="F47" i="11" l="1"/>
</calcChain>
</file>

<file path=xl/sharedStrings.xml><?xml version="1.0" encoding="utf-8"?>
<sst xmlns="http://schemas.openxmlformats.org/spreadsheetml/2006/main" count="200" uniqueCount="143">
  <si>
    <t>Nr.Article</t>
  </si>
  <si>
    <t>Nom</t>
  </si>
  <si>
    <t>Description</t>
  </si>
  <si>
    <t>Prix</t>
  </si>
  <si>
    <t>Stock</t>
  </si>
  <si>
    <t>image</t>
  </si>
  <si>
    <t>Adresse Image</t>
  </si>
  <si>
    <t>Bar Braisé</t>
  </si>
  <si>
    <t>BHB</t>
  </si>
  <si>
    <t>Capitaine Braise</t>
  </si>
  <si>
    <t>Corn Tchap</t>
  </si>
  <si>
    <t>Eru Ecrevisses</t>
  </si>
  <si>
    <t>Eru Posson Fume</t>
  </si>
  <si>
    <t>Eru Tripes de bœuf</t>
  </si>
  <si>
    <t>Eru</t>
  </si>
  <si>
    <t>Koki</t>
  </si>
  <si>
    <t>kondre de Poisson frais</t>
  </si>
  <si>
    <t>Kondre Porc</t>
  </si>
  <si>
    <t>Maquereau braisé</t>
  </si>
  <si>
    <t>Mbongo</t>
  </si>
  <si>
    <t>Ndolè Fruits de mer</t>
  </si>
  <si>
    <t>Ndolè Poisson fumé</t>
  </si>
  <si>
    <t xml:space="preserve"> </t>
  </si>
  <si>
    <t>Ndolè Viande de bœuf</t>
  </si>
  <si>
    <t>Nfiang Owondo Poisson</t>
  </si>
  <si>
    <t>Nfiang Owondo Viande</t>
  </si>
  <si>
    <t>Nkui</t>
  </si>
  <si>
    <t>Nnam-owondo</t>
  </si>
  <si>
    <t>Nnan-oils</t>
  </si>
  <si>
    <t>Okok</t>
  </si>
  <si>
    <t>Poulet-DG</t>
  </si>
  <si>
    <t>Ragout de Boeuf Aux Gombos</t>
  </si>
  <si>
    <t>sole braise</t>
  </si>
  <si>
    <t>Soya</t>
  </si>
  <si>
    <t>Taro Sauce Jaune</t>
  </si>
  <si>
    <t>Tilapia braise</t>
  </si>
  <si>
    <t>Cocktail  de fruits</t>
  </si>
  <si>
    <t>jus de cassimango</t>
  </si>
  <si>
    <t>jus de corossol</t>
  </si>
  <si>
    <t>jus de foléré</t>
  </si>
  <si>
    <t>jus de goyave</t>
  </si>
  <si>
    <t>jus de mangue</t>
  </si>
  <si>
    <t>Jus d'Ananas</t>
  </si>
  <si>
    <t>limonade-gin-gingembre</t>
  </si>
  <si>
    <t>Nr.Client</t>
  </si>
  <si>
    <t>Photo</t>
  </si>
  <si>
    <t>Nom Complet</t>
  </si>
  <si>
    <t>Email</t>
  </si>
  <si>
    <t>Numero de Telephone</t>
  </si>
  <si>
    <t>Genre</t>
  </si>
  <si>
    <t>Adresse</t>
  </si>
  <si>
    <t>Niv.Fidelite</t>
  </si>
  <si>
    <t>1</t>
  </si>
  <si>
    <t>2</t>
  </si>
  <si>
    <t>3</t>
  </si>
  <si>
    <t>4</t>
  </si>
  <si>
    <t>5</t>
  </si>
  <si>
    <t>InfoTexte</t>
  </si>
  <si>
    <t>wilfredtonye003@gmail.com</t>
  </si>
  <si>
    <t>Cite des Palmiers</t>
  </si>
  <si>
    <t>Nr.Client:</t>
  </si>
  <si>
    <t>Remise:</t>
  </si>
  <si>
    <t>Nr.Employers:</t>
  </si>
  <si>
    <t>Info Client:</t>
  </si>
  <si>
    <t>Nr.Article:</t>
  </si>
  <si>
    <t>Prix:</t>
  </si>
  <si>
    <t>Article:</t>
  </si>
  <si>
    <t>Nombre:</t>
  </si>
  <si>
    <t>Stock:</t>
  </si>
  <si>
    <t>Date</t>
  </si>
  <si>
    <t>Nr.Employer</t>
  </si>
  <si>
    <t>Nombre</t>
  </si>
  <si>
    <t>Remise</t>
  </si>
  <si>
    <t>Article</t>
  </si>
  <si>
    <t>Total</t>
  </si>
  <si>
    <t>Nr.Employers</t>
  </si>
  <si>
    <t>Acompte</t>
  </si>
  <si>
    <t>Versement</t>
  </si>
  <si>
    <t>Reste</t>
  </si>
  <si>
    <t>Status</t>
  </si>
  <si>
    <t>Total HTVA</t>
  </si>
  <si>
    <t>Total TTC</t>
  </si>
  <si>
    <t>Beignets, Haricots verts et Boullie</t>
  </si>
  <si>
    <t>Braise  accompagnée de condiments et du piment</t>
  </si>
  <si>
    <t>Ragoût à base de mails et des haricots (rouges ou noir)</t>
  </si>
  <si>
    <t>Mélange de légume d'okok et d'une sorte d'épinards à petites feuilles</t>
  </si>
  <si>
    <t>Préparation épicée à base de haricots et d'huile de palme cuite à la vapeur dans une feuille de bananier fermée</t>
  </si>
  <si>
    <t>Ragoût de plantain et poisson frais</t>
  </si>
  <si>
    <t>Ragoût de plantain et porc</t>
  </si>
  <si>
    <t>Repas savoureux avec une composition assez spéciale d'épices locales comme le Hormi et le piment</t>
  </si>
  <si>
    <t>Mets à base de feuilles de gnenum africanum découpées très finement, de poudre d'arachides grillées et de jus de noix de palme</t>
  </si>
  <si>
    <t>Poulet frit avec des bananes plantins découpées en rondelles et frites, carrote, haricot vert, poivrons et épices</t>
  </si>
  <si>
    <t>Plat de petites brochettes de bœuf braisé</t>
  </si>
  <si>
    <t>Plat à base d'arachides cuisinées empaquetées dans des feuilles de bananier pour une cuisson en papillote</t>
  </si>
  <si>
    <t>Ragoût de viande dans une sauce à l'arachide</t>
  </si>
  <si>
    <t>Ragoût de poisson dans une sauce à l'arachide</t>
  </si>
  <si>
    <t>Plat composé de Taro, Sauce jaune à base d'huile de palme, champignons, viande et d'un mélange d'épices</t>
  </si>
  <si>
    <t>Plat à base d'une plante légumière dont les feuilles vertes très amères sont consommées avec de la viande, du poisson ou du gibier ou fruits de mer</t>
  </si>
  <si>
    <t>Sauce bamiléké gluante, de couleur marron ou noire</t>
  </si>
  <si>
    <t>Viande de bœuf, sauce Gombo</t>
  </si>
  <si>
    <t xml:space="preserve">  </t>
  </si>
  <si>
    <t>Niveau</t>
  </si>
  <si>
    <t>Condition</t>
  </si>
  <si>
    <t>Reduction</t>
  </si>
  <si>
    <t>Niv</t>
  </si>
  <si>
    <t>Douala</t>
  </si>
  <si>
    <t>Cameroun</t>
  </si>
  <si>
    <t>foodpalace@gmail.com</t>
  </si>
  <si>
    <t>Tel:</t>
  </si>
  <si>
    <t>Email:</t>
  </si>
  <si>
    <t>Nom Complet:</t>
  </si>
  <si>
    <t>Nr Client:</t>
  </si>
  <si>
    <t>Date de Naissance</t>
  </si>
  <si>
    <t>Date Naissance:</t>
  </si>
  <si>
    <t>Genre:</t>
  </si>
  <si>
    <t>Adresse:</t>
  </si>
  <si>
    <t>Nr Employer:</t>
  </si>
  <si>
    <t>Date:</t>
  </si>
  <si>
    <t>Facture D'achat</t>
  </si>
  <si>
    <t>Nr. Article</t>
  </si>
  <si>
    <t>Quantite</t>
  </si>
  <si>
    <t>Montant HTVA</t>
  </si>
  <si>
    <t>TVA 19,25%:</t>
  </si>
  <si>
    <t>TTC:</t>
  </si>
  <si>
    <t>Acompte:</t>
  </si>
  <si>
    <t>Somme du:</t>
  </si>
  <si>
    <t>Total HTVA:</t>
  </si>
  <si>
    <r>
      <rPr>
        <b/>
        <sz val="14"/>
        <color rgb="FFFF0000"/>
        <rFont val="Calibri"/>
        <family val="2"/>
        <scheme val="minor"/>
      </rPr>
      <t>T</t>
    </r>
    <r>
      <rPr>
        <b/>
        <sz val="14"/>
        <rFont val="Calibri"/>
        <family val="2"/>
        <scheme val="minor"/>
      </rPr>
      <t>HE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4"/>
        <color rgb="FFFF0000"/>
        <rFont val="Calibri"/>
        <family val="2"/>
        <scheme val="minor"/>
      </rPr>
      <t>F</t>
    </r>
    <r>
      <rPr>
        <b/>
        <sz val="14"/>
        <rFont val="Calibri"/>
        <family val="2"/>
        <scheme val="minor"/>
      </rPr>
      <t>OOD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4"/>
        <color rgb="FFFF0000"/>
        <rFont val="Calibri"/>
        <family val="2"/>
        <scheme val="minor"/>
      </rPr>
      <t>P</t>
    </r>
    <r>
      <rPr>
        <b/>
        <sz val="14"/>
        <color theme="1"/>
        <rFont val="Calibri"/>
        <family val="2"/>
        <scheme val="minor"/>
      </rPr>
      <t>ALACE</t>
    </r>
  </si>
  <si>
    <t>Total a payer:</t>
  </si>
  <si>
    <t>Type de Payement:</t>
  </si>
  <si>
    <t>Montant:</t>
  </si>
  <si>
    <t>Client</t>
  </si>
  <si>
    <t>Type</t>
  </si>
  <si>
    <t>Montant</t>
  </si>
  <si>
    <t>Nom:</t>
  </si>
  <si>
    <t>Quantite:</t>
  </si>
  <si>
    <t>Facture d'achat:</t>
  </si>
  <si>
    <t>Facture d'achat</t>
  </si>
  <si>
    <t>30-jui-2003</t>
  </si>
  <si>
    <t>Male</t>
  </si>
  <si>
    <t>Adresse Email</t>
  </si>
  <si>
    <t>WilfredTonye</t>
  </si>
  <si>
    <t>C:\Users\pc\Documents\WilStore\WilDesign\Public\Siteweb\Application VBA\Images\19092022033324.jpg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</si>
</sst>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#,##0\ [$FCFA-2C0C]"/>
    <numFmt numFmtId="165" formatCode="_-* #,##0\ [$FCFA-2C0C]_-;\-* #,##0\ [$FCFA-2C0C]_-;_-* &quot;-&quot;??\ [$FCFA-2C0C]_-;_-@_-"/>
    <numFmt numFmtId="166" formatCode="_-* #,##0.00\ [$FCFA-2C0C]_-;\-* #,##0.00\ [$FCFA-2C0C]_-;_-* &quot;-&quot;??\ [$FCFA-2C0C]_-;_-@_-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0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4" borderId="4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4" fillId="4" borderId="5" xfId="0" applyFont="1" applyFill="1" applyBorder="1"/>
    <xf numFmtId="0" fontId="4" fillId="4" borderId="10" xfId="0" applyFont="1" applyFill="1" applyBorder="1"/>
    <xf numFmtId="9" fontId="0" fillId="5" borderId="9" xfId="2" applyNumberFormat="1" applyFont="1" applyFill="1" applyBorder="1" applyAlignment="1">
      <alignment horizontal="center"/>
    </xf>
    <xf numFmtId="0" fontId="4" fillId="4" borderId="20" xfId="0" applyFont="1" applyFill="1" applyBorder="1"/>
    <xf numFmtId="0" fontId="0" fillId="0" borderId="21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2" applyFont="1"/>
    <xf numFmtId="9" fontId="1" fillId="0" borderId="0" xfId="2" applyFont="1" applyAlignment="1">
      <alignment horizontal="center" vertical="center"/>
    </xf>
    <xf numFmtId="9" fontId="5" fillId="3" borderId="3" xfId="2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" fillId="0" borderId="0" xfId="0" applyFont="1" applyBorder="1" applyAlignment="1"/>
    <xf numFmtId="164" fontId="8" fillId="0" borderId="0" xfId="3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0" fillId="0" borderId="0" xfId="3" applyNumberFormat="1" applyFont="1" applyAlignment="1">
      <alignment horizontal="center" vertical="center"/>
    </xf>
    <xf numFmtId="9" fontId="0" fillId="0" borderId="0" xfId="2" applyNumberFormat="1" applyFont="1" applyAlignment="1">
      <alignment horizontal="center" vertical="center"/>
    </xf>
    <xf numFmtId="0" fontId="2" fillId="0" borderId="0" xfId="1"/>
    <xf numFmtId="0" fontId="11" fillId="0" borderId="0" xfId="0" applyFont="1" applyAlignment="1">
      <alignment horizontal="right"/>
    </xf>
    <xf numFmtId="0" fontId="12" fillId="0" borderId="0" xfId="0" applyFont="1"/>
    <xf numFmtId="0" fontId="12" fillId="0" borderId="0" xfId="0" applyFont="1" applyAlignment="1">
      <alignment horizontal="right"/>
    </xf>
    <xf numFmtId="0" fontId="0" fillId="6" borderId="0" xfId="0" applyFill="1"/>
    <xf numFmtId="0" fontId="12" fillId="0" borderId="0" xfId="0" applyFont="1" applyAlignment="1">
      <alignment horizontal="left"/>
    </xf>
    <xf numFmtId="0" fontId="0" fillId="0" borderId="23" xfId="0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164" fontId="0" fillId="0" borderId="23" xfId="0" applyNumberFormat="1" applyBorder="1" applyAlignment="1">
      <alignment horizontal="center" vertical="center"/>
    </xf>
    <xf numFmtId="164" fontId="0" fillId="0" borderId="6" xfId="0" applyNumberFormat="1" applyBorder="1"/>
    <xf numFmtId="0" fontId="11" fillId="0" borderId="25" xfId="0" applyFont="1" applyBorder="1" applyAlignment="1">
      <alignment horizontal="right" vertical="center"/>
    </xf>
    <xf numFmtId="9" fontId="11" fillId="0" borderId="26" xfId="2" applyFont="1" applyBorder="1" applyAlignment="1">
      <alignment horizontal="right" vertical="center"/>
    </xf>
    <xf numFmtId="0" fontId="11" fillId="0" borderId="26" xfId="0" applyFont="1" applyBorder="1" applyAlignment="1">
      <alignment horizontal="right" vertical="center"/>
    </xf>
    <xf numFmtId="0" fontId="11" fillId="0" borderId="27" xfId="0" applyFont="1" applyBorder="1" applyAlignment="1">
      <alignment horizontal="right" vertical="center"/>
    </xf>
    <xf numFmtId="14" fontId="12" fillId="0" borderId="0" xfId="0" applyNumberFormat="1" applyFont="1"/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0" fillId="0" borderId="10" xfId="0" applyBorder="1" applyAlignment="1"/>
    <xf numFmtId="0" fontId="0" fillId="0" borderId="15" xfId="0" applyBorder="1" applyAlignment="1"/>
    <xf numFmtId="166" fontId="0" fillId="0" borderId="24" xfId="0" applyNumberFormat="1" applyBorder="1"/>
    <xf numFmtId="0" fontId="0" fillId="0" borderId="12" xfId="0" applyBorder="1" applyAlignment="1"/>
    <xf numFmtId="165" fontId="0" fillId="0" borderId="24" xfId="0" applyNumberFormat="1" applyBorder="1"/>
    <xf numFmtId="0" fontId="1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0" fillId="0" borderId="0" xfId="0" applyFont="1"/>
    <xf numFmtId="0" fontId="11" fillId="6" borderId="10" xfId="0" applyFont="1" applyFill="1" applyBorder="1"/>
    <xf numFmtId="0" fontId="10" fillId="6" borderId="11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22" xfId="0" applyFont="1" applyBorder="1" applyAlignment="1">
      <alignment horizontal="center" vertical="center" wrapText="1"/>
    </xf>
    <xf numFmtId="0" fontId="0" fillId="0" borderId="0" xfId="0" applyBorder="1" applyAlignment="1">
      <alignment horizontal="left" wrapText="1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8" xfId="0" applyBorder="1" applyAlignment="1">
      <alignment horizont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left" wrapText="1"/>
    </xf>
    <xf numFmtId="0" fontId="7" fillId="0" borderId="13" xfId="0" applyFont="1" applyBorder="1" applyAlignment="1">
      <alignment horizontal="left" wrapText="1"/>
    </xf>
    <xf numFmtId="0" fontId="7" fillId="0" borderId="14" xfId="0" applyFont="1" applyBorder="1" applyAlignment="1">
      <alignment horizontal="left" wrapText="1"/>
    </xf>
    <xf numFmtId="0" fontId="7" fillId="0" borderId="15" xfId="0" applyFont="1" applyBorder="1" applyAlignment="1">
      <alignment horizontal="left" wrapText="1"/>
    </xf>
    <xf numFmtId="0" fontId="7" fillId="0" borderId="0" xfId="0" applyFont="1" applyBorder="1" applyAlignment="1">
      <alignment horizontal="left" wrapText="1"/>
    </xf>
    <xf numFmtId="0" fontId="7" fillId="0" borderId="16" xfId="0" applyFont="1" applyBorder="1" applyAlignment="1">
      <alignment horizontal="left" wrapText="1"/>
    </xf>
    <xf numFmtId="0" fontId="7" fillId="0" borderId="17" xfId="0" applyFont="1" applyBorder="1" applyAlignment="1">
      <alignment horizontal="left" wrapText="1"/>
    </xf>
    <xf numFmtId="0" fontId="7" fillId="0" borderId="18" xfId="0" applyFont="1" applyBorder="1" applyAlignment="1">
      <alignment horizontal="left" wrapText="1"/>
    </xf>
    <xf numFmtId="0" fontId="7" fillId="0" borderId="19" xfId="0" applyFont="1" applyBorder="1" applyAlignment="1">
      <alignment horizontal="left" wrapText="1"/>
    </xf>
  </cellXfs>
  <cellStyles count="4">
    <cellStyle name="Lien hypertexte" xfId="1" builtinId="8"/>
    <cellStyle name="Monétaire" xfId="3" builtinId="4"/>
    <cellStyle name="Normal" xfId="0" builtinId="0"/>
    <cellStyle name="Pourcentage" xfId="2" builtinId="5"/>
  </cellStyles>
  <dxfs count="100">
    <dxf>
      <numFmt numFmtId="0" formatCode="General"/>
      <alignment horizontal="center" vertical="center" textRotation="0" wrapText="0" indent="0" justifyLastLine="0" shrinkToFit="0" readingOrder="0"/>
    </dxf>
    <dxf>
      <numFmt numFmtId="164" formatCode="#,##0\ [$FCFA-2C0C]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#,##0\ [$FCFA-2C0C]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* #,##0\ [$FCFA-2C0C]_-;\-* #,##0\ [$FCFA-2C0C]_-;_-* &quot;-&quot;??\ [$FCFA-2C0C]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#,##0\ [$FCFA-2C0C]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* #,##0\ [$FCFA-2C0C]_-;\-* #,##0\ [$FCFA-2C0C]_-;_-* &quot;-&quot;??\ [$FCFA-2C0C]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#,##0\ [$FCFA-2C0C]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\ [$FCFA-2C0C]"/>
      <alignment horizontal="center" vertical="center" textRotation="0" wrapText="0" indent="0" justifyLastLine="0" shrinkToFit="0" readingOrder="0"/>
    </dxf>
    <dxf>
      <numFmt numFmtId="164" formatCode="#,##0\ [$FCFA-2C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\ [$FCFA-2C0C]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\ [$FCFA-2C0C]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#,##0\ [$FCFA-2C0C]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fgColor auto="1"/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\ [$FCFA-2C0C]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rticle!A1"/><Relationship Id="rId2" Type="http://schemas.openxmlformats.org/officeDocument/2006/relationships/hyperlink" Target="#Panier!A1"/><Relationship Id="rId1" Type="http://schemas.openxmlformats.org/officeDocument/2006/relationships/hyperlink" Target="#Home!A1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istorique des Ventes'!A1"/><Relationship Id="rId2" Type="http://schemas.openxmlformats.org/officeDocument/2006/relationships/hyperlink" Target="#'Suivi des Employers'!A1"/><Relationship Id="rId1" Type="http://schemas.openxmlformats.org/officeDocument/2006/relationships/hyperlink" Target="#Home!A1"/><Relationship Id="rId5" Type="http://schemas.openxmlformats.org/officeDocument/2006/relationships/hyperlink" Target="#Facture!A1"/><Relationship Id="rId4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istorique des Ventes'!A1"/><Relationship Id="rId2" Type="http://schemas.openxmlformats.org/officeDocument/2006/relationships/hyperlink" Target="#'Suivi des Employers'!A1"/><Relationship Id="rId1" Type="http://schemas.openxmlformats.org/officeDocument/2006/relationships/hyperlink" Target="#Home!A1"/><Relationship Id="rId5" Type="http://schemas.openxmlformats.org/officeDocument/2006/relationships/hyperlink" Target="#Payement!A1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Client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Historique des Ventes'!A1"/><Relationship Id="rId2" Type="http://schemas.openxmlformats.org/officeDocument/2006/relationships/hyperlink" Target="#Panier!A1"/><Relationship Id="rId1" Type="http://schemas.openxmlformats.org/officeDocument/2006/relationships/hyperlink" Target="#Home!A1"/><Relationship Id="rId6" Type="http://schemas.openxmlformats.org/officeDocument/2006/relationships/hyperlink" Target="#Payement!A1"/><Relationship Id="rId5" Type="http://schemas.openxmlformats.org/officeDocument/2006/relationships/hyperlink" Target="#Facture!A1"/><Relationship Id="rId4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nier!A1"/><Relationship Id="rId2" Type="http://schemas.openxmlformats.org/officeDocument/2006/relationships/hyperlink" Target="#'Suivi des Employers'!A1"/><Relationship Id="rId1" Type="http://schemas.openxmlformats.org/officeDocument/2006/relationships/hyperlink" Target="#Home!A1"/><Relationship Id="rId6" Type="http://schemas.openxmlformats.org/officeDocument/2006/relationships/hyperlink" Target="#Payement!A1"/><Relationship Id="rId5" Type="http://schemas.openxmlformats.org/officeDocument/2006/relationships/hyperlink" Target="#Facture!A1"/><Relationship Id="rId4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Historique des Ventes'!A1"/><Relationship Id="rId7" Type="http://schemas.openxmlformats.org/officeDocument/2006/relationships/hyperlink" Target="#Reception!A1"/><Relationship Id="rId2" Type="http://schemas.openxmlformats.org/officeDocument/2006/relationships/hyperlink" Target="#Home!A1"/><Relationship Id="rId1" Type="http://schemas.openxmlformats.org/officeDocument/2006/relationships/image" Target="../media/image7.emf"/><Relationship Id="rId6" Type="http://schemas.openxmlformats.org/officeDocument/2006/relationships/hyperlink" Target="#'Suivi des Employers'!A1"/><Relationship Id="rId5" Type="http://schemas.openxmlformats.org/officeDocument/2006/relationships/image" Target="../media/image2.jpeg"/><Relationship Id="rId4" Type="http://schemas.openxmlformats.org/officeDocument/2006/relationships/hyperlink" Target="#Articl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Fidelisation!A1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2.jpeg"/><Relationship Id="rId18" Type="http://schemas.openxmlformats.org/officeDocument/2006/relationships/image" Target="../media/image27.jpeg"/><Relationship Id="rId26" Type="http://schemas.openxmlformats.org/officeDocument/2006/relationships/image" Target="../media/image35.jfif"/><Relationship Id="rId39" Type="http://schemas.openxmlformats.org/officeDocument/2006/relationships/hyperlink" Target="#Panier!A1"/><Relationship Id="rId21" Type="http://schemas.openxmlformats.org/officeDocument/2006/relationships/image" Target="../media/image30.jpeg"/><Relationship Id="rId34" Type="http://schemas.openxmlformats.org/officeDocument/2006/relationships/image" Target="../media/image43.jpeg"/><Relationship Id="rId7" Type="http://schemas.openxmlformats.org/officeDocument/2006/relationships/image" Target="../media/image16.jpeg"/><Relationship Id="rId12" Type="http://schemas.openxmlformats.org/officeDocument/2006/relationships/image" Target="../media/image21.jpeg"/><Relationship Id="rId17" Type="http://schemas.openxmlformats.org/officeDocument/2006/relationships/image" Target="../media/image26.jpg"/><Relationship Id="rId25" Type="http://schemas.openxmlformats.org/officeDocument/2006/relationships/image" Target="../media/image34.gif"/><Relationship Id="rId33" Type="http://schemas.openxmlformats.org/officeDocument/2006/relationships/image" Target="../media/image42.jpeg"/><Relationship Id="rId38" Type="http://schemas.openxmlformats.org/officeDocument/2006/relationships/hyperlink" Target="#Reception!A1"/><Relationship Id="rId2" Type="http://schemas.openxmlformats.org/officeDocument/2006/relationships/image" Target="../media/image11.jpeg"/><Relationship Id="rId16" Type="http://schemas.openxmlformats.org/officeDocument/2006/relationships/image" Target="../media/image25.jpg"/><Relationship Id="rId20" Type="http://schemas.openxmlformats.org/officeDocument/2006/relationships/image" Target="../media/image29.jpeg"/><Relationship Id="rId29" Type="http://schemas.openxmlformats.org/officeDocument/2006/relationships/image" Target="../media/image38.jpeg"/><Relationship Id="rId1" Type="http://schemas.openxmlformats.org/officeDocument/2006/relationships/image" Target="../media/image10.gif"/><Relationship Id="rId6" Type="http://schemas.openxmlformats.org/officeDocument/2006/relationships/image" Target="../media/image15.jpeg"/><Relationship Id="rId11" Type="http://schemas.openxmlformats.org/officeDocument/2006/relationships/image" Target="../media/image20.jpeg"/><Relationship Id="rId24" Type="http://schemas.openxmlformats.org/officeDocument/2006/relationships/image" Target="../media/image33.jpeg"/><Relationship Id="rId32" Type="http://schemas.openxmlformats.org/officeDocument/2006/relationships/image" Target="../media/image41.gif"/><Relationship Id="rId37" Type="http://schemas.openxmlformats.org/officeDocument/2006/relationships/hyperlink" Target="#Home!A1"/><Relationship Id="rId40" Type="http://schemas.openxmlformats.org/officeDocument/2006/relationships/image" Target="../media/image2.jpeg"/><Relationship Id="rId5" Type="http://schemas.openxmlformats.org/officeDocument/2006/relationships/image" Target="../media/image14.jpeg"/><Relationship Id="rId15" Type="http://schemas.openxmlformats.org/officeDocument/2006/relationships/image" Target="../media/image24.jpeg"/><Relationship Id="rId23" Type="http://schemas.openxmlformats.org/officeDocument/2006/relationships/image" Target="../media/image32.jpeg"/><Relationship Id="rId28" Type="http://schemas.openxmlformats.org/officeDocument/2006/relationships/image" Target="../media/image37.jpeg"/><Relationship Id="rId36" Type="http://schemas.openxmlformats.org/officeDocument/2006/relationships/image" Target="../media/image45.jpeg"/><Relationship Id="rId10" Type="http://schemas.openxmlformats.org/officeDocument/2006/relationships/image" Target="../media/image19.jpe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3.jpeg"/><Relationship Id="rId9" Type="http://schemas.openxmlformats.org/officeDocument/2006/relationships/image" Target="../media/image18.jpeg"/><Relationship Id="rId14" Type="http://schemas.openxmlformats.org/officeDocument/2006/relationships/image" Target="../media/image23.jpeg"/><Relationship Id="rId22" Type="http://schemas.openxmlformats.org/officeDocument/2006/relationships/image" Target="../media/image31.png"/><Relationship Id="rId27" Type="http://schemas.openxmlformats.org/officeDocument/2006/relationships/image" Target="../media/image36.jfif"/><Relationship Id="rId30" Type="http://schemas.openxmlformats.org/officeDocument/2006/relationships/image" Target="../media/image39.jpg"/><Relationship Id="rId35" Type="http://schemas.openxmlformats.org/officeDocument/2006/relationships/image" Target="../media/image44.jpeg"/><Relationship Id="rId8" Type="http://schemas.openxmlformats.org/officeDocument/2006/relationships/image" Target="../media/image17.jpeg"/><Relationship Id="rId3" Type="http://schemas.openxmlformats.org/officeDocument/2006/relationships/image" Target="../media/image12.jpe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ception!A1"/><Relationship Id="rId3" Type="http://schemas.openxmlformats.org/officeDocument/2006/relationships/hyperlink" Target="#Article!A1"/><Relationship Id="rId7" Type="http://schemas.openxmlformats.org/officeDocument/2006/relationships/hyperlink" Target="#Panier!A1"/><Relationship Id="rId2" Type="http://schemas.openxmlformats.org/officeDocument/2006/relationships/hyperlink" Target="#Clients!A1"/><Relationship Id="rId1" Type="http://schemas.openxmlformats.org/officeDocument/2006/relationships/hyperlink" Target="#Employers!A1"/><Relationship Id="rId6" Type="http://schemas.openxmlformats.org/officeDocument/2006/relationships/hyperlink" Target="#'Suivi des Employers'!A1"/><Relationship Id="rId5" Type="http://schemas.openxmlformats.org/officeDocument/2006/relationships/hyperlink" Target="#Payement!A1"/><Relationship Id="rId10" Type="http://schemas.openxmlformats.org/officeDocument/2006/relationships/hyperlink" Target="#Facture!A1"/><Relationship Id="rId4" Type="http://schemas.openxmlformats.org/officeDocument/2006/relationships/hyperlink" Target="#'Historique des Ventes'!A1"/><Relationship Id="rId9" Type="http://schemas.openxmlformats.org/officeDocument/2006/relationships/hyperlink" Target="#Fidelisation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16</xdr:col>
      <xdr:colOff>278700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Reception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Panier</a:t>
            </a:r>
          </a:p>
        </xdr:txBody>
      </xdr:sp>
      <xdr:sp macro="" textlink="">
        <xdr:nvSpPr>
          <xdr:cNvPr id="7" name="ZoneTexte 6">
            <a:hlinkClick xmlns:r="http://schemas.openxmlformats.org/officeDocument/2006/relationships" r:id="rId3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Article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9525</xdr:rowOff>
        </xdr:from>
        <xdr:to>
          <xdr:col>6</xdr:col>
          <xdr:colOff>238125</xdr:colOff>
          <xdr:row>4</xdr:row>
          <xdr:rowOff>28575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28575</xdr:colOff>
      <xdr:row>0</xdr:row>
      <xdr:rowOff>0</xdr:rowOff>
    </xdr:from>
    <xdr:to>
      <xdr:col>8</xdr:col>
      <xdr:colOff>28575</xdr:colOff>
      <xdr:row>0</xdr:row>
      <xdr:rowOff>762000</xdr:rowOff>
    </xdr:to>
    <xdr:sp macro="" textlink="">
      <xdr:nvSpPr>
        <xdr:cNvPr id="10" name="ZoneTexte 9"/>
        <xdr:cNvSpPr txBox="1"/>
      </xdr:nvSpPr>
      <xdr:spPr>
        <a:xfrm>
          <a:off x="6715125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PAGE1</a:t>
          </a:r>
        </a:p>
      </xdr:txBody>
    </xdr:sp>
    <xdr:clientData/>
  </xdr:twoCellAnchor>
  <xdr:twoCellAnchor>
    <xdr:from>
      <xdr:col>7</xdr:col>
      <xdr:colOff>647700</xdr:colOff>
      <xdr:row>0</xdr:row>
      <xdr:rowOff>19050</xdr:rowOff>
    </xdr:from>
    <xdr:to>
      <xdr:col>9</xdr:col>
      <xdr:colOff>647700</xdr:colOff>
      <xdr:row>0</xdr:row>
      <xdr:rowOff>781050</xdr:rowOff>
    </xdr:to>
    <xdr:sp macro="" textlink="">
      <xdr:nvSpPr>
        <xdr:cNvPr id="11" name="ZoneTexte 10"/>
        <xdr:cNvSpPr txBox="1"/>
      </xdr:nvSpPr>
      <xdr:spPr>
        <a:xfrm>
          <a:off x="8096250" y="1905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PAGE1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13</xdr:col>
      <xdr:colOff>221550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Employers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PAGE1</a:t>
            </a:r>
          </a:p>
        </xdr:txBody>
      </xdr:sp>
      <xdr:sp macro="" textlink="">
        <xdr:nvSpPr>
          <xdr:cNvPr id="7" name="ZoneTexte 6"/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PAGE1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0</xdr:row>
          <xdr:rowOff>152400</xdr:rowOff>
        </xdr:from>
        <xdr:to>
          <xdr:col>11</xdr:col>
          <xdr:colOff>733425</xdr:colOff>
          <xdr:row>0</xdr:row>
          <xdr:rowOff>638175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17</xdr:col>
      <xdr:colOff>250125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Payement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Suivi</a:t>
            </a:r>
            <a:r>
              <a:rPr lang="fr-FR" sz="1100" b="1" baseline="0">
                <a:solidFill>
                  <a:schemeClr val="bg1"/>
                </a:solidFill>
              </a:rPr>
              <a:t> des Employers</a:t>
            </a:r>
            <a:endParaRPr lang="fr-F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ZoneTexte 6">
            <a:hlinkClick xmlns:r="http://schemas.openxmlformats.org/officeDocument/2006/relationships" r:id="rId3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Historique</a:t>
            </a:r>
            <a:r>
              <a:rPr lang="fr-FR" sz="1100" b="1" baseline="0">
                <a:solidFill>
                  <a:schemeClr val="bg1"/>
                </a:solidFill>
              </a:rPr>
              <a:t> des Ventes</a:t>
            </a:r>
            <a:endParaRPr lang="fr-FR" sz="1100" b="1">
              <a:solidFill>
                <a:schemeClr val="bg1"/>
              </a:solidFill>
            </a:endParaRP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657225</xdr:colOff>
      <xdr:row>0</xdr:row>
      <xdr:rowOff>0</xdr:rowOff>
    </xdr:from>
    <xdr:to>
      <xdr:col>8</xdr:col>
      <xdr:colOff>657225</xdr:colOff>
      <xdr:row>0</xdr:row>
      <xdr:rowOff>762000</xdr:rowOff>
    </xdr:to>
    <xdr:sp macro="" textlink="">
      <xdr:nvSpPr>
        <xdr:cNvPr id="10" name="ZoneTexte 9">
          <a:hlinkClick xmlns:r="http://schemas.openxmlformats.org/officeDocument/2006/relationships" r:id="rId5"/>
        </xdr:cNvPr>
        <xdr:cNvSpPr txBox="1"/>
      </xdr:nvSpPr>
      <xdr:spPr>
        <a:xfrm>
          <a:off x="6629400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Facture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735900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Facture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Suivi</a:t>
            </a:r>
            <a:r>
              <a:rPr lang="fr-FR" sz="1100" b="1" baseline="0">
                <a:solidFill>
                  <a:schemeClr val="bg1"/>
                </a:solidFill>
              </a:rPr>
              <a:t> des Employers</a:t>
            </a:r>
            <a:endParaRPr lang="fr-F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ZoneTexte 6">
            <a:hlinkClick xmlns:r="http://schemas.openxmlformats.org/officeDocument/2006/relationships" r:id="rId3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Historique</a:t>
            </a:r>
            <a:r>
              <a:rPr lang="fr-FR" sz="1100" b="1" baseline="0">
                <a:solidFill>
                  <a:schemeClr val="bg1"/>
                </a:solidFill>
              </a:rPr>
              <a:t> des Ventes</a:t>
            </a:r>
            <a:endParaRPr lang="fr-FR" sz="1100" b="1">
              <a:solidFill>
                <a:schemeClr val="bg1"/>
              </a:solidFill>
            </a:endParaRP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38100</xdr:rowOff>
        </xdr:from>
        <xdr:to>
          <xdr:col>8</xdr:col>
          <xdr:colOff>1362075</xdr:colOff>
          <xdr:row>9</xdr:row>
          <xdr:rowOff>171450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238125</xdr:colOff>
      <xdr:row>0</xdr:row>
      <xdr:rowOff>0</xdr:rowOff>
    </xdr:from>
    <xdr:to>
      <xdr:col>7</xdr:col>
      <xdr:colOff>1000125</xdr:colOff>
      <xdr:row>0</xdr:row>
      <xdr:rowOff>762000</xdr:rowOff>
    </xdr:to>
    <xdr:sp macro="" textlink="">
      <xdr:nvSpPr>
        <xdr:cNvPr id="10" name="ZoneTexte 9">
          <a:hlinkClick xmlns:r="http://schemas.openxmlformats.org/officeDocument/2006/relationships" r:id="rId5"/>
        </xdr:cNvPr>
        <xdr:cNvSpPr txBox="1"/>
      </xdr:nvSpPr>
      <xdr:spPr>
        <a:xfrm>
          <a:off x="6915150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baseline="0">
              <a:solidFill>
                <a:schemeClr val="bg1"/>
              </a:solidFill>
            </a:rPr>
            <a:t>Payement</a:t>
          </a:r>
          <a:endParaRPr lang="fr-F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18</xdr:col>
      <xdr:colOff>269175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Fidélisation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Clients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10</xdr:col>
      <xdr:colOff>1374075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Suivi des Employers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Panier</a:t>
            </a:r>
          </a:p>
        </xdr:txBody>
      </xdr:sp>
      <xdr:sp macro="" textlink="">
        <xdr:nvSpPr>
          <xdr:cNvPr id="7" name="ZoneTexte 6">
            <a:hlinkClick xmlns:r="http://schemas.openxmlformats.org/officeDocument/2006/relationships" r:id="rId3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Historique</a:t>
            </a:r>
            <a:r>
              <a:rPr lang="fr-FR" sz="1100" b="1" baseline="0">
                <a:solidFill>
                  <a:schemeClr val="bg1"/>
                </a:solidFill>
              </a:rPr>
              <a:t> des Ventes</a:t>
            </a:r>
            <a:endParaRPr lang="fr-FR" sz="1100" b="1">
              <a:solidFill>
                <a:schemeClr val="bg1"/>
              </a:solidFill>
            </a:endParaRP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533400</xdr:colOff>
      <xdr:row>0</xdr:row>
      <xdr:rowOff>0</xdr:rowOff>
    </xdr:from>
    <xdr:to>
      <xdr:col>6</xdr:col>
      <xdr:colOff>600075</xdr:colOff>
      <xdr:row>0</xdr:row>
      <xdr:rowOff>762000</xdr:rowOff>
    </xdr:to>
    <xdr:sp macro="" textlink="">
      <xdr:nvSpPr>
        <xdr:cNvPr id="9" name="ZoneTexte 8">
          <a:hlinkClick xmlns:r="http://schemas.openxmlformats.org/officeDocument/2006/relationships" r:id="rId5"/>
        </xdr:cNvPr>
        <xdr:cNvSpPr txBox="1"/>
      </xdr:nvSpPr>
      <xdr:spPr>
        <a:xfrm>
          <a:off x="6477000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Facture</a:t>
          </a:r>
        </a:p>
      </xdr:txBody>
    </xdr:sp>
    <xdr:clientData/>
  </xdr:twoCellAnchor>
  <xdr:twoCellAnchor>
    <xdr:from>
      <xdr:col>6</xdr:col>
      <xdr:colOff>190500</xdr:colOff>
      <xdr:row>0</xdr:row>
      <xdr:rowOff>0</xdr:rowOff>
    </xdr:from>
    <xdr:to>
      <xdr:col>7</xdr:col>
      <xdr:colOff>257175</xdr:colOff>
      <xdr:row>0</xdr:row>
      <xdr:rowOff>762000</xdr:rowOff>
    </xdr:to>
    <xdr:sp macro="" textlink="">
      <xdr:nvSpPr>
        <xdr:cNvPr id="10" name="ZoneTexte 9">
          <a:hlinkClick xmlns:r="http://schemas.openxmlformats.org/officeDocument/2006/relationships" r:id="rId6"/>
        </xdr:cNvPr>
        <xdr:cNvSpPr txBox="1"/>
      </xdr:nvSpPr>
      <xdr:spPr>
        <a:xfrm>
          <a:off x="7591425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Payement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9</xdr:col>
      <xdr:colOff>1383600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800" b="1"/>
              <a:t>Historique des Ventes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Suivi</a:t>
            </a:r>
            <a:r>
              <a:rPr lang="fr-FR" sz="1100" b="1" baseline="0">
                <a:solidFill>
                  <a:schemeClr val="bg1"/>
                </a:solidFill>
              </a:rPr>
              <a:t> des Employers</a:t>
            </a:r>
            <a:endParaRPr lang="fr-F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ZoneTexte 6">
            <a:hlinkClick xmlns:r="http://schemas.openxmlformats.org/officeDocument/2006/relationships" r:id="rId3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Panier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219075</xdr:colOff>
      <xdr:row>0</xdr:row>
      <xdr:rowOff>0</xdr:rowOff>
    </xdr:from>
    <xdr:to>
      <xdr:col>6</xdr:col>
      <xdr:colOff>104775</xdr:colOff>
      <xdr:row>0</xdr:row>
      <xdr:rowOff>762000</xdr:rowOff>
    </xdr:to>
    <xdr:sp macro="" textlink="">
      <xdr:nvSpPr>
        <xdr:cNvPr id="9" name="ZoneTexte 8">
          <a:hlinkClick xmlns:r="http://schemas.openxmlformats.org/officeDocument/2006/relationships" r:id="rId5"/>
        </xdr:cNvPr>
        <xdr:cNvSpPr txBox="1"/>
      </xdr:nvSpPr>
      <xdr:spPr>
        <a:xfrm>
          <a:off x="6886575" y="0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Facture</a:t>
          </a:r>
        </a:p>
      </xdr:txBody>
    </xdr:sp>
    <xdr:clientData/>
  </xdr:twoCellAnchor>
  <xdr:twoCellAnchor>
    <xdr:from>
      <xdr:col>5</xdr:col>
      <xdr:colOff>1333500</xdr:colOff>
      <xdr:row>0</xdr:row>
      <xdr:rowOff>9525</xdr:rowOff>
    </xdr:from>
    <xdr:to>
      <xdr:col>6</xdr:col>
      <xdr:colOff>1219200</xdr:colOff>
      <xdr:row>0</xdr:row>
      <xdr:rowOff>771525</xdr:rowOff>
    </xdr:to>
    <xdr:sp macro="" textlink="">
      <xdr:nvSpPr>
        <xdr:cNvPr id="10" name="ZoneTexte 9">
          <a:hlinkClick xmlns:r="http://schemas.openxmlformats.org/officeDocument/2006/relationships" r:id="rId6"/>
        </xdr:cNvPr>
        <xdr:cNvSpPr txBox="1"/>
      </xdr:nvSpPr>
      <xdr:spPr>
        <a:xfrm>
          <a:off x="8001000" y="9525"/>
          <a:ext cx="15240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baseline="0">
              <a:solidFill>
                <a:schemeClr val="bg1"/>
              </a:solidFill>
            </a:rPr>
            <a:t>Payement</a:t>
          </a:r>
          <a:endParaRPr lang="fr-F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9525</xdr:rowOff>
        </xdr:from>
        <xdr:to>
          <xdr:col>5</xdr:col>
          <xdr:colOff>0</xdr:colOff>
          <xdr:row>26</xdr:row>
          <xdr:rowOff>0</xdr:rowOff>
        </xdr:to>
        <xdr:pic>
          <xdr:nvPicPr>
            <xdr:cNvPr id="10" name="Image 9"/>
            <xdr:cNvPicPr>
              <a:picLocks noChangeAspect="1"/>
              <a:extLst>
                <a:ext uri="{84589F7E-364E-4C9E-8A38-B11213B215E9}">
                  <a14:cameraTool cellRange="image" spid="_x0000_s162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14300" y="3705225"/>
              <a:ext cx="3829050" cy="1905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95250</xdr:rowOff>
        </xdr:from>
        <xdr:to>
          <xdr:col>8</xdr:col>
          <xdr:colOff>628650</xdr:colOff>
          <xdr:row>13</xdr:row>
          <xdr:rowOff>104775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14</xdr:col>
      <xdr:colOff>945450</xdr:colOff>
      <xdr:row>0</xdr:row>
      <xdr:rowOff>792000</xdr:rowOff>
    </xdr:to>
    <xdr:grpSp>
      <xdr:nvGrpSpPr>
        <xdr:cNvPr id="11" name="Groupe 10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grpSp>
        <xdr:nvGrpSpPr>
          <xdr:cNvPr id="2" name="Groupe 1"/>
          <xdr:cNvGrpSpPr/>
        </xdr:nvGrpSpPr>
        <xdr:grpSpPr>
          <a:xfrm>
            <a:off x="114300" y="0"/>
            <a:ext cx="14490000" cy="792000"/>
            <a:chOff x="114300" y="0"/>
            <a:chExt cx="14490000" cy="792000"/>
          </a:xfrm>
        </xdr:grpSpPr>
        <xdr:sp macro="" textlink="">
          <xdr:nvSpPr>
            <xdr:cNvPr id="3" name="Rectangle 2"/>
            <xdr:cNvSpPr/>
          </xdr:nvSpPr>
          <xdr:spPr>
            <a:xfrm>
              <a:off x="114300" y="0"/>
              <a:ext cx="14490000" cy="792000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4" name="Rectangle 3"/>
            <xdr:cNvSpPr/>
          </xdr:nvSpPr>
          <xdr:spPr>
            <a:xfrm>
              <a:off x="114300" y="0"/>
              <a:ext cx="2286000" cy="792000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000" b="1"/>
                <a:t>Panier</a:t>
              </a:r>
            </a:p>
          </xdr:txBody>
        </xdr:sp>
        <xdr:sp macro="" textlink="">
          <xdr:nvSpPr>
            <xdr:cNvPr id="5" name="ZoneTexte 4">
              <a:hlinkClick xmlns:r="http://schemas.openxmlformats.org/officeDocument/2006/relationships" r:id="rId2"/>
            </xdr:cNvPr>
            <xdr:cNvSpPr txBox="1"/>
          </xdr:nvSpPr>
          <xdr:spPr>
            <a:xfrm>
              <a:off x="2400300" y="0"/>
              <a:ext cx="1524000" cy="762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solidFill>
                    <a:schemeClr val="bg1"/>
                  </a:solidFill>
                </a:rPr>
                <a:t>Home</a:t>
              </a:r>
            </a:p>
          </xdr:txBody>
        </xdr:sp>
        <xdr:sp macro="" textlink="">
          <xdr:nvSpPr>
            <xdr:cNvPr id="6" name="ZoneTexte 5">
              <a:hlinkClick xmlns:r="http://schemas.openxmlformats.org/officeDocument/2006/relationships" r:id="rId3"/>
            </xdr:cNvPr>
            <xdr:cNvSpPr txBox="1"/>
          </xdr:nvSpPr>
          <xdr:spPr>
            <a:xfrm>
              <a:off x="5448300" y="0"/>
              <a:ext cx="1524000" cy="762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solidFill>
                    <a:schemeClr val="bg1"/>
                  </a:solidFill>
                </a:rPr>
                <a:t>Historique</a:t>
              </a:r>
              <a:r>
                <a:rPr lang="fr-FR" sz="1100" b="1" baseline="0">
                  <a:solidFill>
                    <a:schemeClr val="bg1"/>
                  </a:solidFill>
                </a:rPr>
                <a:t> des Ventes</a:t>
              </a:r>
              <a:endParaRPr lang="fr-FR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7" name="ZoneTexte 6">
              <a:hlinkClick xmlns:r="http://schemas.openxmlformats.org/officeDocument/2006/relationships" r:id="rId4"/>
            </xdr:cNvPr>
            <xdr:cNvSpPr txBox="1"/>
          </xdr:nvSpPr>
          <xdr:spPr>
            <a:xfrm>
              <a:off x="3924300" y="0"/>
              <a:ext cx="1524000" cy="762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solidFill>
                    <a:schemeClr val="bg1"/>
                  </a:solidFill>
                </a:rPr>
                <a:t>Article</a:t>
              </a:r>
            </a:p>
          </xdr:txBody>
        </xdr:sp>
        <xdr:pic>
          <xdr:nvPicPr>
            <xdr:cNvPr id="8" name="Image 7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725525" y="1"/>
              <a:ext cx="866775" cy="761999"/>
            </a:xfrm>
            <a:prstGeom prst="rect">
              <a:avLst/>
            </a:prstGeom>
          </xdr:spPr>
        </xdr:pic>
      </xdr:grpSp>
      <xdr:sp macro="" textlink="">
        <xdr:nvSpPr>
          <xdr:cNvPr id="12" name="ZoneTexte 11">
            <a:hlinkClick xmlns:r="http://schemas.openxmlformats.org/officeDocument/2006/relationships" r:id="rId6"/>
          </xdr:cNvPr>
          <xdr:cNvSpPr txBox="1"/>
        </xdr:nvSpPr>
        <xdr:spPr>
          <a:xfrm>
            <a:off x="7200899" y="19050"/>
            <a:ext cx="1285875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Suivi</a:t>
            </a:r>
            <a:r>
              <a:rPr lang="fr-FR" sz="1100" b="1" baseline="0">
                <a:solidFill>
                  <a:schemeClr val="bg1"/>
                </a:solidFill>
              </a:rPr>
              <a:t> des Employers</a:t>
            </a:r>
            <a:endParaRPr lang="fr-F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13" name="ZoneTexte 12">
            <a:hlinkClick xmlns:r="http://schemas.openxmlformats.org/officeDocument/2006/relationships" r:id="rId7"/>
          </xdr:cNvPr>
          <xdr:cNvSpPr txBox="1"/>
        </xdr:nvSpPr>
        <xdr:spPr>
          <a:xfrm>
            <a:off x="8239125" y="1905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Reception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1171575</xdr:colOff>
          <xdr:row>2</xdr:row>
          <xdr:rowOff>19050</xdr:rowOff>
        </xdr:from>
        <xdr:to>
          <xdr:col>14</xdr:col>
          <xdr:colOff>1066800</xdr:colOff>
          <xdr:row>4</xdr:row>
          <xdr:rowOff>28575</xdr:rowOff>
        </xdr:to>
        <xdr:sp macro="" textlink="">
          <xdr:nvSpPr>
            <xdr:cNvPr id="1062" name="CommandButton2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16</xdr:col>
      <xdr:colOff>1697925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CLIENTS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2"/>
          </xdr:cNvPr>
          <xdr:cNvSpPr txBox="1"/>
        </xdr:nvSpPr>
        <xdr:spPr>
          <a:xfrm>
            <a:off x="10506075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Fidélisation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628650</xdr:colOff>
          <xdr:row>0</xdr:row>
          <xdr:rowOff>142875</xdr:rowOff>
        </xdr:from>
        <xdr:to>
          <xdr:col>16</xdr:col>
          <xdr:colOff>762000</xdr:colOff>
          <xdr:row>0</xdr:row>
          <xdr:rowOff>619125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85725</xdr:rowOff>
    </xdr:from>
    <xdr:to>
      <xdr:col>5</xdr:col>
      <xdr:colOff>0</xdr:colOff>
      <xdr:row>3</xdr:row>
      <xdr:rowOff>1019175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1266825"/>
          <a:ext cx="1533525" cy="93345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4</xdr:row>
      <xdr:rowOff>9820</xdr:rowOff>
    </xdr:from>
    <xdr:to>
      <xdr:col>5</xdr:col>
      <xdr:colOff>0</xdr:colOff>
      <xdr:row>5</xdr:row>
      <xdr:rowOff>0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2257720"/>
          <a:ext cx="1514475" cy="780755"/>
        </a:xfrm>
        <a:prstGeom prst="rect">
          <a:avLst/>
        </a:prstGeom>
      </xdr:spPr>
    </xdr:pic>
    <xdr:clientData/>
  </xdr:twoCellAnchor>
  <xdr:twoCellAnchor editAs="oneCell">
    <xdr:from>
      <xdr:col>4</xdr:col>
      <xdr:colOff>28576</xdr:colOff>
      <xdr:row>4</xdr:row>
      <xdr:rowOff>781051</xdr:rowOff>
    </xdr:from>
    <xdr:to>
      <xdr:col>4</xdr:col>
      <xdr:colOff>1514476</xdr:colOff>
      <xdr:row>5</xdr:row>
      <xdr:rowOff>1057276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6" y="3028951"/>
          <a:ext cx="1485900" cy="106680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5</xdr:row>
      <xdr:rowOff>1033585</xdr:rowOff>
    </xdr:from>
    <xdr:to>
      <xdr:col>6</xdr:col>
      <xdr:colOff>38100</xdr:colOff>
      <xdr:row>6</xdr:row>
      <xdr:rowOff>790575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050" y="4072060"/>
          <a:ext cx="1552575" cy="833315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7</xdr:row>
      <xdr:rowOff>9525</xdr:rowOff>
    </xdr:from>
    <xdr:to>
      <xdr:col>5</xdr:col>
      <xdr:colOff>0</xdr:colOff>
      <xdr:row>8</xdr:row>
      <xdr:rowOff>9525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" y="4962525"/>
          <a:ext cx="1533525" cy="876300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8</xdr:row>
      <xdr:rowOff>28576</xdr:rowOff>
    </xdr:from>
    <xdr:to>
      <xdr:col>4</xdr:col>
      <xdr:colOff>1524000</xdr:colOff>
      <xdr:row>8</xdr:row>
      <xdr:rowOff>828676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5857876"/>
          <a:ext cx="1485900" cy="8001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47621</xdr:colOff>
      <xdr:row>9</xdr:row>
      <xdr:rowOff>19050</xdr:rowOff>
    </xdr:from>
    <xdr:to>
      <xdr:col>6</xdr:col>
      <xdr:colOff>66672</xdr:colOff>
      <xdr:row>9</xdr:row>
      <xdr:rowOff>1028700</xdr:rowOff>
    </xdr:to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5610221" y="6696075"/>
          <a:ext cx="1562101" cy="100965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10</xdr:row>
      <xdr:rowOff>39617</xdr:rowOff>
    </xdr:from>
    <xdr:to>
      <xdr:col>6</xdr:col>
      <xdr:colOff>66675</xdr:colOff>
      <xdr:row>10</xdr:row>
      <xdr:rowOff>962500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7754867"/>
          <a:ext cx="1562100" cy="922883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11</xdr:row>
      <xdr:rowOff>2380</xdr:rowOff>
    </xdr:from>
    <xdr:to>
      <xdr:col>4</xdr:col>
      <xdr:colOff>1514475</xdr:colOff>
      <xdr:row>12</xdr:row>
      <xdr:rowOff>0</xdr:rowOff>
    </xdr:to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8708230"/>
          <a:ext cx="1476375" cy="1092995"/>
        </a:xfrm>
        <a:prstGeom prst="rect">
          <a:avLst/>
        </a:prstGeom>
      </xdr:spPr>
    </xdr:pic>
    <xdr:clientData/>
  </xdr:twoCellAnchor>
  <xdr:twoCellAnchor editAs="oneCell">
    <xdr:from>
      <xdr:col>4</xdr:col>
      <xdr:colOff>9524</xdr:colOff>
      <xdr:row>11</xdr:row>
      <xdr:rowOff>1066799</xdr:rowOff>
    </xdr:from>
    <xdr:to>
      <xdr:col>4</xdr:col>
      <xdr:colOff>1533525</xdr:colOff>
      <xdr:row>12</xdr:row>
      <xdr:rowOff>942975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4" y="9772649"/>
          <a:ext cx="1524001" cy="971551"/>
        </a:xfrm>
        <a:prstGeom prst="rect">
          <a:avLst/>
        </a:prstGeom>
      </xdr:spPr>
    </xdr:pic>
    <xdr:clientData/>
  </xdr:twoCellAnchor>
  <xdr:twoCellAnchor editAs="oneCell">
    <xdr:from>
      <xdr:col>3</xdr:col>
      <xdr:colOff>2152650</xdr:colOff>
      <xdr:row>13</xdr:row>
      <xdr:rowOff>18811</xdr:rowOff>
    </xdr:from>
    <xdr:to>
      <xdr:col>4</xdr:col>
      <xdr:colOff>1514475</xdr:colOff>
      <xdr:row>14</xdr:row>
      <xdr:rowOff>28575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4975" y="10810636"/>
          <a:ext cx="1562100" cy="952739"/>
        </a:xfrm>
        <a:prstGeom prst="rect">
          <a:avLst/>
        </a:prstGeom>
      </xdr:spPr>
    </xdr:pic>
    <xdr:clientData/>
  </xdr:twoCellAnchor>
  <xdr:twoCellAnchor editAs="oneCell">
    <xdr:from>
      <xdr:col>4</xdr:col>
      <xdr:colOff>19051</xdr:colOff>
      <xdr:row>13</xdr:row>
      <xdr:rowOff>936879</xdr:rowOff>
    </xdr:from>
    <xdr:to>
      <xdr:col>4</xdr:col>
      <xdr:colOff>1504950</xdr:colOff>
      <xdr:row>14</xdr:row>
      <xdr:rowOff>866776</xdr:rowOff>
    </xdr:to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1" y="11728704"/>
          <a:ext cx="1485899" cy="872872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15</xdr:row>
      <xdr:rowOff>27600</xdr:rowOff>
    </xdr:from>
    <xdr:to>
      <xdr:col>4</xdr:col>
      <xdr:colOff>1514476</xdr:colOff>
      <xdr:row>15</xdr:row>
      <xdr:rowOff>933450</xdr:rowOff>
    </xdr:to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12638700"/>
          <a:ext cx="1504951" cy="90585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16</xdr:row>
      <xdr:rowOff>9525</xdr:rowOff>
    </xdr:from>
    <xdr:to>
      <xdr:col>4</xdr:col>
      <xdr:colOff>1524000</xdr:colOff>
      <xdr:row>17</xdr:row>
      <xdr:rowOff>9524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13573125"/>
          <a:ext cx="1495425" cy="990599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17</xdr:row>
      <xdr:rowOff>95250</xdr:rowOff>
    </xdr:from>
    <xdr:to>
      <xdr:col>5</xdr:col>
      <xdr:colOff>0</xdr:colOff>
      <xdr:row>17</xdr:row>
      <xdr:rowOff>1228724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14649450"/>
          <a:ext cx="1514475" cy="1133474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18</xdr:row>
      <xdr:rowOff>47625</xdr:rowOff>
    </xdr:from>
    <xdr:to>
      <xdr:col>4</xdr:col>
      <xdr:colOff>1533525</xdr:colOff>
      <xdr:row>18</xdr:row>
      <xdr:rowOff>1352550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15868650"/>
          <a:ext cx="1524000" cy="13049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18</xdr:row>
      <xdr:rowOff>1371575</xdr:rowOff>
    </xdr:from>
    <xdr:to>
      <xdr:col>6</xdr:col>
      <xdr:colOff>38100</xdr:colOff>
      <xdr:row>20</xdr:row>
      <xdr:rowOff>9524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300" y="17192600"/>
          <a:ext cx="1543050" cy="1133499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20</xdr:row>
      <xdr:rowOff>28575</xdr:rowOff>
    </xdr:from>
    <xdr:to>
      <xdr:col>6</xdr:col>
      <xdr:colOff>25400</xdr:colOff>
      <xdr:row>21</xdr:row>
      <xdr:rowOff>0</xdr:rowOff>
    </xdr:to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18345150"/>
          <a:ext cx="1549400" cy="1076325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20</xdr:row>
      <xdr:rowOff>1034425</xdr:rowOff>
    </xdr:from>
    <xdr:to>
      <xdr:col>4</xdr:col>
      <xdr:colOff>1514474</xdr:colOff>
      <xdr:row>22</xdr:row>
      <xdr:rowOff>0</xdr:rowOff>
    </xdr:to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19351000"/>
          <a:ext cx="1504949" cy="984875"/>
        </a:xfrm>
        <a:prstGeom prst="rect">
          <a:avLst/>
        </a:prstGeom>
      </xdr:spPr>
    </xdr:pic>
    <xdr:clientData/>
  </xdr:twoCellAnchor>
  <xdr:twoCellAnchor editAs="oneCell">
    <xdr:from>
      <xdr:col>4</xdr:col>
      <xdr:colOff>47626</xdr:colOff>
      <xdr:row>22</xdr:row>
      <xdr:rowOff>38100</xdr:rowOff>
    </xdr:from>
    <xdr:to>
      <xdr:col>6</xdr:col>
      <xdr:colOff>19050</xdr:colOff>
      <xdr:row>22</xdr:row>
      <xdr:rowOff>866775</xdr:rowOff>
    </xdr:to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26" y="20373975"/>
          <a:ext cx="1514474" cy="828675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23</xdr:row>
      <xdr:rowOff>19050</xdr:rowOff>
    </xdr:from>
    <xdr:to>
      <xdr:col>6</xdr:col>
      <xdr:colOff>57150</xdr:colOff>
      <xdr:row>24</xdr:row>
      <xdr:rowOff>9525</xdr:rowOff>
    </xdr:to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21250275"/>
          <a:ext cx="1571625" cy="923925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24</xdr:row>
      <xdr:rowOff>19050</xdr:rowOff>
    </xdr:from>
    <xdr:to>
      <xdr:col>4</xdr:col>
      <xdr:colOff>1533525</xdr:colOff>
      <xdr:row>24</xdr:row>
      <xdr:rowOff>923925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22183725"/>
          <a:ext cx="1524000" cy="9048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19049</xdr:colOff>
      <xdr:row>25</xdr:row>
      <xdr:rowOff>28575</xdr:rowOff>
    </xdr:from>
    <xdr:to>
      <xdr:col>4</xdr:col>
      <xdr:colOff>1533524</xdr:colOff>
      <xdr:row>26</xdr:row>
      <xdr:rowOff>19050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49" y="23126700"/>
          <a:ext cx="1514475" cy="7905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26</xdr:row>
      <xdr:rowOff>66675</xdr:rowOff>
    </xdr:from>
    <xdr:to>
      <xdr:col>5</xdr:col>
      <xdr:colOff>0</xdr:colOff>
      <xdr:row>26</xdr:row>
      <xdr:rowOff>1038225</xdr:rowOff>
    </xdr:to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23964900"/>
          <a:ext cx="1524000" cy="971550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26</xdr:row>
      <xdr:rowOff>1052562</xdr:rowOff>
    </xdr:from>
    <xdr:to>
      <xdr:col>4</xdr:col>
      <xdr:colOff>1485900</xdr:colOff>
      <xdr:row>27</xdr:row>
      <xdr:rowOff>933450</xdr:rowOff>
    </xdr:to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300" y="24950787"/>
          <a:ext cx="1447800" cy="938163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28</xdr:row>
      <xdr:rowOff>19050</xdr:rowOff>
    </xdr:from>
    <xdr:to>
      <xdr:col>4</xdr:col>
      <xdr:colOff>1524000</xdr:colOff>
      <xdr:row>28</xdr:row>
      <xdr:rowOff>847725</xdr:rowOff>
    </xdr:to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25946100"/>
          <a:ext cx="1514475" cy="82867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28</xdr:row>
      <xdr:rowOff>876300</xdr:rowOff>
    </xdr:from>
    <xdr:to>
      <xdr:col>4</xdr:col>
      <xdr:colOff>1524000</xdr:colOff>
      <xdr:row>30</xdr:row>
      <xdr:rowOff>0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300" y="26803350"/>
          <a:ext cx="1485900" cy="1057275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30</xdr:row>
      <xdr:rowOff>6549</xdr:rowOff>
    </xdr:from>
    <xdr:to>
      <xdr:col>5</xdr:col>
      <xdr:colOff>0</xdr:colOff>
      <xdr:row>31</xdr:row>
      <xdr:rowOff>0</xdr:rowOff>
    </xdr:to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27867174"/>
          <a:ext cx="1514476" cy="965001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2190750</xdr:colOff>
      <xdr:row>31</xdr:row>
      <xdr:rowOff>9525</xdr:rowOff>
    </xdr:from>
    <xdr:to>
      <xdr:col>6</xdr:col>
      <xdr:colOff>9525</xdr:colOff>
      <xdr:row>32</xdr:row>
      <xdr:rowOff>9525</xdr:rowOff>
    </xdr:to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8860750"/>
          <a:ext cx="15621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28574</xdr:colOff>
      <xdr:row>32</xdr:row>
      <xdr:rowOff>47624</xdr:rowOff>
    </xdr:from>
    <xdr:to>
      <xdr:col>6</xdr:col>
      <xdr:colOff>9525</xdr:colOff>
      <xdr:row>32</xdr:row>
      <xdr:rowOff>923925</xdr:rowOff>
    </xdr:to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4" y="29794199"/>
          <a:ext cx="1524001" cy="876301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33</xdr:row>
      <xdr:rowOff>9525</xdr:rowOff>
    </xdr:from>
    <xdr:to>
      <xdr:col>4</xdr:col>
      <xdr:colOff>1514475</xdr:colOff>
      <xdr:row>33</xdr:row>
      <xdr:rowOff>857250</xdr:rowOff>
    </xdr:to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30708600"/>
          <a:ext cx="1457325" cy="8477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34</xdr:row>
      <xdr:rowOff>64116</xdr:rowOff>
    </xdr:from>
    <xdr:to>
      <xdr:col>4</xdr:col>
      <xdr:colOff>1514475</xdr:colOff>
      <xdr:row>34</xdr:row>
      <xdr:rowOff>1000125</xdr:rowOff>
    </xdr:to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300" y="31649016"/>
          <a:ext cx="1476375" cy="936009"/>
        </a:xfrm>
        <a:prstGeom prst="rect">
          <a:avLst/>
        </a:prstGeom>
      </xdr:spPr>
    </xdr:pic>
    <xdr:clientData/>
  </xdr:twoCellAnchor>
  <xdr:twoCellAnchor editAs="oneCell">
    <xdr:from>
      <xdr:col>4</xdr:col>
      <xdr:colOff>19051</xdr:colOff>
      <xdr:row>34</xdr:row>
      <xdr:rowOff>1093031</xdr:rowOff>
    </xdr:from>
    <xdr:to>
      <xdr:col>5</xdr:col>
      <xdr:colOff>0</xdr:colOff>
      <xdr:row>35</xdr:row>
      <xdr:rowOff>1095374</xdr:rowOff>
    </xdr:to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1" y="32696981"/>
          <a:ext cx="1524000" cy="1107243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36</xdr:row>
      <xdr:rowOff>40076</xdr:rowOff>
    </xdr:from>
    <xdr:to>
      <xdr:col>4</xdr:col>
      <xdr:colOff>1514474</xdr:colOff>
      <xdr:row>36</xdr:row>
      <xdr:rowOff>1000124</xdr:rowOff>
    </xdr:to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25" y="33834776"/>
          <a:ext cx="1466849" cy="960048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36</xdr:row>
      <xdr:rowOff>1038225</xdr:rowOff>
    </xdr:from>
    <xdr:to>
      <xdr:col>4</xdr:col>
      <xdr:colOff>1476375</xdr:colOff>
      <xdr:row>37</xdr:row>
      <xdr:rowOff>1009650</xdr:rowOff>
    </xdr:to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34832925"/>
          <a:ext cx="1447800" cy="10287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66676</xdr:colOff>
      <xdr:row>38</xdr:row>
      <xdr:rowOff>19050</xdr:rowOff>
    </xdr:from>
    <xdr:to>
      <xdr:col>6</xdr:col>
      <xdr:colOff>19050</xdr:colOff>
      <xdr:row>38</xdr:row>
      <xdr:rowOff>885825</xdr:rowOff>
    </xdr:to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6" y="35937825"/>
          <a:ext cx="1495424" cy="866775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0</xdr:rowOff>
    </xdr:from>
    <xdr:to>
      <xdr:col>14</xdr:col>
      <xdr:colOff>354900</xdr:colOff>
      <xdr:row>0</xdr:row>
      <xdr:rowOff>792000</xdr:rowOff>
    </xdr:to>
    <xdr:grpSp>
      <xdr:nvGrpSpPr>
        <xdr:cNvPr id="2" name="Groupe 1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3" name="Rectangle 2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ARTICLE</a:t>
            </a:r>
          </a:p>
        </xdr:txBody>
      </xdr:sp>
      <xdr:sp macro="" textlink="">
        <xdr:nvSpPr>
          <xdr:cNvPr id="5" name="ZoneTexte 4">
            <a:hlinkClick xmlns:r="http://schemas.openxmlformats.org/officeDocument/2006/relationships" r:id="rId37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6" name="ZoneTexte 5">
            <a:hlinkClick xmlns:r="http://schemas.openxmlformats.org/officeDocument/2006/relationships" r:id="rId38"/>
          </xdr:cNvPr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Reception</a:t>
            </a:r>
          </a:p>
        </xdr:txBody>
      </xdr:sp>
      <xdr:sp macro="" textlink="">
        <xdr:nvSpPr>
          <xdr:cNvPr id="7" name="ZoneTexte 6">
            <a:hlinkClick xmlns:r="http://schemas.openxmlformats.org/officeDocument/2006/relationships" r:id="rId39"/>
          </xdr:cNvPr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Panier</a:t>
            </a:r>
          </a:p>
        </xdr:txBody>
      </xdr:sp>
      <xdr:pic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333374</xdr:colOff>
      <xdr:row>1</xdr:row>
      <xdr:rowOff>180974</xdr:rowOff>
    </xdr:from>
    <xdr:to>
      <xdr:col>6</xdr:col>
      <xdr:colOff>153374</xdr:colOff>
      <xdr:row>9</xdr:row>
      <xdr:rowOff>6974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333374" y="371474"/>
          <a:ext cx="4392000" cy="1350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000" b="1"/>
            <a:t>EMPLOYERS</a:t>
          </a:r>
        </a:p>
      </xdr:txBody>
    </xdr:sp>
    <xdr:clientData/>
  </xdr:twoCellAnchor>
  <xdr:twoCellAnchor>
    <xdr:from>
      <xdr:col>12</xdr:col>
      <xdr:colOff>676274</xdr:colOff>
      <xdr:row>1</xdr:row>
      <xdr:rowOff>180974</xdr:rowOff>
    </xdr:from>
    <xdr:to>
      <xdr:col>18</xdr:col>
      <xdr:colOff>496274</xdr:colOff>
      <xdr:row>9</xdr:row>
      <xdr:rowOff>6974</xdr:rowOff>
    </xdr:to>
    <xdr:sp macro="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9486899" y="371474"/>
          <a:ext cx="4392000" cy="1350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000" b="1"/>
            <a:t>CLIENTS</a:t>
          </a:r>
        </a:p>
      </xdr:txBody>
    </xdr:sp>
    <xdr:clientData/>
  </xdr:twoCellAnchor>
  <xdr:twoCellAnchor>
    <xdr:from>
      <xdr:col>6</xdr:col>
      <xdr:colOff>342899</xdr:colOff>
      <xdr:row>1</xdr:row>
      <xdr:rowOff>180974</xdr:rowOff>
    </xdr:from>
    <xdr:to>
      <xdr:col>12</xdr:col>
      <xdr:colOff>162899</xdr:colOff>
      <xdr:row>9</xdr:row>
      <xdr:rowOff>6974</xdr:rowOff>
    </xdr:to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4914899" y="371474"/>
          <a:ext cx="4392000" cy="1350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000" b="1"/>
            <a:t>ARTICLES</a:t>
          </a:r>
        </a:p>
      </xdr:txBody>
    </xdr:sp>
    <xdr:clientData/>
  </xdr:twoCellAnchor>
  <xdr:twoCellAnchor>
    <xdr:from>
      <xdr:col>1</xdr:col>
      <xdr:colOff>85725</xdr:colOff>
      <xdr:row>10</xdr:row>
      <xdr:rowOff>4762</xdr:rowOff>
    </xdr:from>
    <xdr:to>
      <xdr:col>5</xdr:col>
      <xdr:colOff>313725</xdr:colOff>
      <xdr:row>15</xdr:row>
      <xdr:rowOff>24262</xdr:rowOff>
    </xdr:to>
    <xdr:sp macro="" textlink="">
      <xdr:nvSpPr>
        <xdr:cNvPr id="5" name="Rectangle 4">
          <a:hlinkClick xmlns:r="http://schemas.openxmlformats.org/officeDocument/2006/relationships" r:id="rId4"/>
        </xdr:cNvPr>
        <xdr:cNvSpPr/>
      </xdr:nvSpPr>
      <xdr:spPr>
        <a:xfrm>
          <a:off x="514350" y="1909762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Historique</a:t>
          </a:r>
          <a:r>
            <a:rPr lang="fr-FR" sz="1600" b="1" baseline="0"/>
            <a:t> des Ventes</a:t>
          </a:r>
          <a:endParaRPr lang="fr-FR" sz="1600" b="1"/>
        </a:p>
      </xdr:txBody>
    </xdr:sp>
    <xdr:clientData/>
  </xdr:twoCellAnchor>
  <xdr:twoCellAnchor>
    <xdr:from>
      <xdr:col>1</xdr:col>
      <xdr:colOff>123825</xdr:colOff>
      <xdr:row>16</xdr:row>
      <xdr:rowOff>90487</xdr:rowOff>
    </xdr:from>
    <xdr:to>
      <xdr:col>5</xdr:col>
      <xdr:colOff>351825</xdr:colOff>
      <xdr:row>21</xdr:row>
      <xdr:rowOff>109987</xdr:rowOff>
    </xdr:to>
    <xdr:sp macro="" textlink="">
      <xdr:nvSpPr>
        <xdr:cNvPr id="6" name="Rectangle 5">
          <a:hlinkClick xmlns:r="http://schemas.openxmlformats.org/officeDocument/2006/relationships" r:id="rId5"/>
        </xdr:cNvPr>
        <xdr:cNvSpPr/>
      </xdr:nvSpPr>
      <xdr:spPr>
        <a:xfrm>
          <a:off x="552450" y="3138487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Payement</a:t>
          </a:r>
        </a:p>
      </xdr:txBody>
    </xdr:sp>
    <xdr:clientData/>
  </xdr:twoCellAnchor>
  <xdr:twoCellAnchor>
    <xdr:from>
      <xdr:col>1</xdr:col>
      <xdr:colOff>142875</xdr:colOff>
      <xdr:row>22</xdr:row>
      <xdr:rowOff>123825</xdr:rowOff>
    </xdr:from>
    <xdr:to>
      <xdr:col>5</xdr:col>
      <xdr:colOff>370875</xdr:colOff>
      <xdr:row>27</xdr:row>
      <xdr:rowOff>143325</xdr:rowOff>
    </xdr:to>
    <xdr:sp macro="" textlink="">
      <xdr:nvSpPr>
        <xdr:cNvPr id="7" name="Rectangle 6">
          <a:hlinkClick xmlns:r="http://schemas.openxmlformats.org/officeDocument/2006/relationships" r:id="rId6"/>
        </xdr:cNvPr>
        <xdr:cNvSpPr/>
      </xdr:nvSpPr>
      <xdr:spPr>
        <a:xfrm>
          <a:off x="571500" y="4314825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Suivi des</a:t>
          </a:r>
          <a:r>
            <a:rPr lang="fr-FR" sz="1600" b="1" baseline="0"/>
            <a:t> Employers</a:t>
          </a:r>
          <a:endParaRPr lang="fr-FR" sz="1600" b="1"/>
        </a:p>
      </xdr:txBody>
    </xdr:sp>
    <xdr:clientData/>
  </xdr:twoCellAnchor>
  <xdr:twoCellAnchor>
    <xdr:from>
      <xdr:col>7</xdr:col>
      <xdr:colOff>266700</xdr:colOff>
      <xdr:row>10</xdr:row>
      <xdr:rowOff>4762</xdr:rowOff>
    </xdr:from>
    <xdr:to>
      <xdr:col>11</xdr:col>
      <xdr:colOff>494700</xdr:colOff>
      <xdr:row>15</xdr:row>
      <xdr:rowOff>24262</xdr:rowOff>
    </xdr:to>
    <xdr:sp macro="" textlink="">
      <xdr:nvSpPr>
        <xdr:cNvPr id="8" name="Rectangle 7">
          <a:hlinkClick xmlns:r="http://schemas.openxmlformats.org/officeDocument/2006/relationships" r:id="rId7"/>
        </xdr:cNvPr>
        <xdr:cNvSpPr/>
      </xdr:nvSpPr>
      <xdr:spPr>
        <a:xfrm>
          <a:off x="5267325" y="1909762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Panier</a:t>
          </a:r>
        </a:p>
      </xdr:txBody>
    </xdr:sp>
    <xdr:clientData/>
  </xdr:twoCellAnchor>
  <xdr:twoCellAnchor>
    <xdr:from>
      <xdr:col>7</xdr:col>
      <xdr:colOff>295275</xdr:colOff>
      <xdr:row>16</xdr:row>
      <xdr:rowOff>90487</xdr:rowOff>
    </xdr:from>
    <xdr:to>
      <xdr:col>11</xdr:col>
      <xdr:colOff>523275</xdr:colOff>
      <xdr:row>21</xdr:row>
      <xdr:rowOff>109987</xdr:rowOff>
    </xdr:to>
    <xdr:sp macro="" textlink="">
      <xdr:nvSpPr>
        <xdr:cNvPr id="9" name="Rectangle 8">
          <a:hlinkClick xmlns:r="http://schemas.openxmlformats.org/officeDocument/2006/relationships" r:id="rId8"/>
        </xdr:cNvPr>
        <xdr:cNvSpPr/>
      </xdr:nvSpPr>
      <xdr:spPr>
        <a:xfrm>
          <a:off x="5295900" y="3138487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Reception</a:t>
          </a:r>
        </a:p>
      </xdr:txBody>
    </xdr:sp>
    <xdr:clientData/>
  </xdr:twoCellAnchor>
  <xdr:twoCellAnchor>
    <xdr:from>
      <xdr:col>13</xdr:col>
      <xdr:colOff>476250</xdr:colOff>
      <xdr:row>10</xdr:row>
      <xdr:rowOff>4762</xdr:rowOff>
    </xdr:from>
    <xdr:to>
      <xdr:col>17</xdr:col>
      <xdr:colOff>704250</xdr:colOff>
      <xdr:row>15</xdr:row>
      <xdr:rowOff>24262</xdr:rowOff>
    </xdr:to>
    <xdr:sp macro="" textlink="">
      <xdr:nvSpPr>
        <xdr:cNvPr id="10" name="Rectangle 9">
          <a:hlinkClick xmlns:r="http://schemas.openxmlformats.org/officeDocument/2006/relationships" r:id="rId9"/>
        </xdr:cNvPr>
        <xdr:cNvSpPr/>
      </xdr:nvSpPr>
      <xdr:spPr>
        <a:xfrm>
          <a:off x="10048875" y="1909762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Config.Fidelisation</a:t>
          </a:r>
        </a:p>
      </xdr:txBody>
    </xdr:sp>
    <xdr:clientData/>
  </xdr:twoCellAnchor>
  <xdr:twoCellAnchor>
    <xdr:from>
      <xdr:col>1</xdr:col>
      <xdr:colOff>142875</xdr:colOff>
      <xdr:row>28</xdr:row>
      <xdr:rowOff>80962</xdr:rowOff>
    </xdr:from>
    <xdr:to>
      <xdr:col>5</xdr:col>
      <xdr:colOff>370875</xdr:colOff>
      <xdr:row>33</xdr:row>
      <xdr:rowOff>100462</xdr:rowOff>
    </xdr:to>
    <xdr:sp macro="" textlink="">
      <xdr:nvSpPr>
        <xdr:cNvPr id="11" name="Rectangle 10">
          <a:hlinkClick xmlns:r="http://schemas.openxmlformats.org/officeDocument/2006/relationships" r:id="rId10"/>
        </xdr:cNvPr>
        <xdr:cNvSpPr/>
      </xdr:nvSpPr>
      <xdr:spPr>
        <a:xfrm>
          <a:off x="571500" y="5414962"/>
          <a:ext cx="3276000" cy="972000"/>
        </a:xfrm>
        <a:prstGeom prst="rect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Facture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19</xdr:col>
      <xdr:colOff>107250</xdr:colOff>
      <xdr:row>0</xdr:row>
      <xdr:rowOff>792000</xdr:rowOff>
    </xdr:to>
    <xdr:grpSp>
      <xdr:nvGrpSpPr>
        <xdr:cNvPr id="8" name="Groupe 7"/>
        <xdr:cNvGrpSpPr/>
      </xdr:nvGrpSpPr>
      <xdr:grpSpPr>
        <a:xfrm>
          <a:off x="114300" y="0"/>
          <a:ext cx="14490000" cy="792000"/>
          <a:chOff x="114300" y="0"/>
          <a:chExt cx="14490000" cy="792000"/>
        </a:xfrm>
      </xdr:grpSpPr>
      <xdr:sp macro="" textlink="">
        <xdr:nvSpPr>
          <xdr:cNvPr id="2" name="Rectangle 1"/>
          <xdr:cNvSpPr/>
        </xdr:nvSpPr>
        <xdr:spPr>
          <a:xfrm>
            <a:off x="114300" y="0"/>
            <a:ext cx="14490000" cy="79200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" name="Rectangle 2"/>
          <xdr:cNvSpPr/>
        </xdr:nvSpPr>
        <xdr:spPr>
          <a:xfrm>
            <a:off x="114300" y="0"/>
            <a:ext cx="2286000" cy="792000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000" b="1"/>
              <a:t>TITRE DE PAGE</a:t>
            </a:r>
          </a:p>
        </xdr:txBody>
      </xdr:sp>
      <xdr:sp macro="" textlink="">
        <xdr:nvSpPr>
          <xdr:cNvPr id="4" name="ZoneTexte 3">
            <a:hlinkClick xmlns:r="http://schemas.openxmlformats.org/officeDocument/2006/relationships" r:id="rId1"/>
          </xdr:cNvPr>
          <xdr:cNvSpPr txBox="1"/>
        </xdr:nvSpPr>
        <xdr:spPr>
          <a:xfrm>
            <a:off x="2400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5448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PAGE1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3924300" y="0"/>
            <a:ext cx="1524000" cy="76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PAGE1</a:t>
            </a:r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25525" y="1"/>
            <a:ext cx="866775" cy="761999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8" name="Tableau8" displayName="Tableau8" ref="B8:F13" totalsRowShown="0" headerRowDxfId="99" dataDxfId="98">
  <autoFilter ref="B8:F13"/>
  <tableColumns count="5">
    <tableColumn id="1" name="Date" dataDxfId="97"/>
    <tableColumn id="2" name="Nr.Article" dataDxfId="96"/>
    <tableColumn id="3" name="Nom" dataDxfId="95"/>
    <tableColumn id="4" name="Quantite" dataDxfId="94"/>
    <tableColumn id="5" name="Facture d'achat" dataDxfId="9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9" name="Tableau9" displayName="Tableau9" ref="B4:I5" totalsRowShown="0" headerRowDxfId="92" dataDxfId="91">
  <autoFilter ref="B4:I5"/>
  <tableColumns count="8">
    <tableColumn id="1" name="Nr.Employer" dataDxfId="90"/>
    <tableColumn id="2" name="Nom Complet" dataDxfId="89"/>
    <tableColumn id="3" name="Email" dataDxfId="88"/>
    <tableColumn id="4" name="Numero de Telephone" dataDxfId="87"/>
    <tableColumn id="5" name="Date de Naissance" dataDxfId="86"/>
    <tableColumn id="6" name="Genre" dataDxfId="85"/>
    <tableColumn id="7" name="Adresse" dataDxfId="84"/>
    <tableColumn id="8" name="Photo" dataDxfId="8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7" name="Tableau7" displayName="Tableau7" ref="B3:F4" totalsRowShown="0" headerRowDxfId="82" dataDxfId="81">
  <autoFilter ref="B3:F4"/>
  <tableColumns count="5">
    <tableColumn id="1" name="Date" dataDxfId="80"/>
    <tableColumn id="2" name="Nr.Employer" dataDxfId="79"/>
    <tableColumn id="3" name="Client" dataDxfId="78"/>
    <tableColumn id="4" name="Type" dataDxfId="77"/>
    <tableColumn id="5" name="Montant" dataDxfId="7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ableau6" displayName="Tableau6" ref="B3:D8" totalsRowShown="0" headerRowDxfId="75" dataDxfId="74">
  <autoFilter ref="B3:D8"/>
  <tableColumns count="3">
    <tableColumn id="1" name="Niveau" dataDxfId="73"/>
    <tableColumn id="2" name="Condition" dataDxfId="72"/>
    <tableColumn id="3" name="Reduction" dataDxfId="71" dataCellStyle="Pourcentage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6" name="Tableau5" displayName="Tableau5" ref="B3:K10" headerRowDxfId="67">
  <autoFilter ref="B3:K10"/>
  <tableColumns count="10">
    <tableColumn id="1" name="Nr.Employers" totalsRowLabel="Total" dataDxfId="66" totalsRowDxfId="65">
      <calculatedColumnFormula>IFERROR(IF(B3="","",SMALL(Tableau4[Nr.Employer],COUNTIF(Tableau4[Nr.Employer],"&lt;="&amp;'Suivi des Employers'!B3)+1)),"")</calculatedColumnFormula>
    </tableColumn>
    <tableColumn id="2" name="Nr.Client" dataDxfId="64" totalsRowDxfId="63">
      <calculatedColumnFormula>IFERROR(INDEX(Tableau4[Nr.Client],MATCH('Suivi des Employers'!B4,Tableau4[Nr.Employer],0)),"")</calculatedColumnFormula>
    </tableColumn>
    <tableColumn id="3" name="Date" dataDxfId="62" totalsRowDxfId="61">
      <calculatedColumnFormula>IFERROR(INDEX(Tableau4[Date],MATCH('Suivi des Employers'!B4,Tableau4[Nr.Employer],0)),"")</calculatedColumnFormula>
    </tableColumn>
    <tableColumn id="4" name="Total HTVA" dataDxfId="60" totalsRowDxfId="59">
      <calculatedColumnFormula>IFERROR(SUMIF(Tableau4[Nr.Employer],'Suivi des Employers'!B4,Tableau4[Total]),"")</calculatedColumnFormula>
    </tableColumn>
    <tableColumn id="5" name="Remise" dataDxfId="58" totalsRowDxfId="57" dataCellStyle="Monétaire">
      <calculatedColumnFormula>IFERROR(E4*INDEX(Tableau4[Remise],MATCH('Suivi des Employers'!B4,Tableau4[Nr.Employer],0)),"")</calculatedColumnFormula>
    </tableColumn>
    <tableColumn id="6" name="Total TTC" dataDxfId="56" totalsRowDxfId="55" dataCellStyle="Monétaire">
      <calculatedColumnFormula>IFERROR((E4-F4)*1.1925,"")</calculatedColumnFormula>
    </tableColumn>
    <tableColumn id="7" name="Acompte" dataDxfId="54">
      <calculatedColumnFormula>IFERROR(SUMIFS(Tableau7[Montant],Tableau7[Type],"acompte",Tableau7[Nr.Employer], Tableau5[[#This Row],[Nr.Employers]]),"")</calculatedColumnFormula>
    </tableColumn>
    <tableColumn id="8" name="Versement" dataDxfId="53" totalsRowDxfId="52" dataCellStyle="Monétaire">
      <calculatedColumnFormula>IFERROR(SUMIFS(Tableau7[Montant],Tableau7[Type],"versement",Tableau7[Nr.Employer],Tableau5[[#This Row],[Nr.Employers]]),"")</calculatedColumnFormula>
    </tableColumn>
    <tableColumn id="9" name="Reste" dataDxfId="51" totalsRowDxfId="50">
      <calculatedColumnFormula>IFERROR(ROUND((G4-H4-I4),2),"")</calculatedColumnFormula>
    </tableColumn>
    <tableColumn id="10" name="Status" totalsRowFunction="count" dataDxfId="49" totalsRowDxfId="48">
      <calculatedColumnFormula>IFERROR(IF(AND(J4&gt;0,D4+30&lt;TODAY()),"Alert",IF(J4&gt;0,"Open","Close")),"")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5" name="Tableau4" displayName="Tableau4" ref="B3:J13" totalsRowShown="0" headerRowDxfId="47">
  <autoFilter ref="B3:J13"/>
  <tableColumns count="9">
    <tableColumn id="1" name="Date" dataDxfId="46"/>
    <tableColumn id="2" name="Nr.Employer" dataDxfId="45"/>
    <tableColumn id="3" name="Nr.Article" dataDxfId="44"/>
    <tableColumn id="4" name="Article" dataDxfId="43"/>
    <tableColumn id="5" name="Prix" dataDxfId="42"/>
    <tableColumn id="6" name="Nombre" dataDxfId="41"/>
    <tableColumn id="7" name="Nr.Client" dataDxfId="40"/>
    <tableColumn id="8" name="Remise" dataDxfId="39" dataCellStyle="Pourcentage"/>
    <tableColumn id="9" name="Total" dataDxfId="3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3" name="Tableau3" displayName="Tableau3" ref="K6:S7" insertRow="1" totalsRowShown="0" headerRowDxfId="37" dataDxfId="36">
  <autoFilter ref="K6:S7"/>
  <tableColumns count="9">
    <tableColumn id="1" name="Date" dataDxfId="35"/>
    <tableColumn id="2" name="Nr.Employer" dataDxfId="34"/>
    <tableColumn id="3" name="Nr.Article" dataDxfId="33"/>
    <tableColumn id="4" name="Article" dataDxfId="32"/>
    <tableColumn id="5" name="Prix" dataDxfId="31"/>
    <tableColumn id="6" name="Nombre" dataDxfId="30"/>
    <tableColumn id="7" name="Nr.Client" dataDxfId="29"/>
    <tableColumn id="8" name="Remise" dataDxfId="28" dataCellStyle="Pourcentage"/>
    <tableColumn id="9" name="Total" dataDxfId="27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2" name="Tableau2" displayName="Tableau2" ref="B3:Q8" totalsRowShown="0" headerRowDxfId="26" dataDxfId="25">
  <autoFilter ref="B3:Q8"/>
  <tableColumns count="16">
    <tableColumn id="1" name="Nr.Client" dataDxfId="24"/>
    <tableColumn id="2" name="Nom Complet" dataDxfId="23"/>
    <tableColumn id="3" name="Adresse Email" dataDxfId="22" dataCellStyle="Lien hypertexte"/>
    <tableColumn id="4" name="Numero de Telephone" dataDxfId="21"/>
    <tableColumn id="5" name="Date de Naissance" dataDxfId="20"/>
    <tableColumn id="6" name="Genre" dataDxfId="19"/>
    <tableColumn id="7" name="Adresse" dataDxfId="18"/>
    <tableColumn id="8" name="Photo" dataDxfId="17"/>
    <tableColumn id="16" name="Niv" dataDxfId="16">
      <calculatedColumnFormula>COUNTIFS(Tableau5[Nr.Client],Tableau2[[#This Row],[Nr.Client]],Tableau5[Reste],0)</calculatedColumnFormula>
    </tableColumn>
    <tableColumn id="9" name="Niv.Fidelite" dataDxfId="15">
      <calculatedColumnFormula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calculatedColumnFormula>
    </tableColumn>
    <tableColumn id="10" name="1" dataDxfId="14">
      <calculatedColumnFormula>IF($K4&gt;=1,1,"")</calculatedColumnFormula>
    </tableColumn>
    <tableColumn id="11" name="2" dataDxfId="13">
      <calculatedColumnFormula>IF($K4&gt;=2,1,"")</calculatedColumnFormula>
    </tableColumn>
    <tableColumn id="12" name="3" dataDxfId="12">
      <calculatedColumnFormula>IF($K4&gt;=3,1,"")</calculatedColumnFormula>
    </tableColumn>
    <tableColumn id="13" name="4" dataDxfId="11">
      <calculatedColumnFormula>IF($K4&gt;=4,1,"")</calculatedColumnFormula>
    </tableColumn>
    <tableColumn id="14" name="5" dataDxfId="10">
      <calculatedColumnFormula>IF($K4&gt;=5,1,"")</calculatedColumnFormula>
    </tableColumn>
    <tableColumn id="15" name="InfoTexte" dataDxfId="9">
      <calculatedColumnFormula>CONCATENATE(Tableau2[Nom Complet],CHAR(10),Tableau2[Adresse Email],CHAR(10),Tableau2[Numero de Telephone],CHAR(10),Tableau2[Date de Naissance],CHAR(10),Tableau2[Genre],CHAR(10),Tableau2[Adresse])</calculatedColumnFormula>
    </tableColumn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1" name="Tableau1" displayName="Tableau1" ref="B3:H40" totalsRowShown="0" headerRowDxfId="8" dataDxfId="7">
  <autoFilter ref="B3:H40"/>
  <tableColumns count="7">
    <tableColumn id="1" name="Nr.Article" dataDxfId="6"/>
    <tableColumn id="2" name="Nom" dataDxfId="5"/>
    <tableColumn id="3" name="Description" dataDxfId="4"/>
    <tableColumn id="4" name="image" dataDxfId="3"/>
    <tableColumn id="5" name="Adresse Image" dataDxfId="2">
      <calculatedColumnFormula>"Article!"&amp;ADDRESS(ROW(Tableau1[[#This Row],[image]]),COLUMN(Tableau1[[#This Row],[image]]))</calculatedColumnFormula>
    </tableColumn>
    <tableColumn id="6" name="Prix" dataDxfId="1">
      <calculatedColumnFormula>RANDBETWEEN(500,5000)</calculatedColumnFormula>
    </tableColumn>
    <tableColumn id="7" name="Stock" dataDxfId="0">
      <calculatedColumnFormula>SUMIF(Tableau8[Nr.Article],Tableau1[[#This Row],[Nr.Article]],Tableau8[Quantite])-SUMIF(Tableau4[Nr.Article],Tableau1[[#This Row],[Nr.Article]],Tableau4[Nombre])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hyperlink" Target="mailto:foodpalace@gmail.com" TargetMode="Externa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5" Type="http://schemas.openxmlformats.org/officeDocument/2006/relationships/table" Target="../tables/table8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B1:F13"/>
  <sheetViews>
    <sheetView showGridLines="0" workbookViewId="0"/>
  </sheetViews>
  <sheetFormatPr baseColWidth="10" defaultRowHeight="15.75" x14ac:dyDescent="0.25"/>
  <cols>
    <col min="1" max="1" width="1.7109375" style="62" customWidth="1"/>
    <col min="2" max="2" width="15.7109375" style="62" customWidth="1"/>
    <col min="3" max="3" width="20.7109375" style="62" customWidth="1"/>
    <col min="4" max="4" width="19.28515625" style="62" customWidth="1"/>
    <col min="5" max="5" width="21.42578125" style="62" customWidth="1"/>
    <col min="6" max="6" width="21.7109375" style="62" customWidth="1"/>
    <col min="7" max="16384" width="11.42578125" style="62"/>
  </cols>
  <sheetData>
    <row r="1" spans="2:6" ht="63" customHeight="1" x14ac:dyDescent="0.25"/>
    <row r="2" spans="2:6" ht="16.5" thickBot="1" x14ac:dyDescent="0.3"/>
    <row r="3" spans="2:6" ht="16.5" thickBot="1" x14ac:dyDescent="0.3">
      <c r="B3" s="63" t="s">
        <v>64</v>
      </c>
      <c r="C3" s="65"/>
      <c r="D3" s="63" t="s">
        <v>135</v>
      </c>
      <c r="E3" s="65"/>
    </row>
    <row r="4" spans="2:6" ht="16.5" thickBot="1" x14ac:dyDescent="0.3">
      <c r="B4" s="63" t="s">
        <v>134</v>
      </c>
      <c r="C4" s="64">
        <f>INDEX(Tableau1[Nom],MATCH(Reception!C3,Tableau1[Nr.Article],0))</f>
        <v>0</v>
      </c>
      <c r="D4" s="63" t="s">
        <v>136</v>
      </c>
      <c r="E4" s="65"/>
    </row>
    <row r="8" spans="2:6" x14ac:dyDescent="0.25">
      <c r="B8" s="31" t="s">
        <v>69</v>
      </c>
      <c r="C8" s="31" t="s">
        <v>0</v>
      </c>
      <c r="D8" s="31" t="s">
        <v>1</v>
      </c>
      <c r="E8" s="31" t="s">
        <v>120</v>
      </c>
      <c r="F8" s="31" t="s">
        <v>137</v>
      </c>
    </row>
    <row r="9" spans="2:6" x14ac:dyDescent="0.25">
      <c r="B9" s="59">
        <v>44814.057974537034</v>
      </c>
      <c r="C9" s="31">
        <v>1</v>
      </c>
      <c r="D9" s="31" t="s">
        <v>7</v>
      </c>
      <c r="E9" s="31">
        <v>200</v>
      </c>
      <c r="F9" s="31">
        <v>1</v>
      </c>
    </row>
    <row r="10" spans="2:6" x14ac:dyDescent="0.25">
      <c r="B10" s="69">
        <v>44814.061747685184</v>
      </c>
      <c r="C10" s="70">
        <v>2</v>
      </c>
      <c r="D10" s="70" t="s">
        <v>8</v>
      </c>
      <c r="E10" s="70">
        <v>200</v>
      </c>
      <c r="F10" s="70">
        <v>2</v>
      </c>
    </row>
    <row r="11" spans="2:6" x14ac:dyDescent="0.25">
      <c r="B11" s="69">
        <v>44814.06212962963</v>
      </c>
      <c r="C11" s="70">
        <v>3</v>
      </c>
      <c r="D11" s="70" t="s">
        <v>9</v>
      </c>
      <c r="E11" s="70">
        <v>200</v>
      </c>
      <c r="F11" s="70">
        <v>3</v>
      </c>
    </row>
    <row r="12" spans="2:6" x14ac:dyDescent="0.25">
      <c r="B12" s="69">
        <v>44814.062407407408</v>
      </c>
      <c r="C12" s="70">
        <v>4</v>
      </c>
      <c r="D12" s="70" t="s">
        <v>10</v>
      </c>
      <c r="E12" s="70">
        <v>200</v>
      </c>
      <c r="F12" s="70">
        <v>4</v>
      </c>
    </row>
    <row r="13" spans="2:6" x14ac:dyDescent="0.25">
      <c r="B13" s="69">
        <v>44814.062604166669</v>
      </c>
      <c r="C13" s="70">
        <v>5</v>
      </c>
      <c r="D13" s="70" t="s">
        <v>11</v>
      </c>
      <c r="E13" s="70">
        <v>200</v>
      </c>
      <c r="F13" s="70">
        <v>5</v>
      </c>
    </row>
  </sheetData>
  <dataValidations count="1">
    <dataValidation type="list" allowBlank="1" showInputMessage="1" showErrorMessage="1" sqref="C3">
      <formula1>Nr_Article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5</xdr:col>
                <xdr:colOff>57150</xdr:colOff>
                <xdr:row>2</xdr:row>
                <xdr:rowOff>9525</xdr:rowOff>
              </from>
              <to>
                <xdr:col>6</xdr:col>
                <xdr:colOff>238125</xdr:colOff>
                <xdr:row>4</xdr:row>
                <xdr:rowOff>28575</xdr:rowOff>
              </to>
            </anchor>
          </controlPr>
        </control>
      </mc:Choice>
      <mc:Fallback>
        <control shapeId="21508" r:id="rId3" name="CommandButton1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B1:I5"/>
  <sheetViews>
    <sheetView showGridLines="0" workbookViewId="0"/>
  </sheetViews>
  <sheetFormatPr baseColWidth="10" defaultRowHeight="15" x14ac:dyDescent="0.25"/>
  <cols>
    <col min="1" max="1" width="1.7109375" customWidth="1"/>
    <col min="2" max="4" width="19.7109375" customWidth="1"/>
    <col min="5" max="5" width="28.42578125" customWidth="1"/>
    <col min="6" max="6" width="21.5703125" customWidth="1"/>
    <col min="7" max="9" width="19.7109375" customWidth="1"/>
  </cols>
  <sheetData>
    <row r="1" spans="2:9" ht="63" customHeight="1" x14ac:dyDescent="0.25"/>
    <row r="4" spans="2:9" ht="15.75" x14ac:dyDescent="0.25">
      <c r="B4" s="31" t="s">
        <v>70</v>
      </c>
      <c r="C4" s="31" t="s">
        <v>46</v>
      </c>
      <c r="D4" s="31" t="s">
        <v>47</v>
      </c>
      <c r="E4" s="31" t="s">
        <v>48</v>
      </c>
      <c r="F4" s="31" t="s">
        <v>112</v>
      </c>
      <c r="G4" s="31" t="s">
        <v>49</v>
      </c>
      <c r="H4" s="31" t="s">
        <v>50</v>
      </c>
      <c r="I4" s="31" t="s">
        <v>45</v>
      </c>
    </row>
    <row r="5" spans="2:9" ht="15.75" x14ac:dyDescent="0.25">
      <c r="B5" s="31"/>
      <c r="C5" s="31"/>
      <c r="D5" s="31"/>
      <c r="E5" s="31"/>
      <c r="F5" s="31"/>
      <c r="G5" s="31"/>
      <c r="H5" s="31"/>
      <c r="I5" s="3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9</xdr:col>
                <xdr:colOff>419100</xdr:colOff>
                <xdr:row>0</xdr:row>
                <xdr:rowOff>152400</xdr:rowOff>
              </from>
              <to>
                <xdr:col>11</xdr:col>
                <xdr:colOff>733425</xdr:colOff>
                <xdr:row>0</xdr:row>
                <xdr:rowOff>638175</xdr:rowOff>
              </to>
            </anchor>
          </controlPr>
        </control>
      </mc:Choice>
      <mc:Fallback>
        <control shapeId="20481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F4"/>
  <sheetViews>
    <sheetView showGridLines="0" workbookViewId="0"/>
  </sheetViews>
  <sheetFormatPr baseColWidth="10" defaultRowHeight="15" x14ac:dyDescent="0.25"/>
  <cols>
    <col min="1" max="1" width="1.7109375" customWidth="1"/>
    <col min="2" max="2" width="15.140625" style="2" customWidth="1"/>
    <col min="3" max="3" width="18.140625" style="2" customWidth="1"/>
    <col min="4" max="4" width="12.7109375" style="2" customWidth="1"/>
    <col min="5" max="5" width="21.42578125" style="2" customWidth="1"/>
    <col min="6" max="6" width="20.42578125" style="2" customWidth="1"/>
  </cols>
  <sheetData>
    <row r="1" spans="2:6" ht="63" customHeight="1" x14ac:dyDescent="0.25"/>
    <row r="3" spans="2:6" ht="15.75" x14ac:dyDescent="0.25">
      <c r="B3" s="60" t="s">
        <v>69</v>
      </c>
      <c r="C3" s="60" t="s">
        <v>70</v>
      </c>
      <c r="D3" s="60" t="s">
        <v>131</v>
      </c>
      <c r="E3" s="60" t="s">
        <v>132</v>
      </c>
      <c r="F3" s="60" t="s">
        <v>133</v>
      </c>
    </row>
    <row r="4" spans="2:6" ht="15.75" x14ac:dyDescent="0.25">
      <c r="B4" s="59">
        <v>44814.086747685185</v>
      </c>
      <c r="C4" s="31">
        <v>1</v>
      </c>
      <c r="D4" s="31">
        <v>1</v>
      </c>
      <c r="E4" s="31" t="s">
        <v>77</v>
      </c>
      <c r="F4" s="61">
        <v>46150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49"/>
  <sheetViews>
    <sheetView showGridLines="0" workbookViewId="0"/>
  </sheetViews>
  <sheetFormatPr baseColWidth="10" defaultRowHeight="15" x14ac:dyDescent="0.25"/>
  <cols>
    <col min="1" max="1" width="1.7109375" customWidth="1"/>
    <col min="2" max="2" width="21.5703125" customWidth="1"/>
    <col min="3" max="3" width="18.5703125" customWidth="1"/>
    <col min="4" max="4" width="18.28515625" customWidth="1"/>
    <col min="5" max="5" width="18.85546875" customWidth="1"/>
    <col min="6" max="6" width="21.140625" customWidth="1"/>
    <col min="8" max="8" width="18.42578125" customWidth="1"/>
    <col min="9" max="9" width="20.85546875" customWidth="1"/>
  </cols>
  <sheetData>
    <row r="1" spans="1:9" ht="63" customHeight="1" x14ac:dyDescent="0.25"/>
    <row r="2" spans="1:9" ht="15.75" thickBot="1" x14ac:dyDescent="0.3"/>
    <row r="3" spans="1:9" ht="19.5" thickBot="1" x14ac:dyDescent="0.35">
      <c r="B3" s="36" t="s">
        <v>127</v>
      </c>
      <c r="E3" s="35" t="s">
        <v>111</v>
      </c>
      <c r="F3" s="51" t="str">
        <f>IFERROR(INDEX(Tableau5[Nr.Client],MATCH(Facture!C11,Tableau5[Nr.Employers],0)),"")</f>
        <v/>
      </c>
      <c r="G3" s="50"/>
      <c r="H3" s="52" t="s">
        <v>128</v>
      </c>
      <c r="I3" s="56" t="str">
        <f>IFERROR(INDEX(Tableau5[Reste],MATCH(Facture!C11,Tableau5[Nr.Employers],0)),"")</f>
        <v/>
      </c>
    </row>
    <row r="4" spans="1:9" ht="16.5" thickBot="1" x14ac:dyDescent="0.3">
      <c r="E4" s="35" t="s">
        <v>110</v>
      </c>
      <c r="F4" s="72" t="str">
        <f>IFERROR(INDEX(Clients!Q4:Q8,MATCH(Facture!F3,Clients!B4:B8,0)),"")</f>
        <v/>
      </c>
      <c r="G4" s="72"/>
      <c r="H4" s="53"/>
      <c r="I4" s="54"/>
    </row>
    <row r="5" spans="1:9" ht="16.5" thickBot="1" x14ac:dyDescent="0.3">
      <c r="B5" t="s">
        <v>105</v>
      </c>
      <c r="E5" s="35" t="s">
        <v>109</v>
      </c>
      <c r="F5" s="72"/>
      <c r="G5" s="72"/>
      <c r="H5" s="52" t="s">
        <v>129</v>
      </c>
      <c r="I5" s="54"/>
    </row>
    <row r="6" spans="1:9" ht="16.5" thickBot="1" x14ac:dyDescent="0.3">
      <c r="B6" t="s">
        <v>106</v>
      </c>
      <c r="E6" s="35" t="s">
        <v>108</v>
      </c>
      <c r="F6" s="72"/>
      <c r="G6" s="72"/>
      <c r="H6" s="53"/>
      <c r="I6" s="54" t="str">
        <f>IFERROR(INDEX(Tableau5[Reste],MATCH(Facture!C14,Nr.Employers,0)),"")</f>
        <v/>
      </c>
    </row>
    <row r="7" spans="1:9" ht="16.5" thickBot="1" x14ac:dyDescent="0.3">
      <c r="B7" s="34" t="s">
        <v>107</v>
      </c>
      <c r="E7" s="35" t="s">
        <v>113</v>
      </c>
      <c r="F7" s="72"/>
      <c r="G7" s="72"/>
      <c r="H7" s="55" t="s">
        <v>130</v>
      </c>
      <c r="I7" s="56"/>
    </row>
    <row r="8" spans="1:9" ht="15.75" x14ac:dyDescent="0.25">
      <c r="B8" s="58">
        <v>657007435</v>
      </c>
      <c r="E8" s="35" t="s">
        <v>114</v>
      </c>
      <c r="F8" s="72"/>
      <c r="G8" s="72"/>
      <c r="H8" s="82"/>
      <c r="I8" s="83"/>
    </row>
    <row r="9" spans="1:9" ht="15.75" x14ac:dyDescent="0.25">
      <c r="E9" s="35" t="s">
        <v>115</v>
      </c>
      <c r="F9" s="72"/>
      <c r="G9" s="72"/>
      <c r="H9" s="84"/>
      <c r="I9" s="85"/>
    </row>
    <row r="10" spans="1:9" ht="15.75" thickBot="1" x14ac:dyDescent="0.3">
      <c r="H10" s="86"/>
      <c r="I10" s="87"/>
    </row>
    <row r="11" spans="1:9" ht="18.75" x14ac:dyDescent="0.3">
      <c r="A11" s="36"/>
      <c r="B11" s="36" t="s">
        <v>116</v>
      </c>
      <c r="C11" s="39"/>
      <c r="D11" s="37" t="s">
        <v>117</v>
      </c>
      <c r="E11" s="49" t="str">
        <f>IFERROR(INDEX(Tableau5[Date],MATCH(Facture!C11,Tableau5[Nr.Employers],0)),"")</f>
        <v/>
      </c>
      <c r="F11" s="37" t="s">
        <v>118</v>
      </c>
      <c r="H11" s="50"/>
      <c r="I11" s="50"/>
    </row>
    <row r="12" spans="1:9" ht="3.75" customHeight="1" x14ac:dyDescent="0.25">
      <c r="B12" s="38"/>
      <c r="C12" s="38"/>
      <c r="D12" s="38"/>
      <c r="E12" s="38"/>
      <c r="F12" s="38"/>
    </row>
    <row r="13" spans="1:9" ht="5.25" customHeight="1" x14ac:dyDescent="0.25"/>
    <row r="14" spans="1:9" x14ac:dyDescent="0.25">
      <c r="B14" s="41" t="s">
        <v>119</v>
      </c>
      <c r="C14" s="41" t="s">
        <v>73</v>
      </c>
      <c r="D14" s="41" t="s">
        <v>3</v>
      </c>
      <c r="E14" s="41" t="s">
        <v>120</v>
      </c>
      <c r="F14" s="41" t="s">
        <v>121</v>
      </c>
    </row>
    <row r="15" spans="1:9" x14ac:dyDescent="0.25">
      <c r="B15" s="40" t="str">
        <f t="array" ref="B15">IFERROR(INDEX(Tableau4[Nr.Article],SMALL(IF(Tableau4[Nr.Employer]=Facture!$C$11,ROW(Tableau4[Nr.Employer])-ROW('Historique des Ventes'!$C$4)+1,""),ROWS($B$15:B15))),"")</f>
        <v/>
      </c>
      <c r="C15" s="40" t="str">
        <f t="array" ref="C15">IFERROR(INDEX(Tableau4[Article],SMALL(IF(Tableau4[Nr.Employer]=Facture!$C$11,ROW(Tableau4[Nr.Employer])-ROW('Historique des Ventes'!$C$4)+1,""),ROWS($B$15:C15))),"")</f>
        <v/>
      </c>
      <c r="D15" s="43" t="str">
        <f t="array" ref="D15">IFERROR(INDEX(Tableau4[Prix],SMALL(IF(Tableau4[Nr.Employer]=Facture!$C$11,ROW(Tableau4[Nr.Employer])-ROW('Historique des Ventes'!$C$4)+1,""),ROWS($B$15:D15))),"")</f>
        <v/>
      </c>
      <c r="E15" s="40" t="str">
        <f t="array" ref="E15">IFERROR(INDEX(Tableau4[Nombre],SMALL(IF(Tableau4[Nr.Employer]=Facture!$C$11,ROW(Tableau4[Nr.Employer])-ROW('Historique des Ventes'!$C$4)+1,""),ROWS($B$15:E15))),"")</f>
        <v/>
      </c>
      <c r="F15" s="43" t="str">
        <f>IFERROR(D15*E15,"")</f>
        <v/>
      </c>
    </row>
    <row r="16" spans="1:9" x14ac:dyDescent="0.25">
      <c r="B16" s="40" t="str">
        <f t="array" ref="B16">IFERROR(INDEX(Tableau4[Nr.Article],SMALL(IF(Tableau4[Nr.Employer]=Facture!$C$11,ROW(Tableau4[Nr.Employer])-ROW('Historique des Ventes'!$C$4)+1,""),ROWS($B$15:B16))),"")</f>
        <v/>
      </c>
      <c r="C16" s="40" t="str">
        <f t="array" ref="C16">IFERROR(INDEX(Tableau4[Article],SMALL(IF(Tableau4[Nr.Employer]=Facture!$C$11,ROW(Tableau4[Nr.Employer])-ROW('Historique des Ventes'!$C$4)+1,""),ROWS($B$15:C16))),"")</f>
        <v/>
      </c>
      <c r="D16" s="43" t="str">
        <f t="array" ref="D16">IFERROR(INDEX(Tableau4[Prix],SMALL(IF(Tableau4[Nr.Employer]=Facture!$C$11,ROW(Tableau4[Nr.Employer])-ROW('Historique des Ventes'!$C$4)+1,""),ROWS($B$15:D16))),"")</f>
        <v/>
      </c>
      <c r="E16" s="40" t="str">
        <f t="array" ref="E16">IFERROR(INDEX(Tableau4[Nombre],SMALL(IF(Tableau4[Nr.Employer]=Facture!$C$11,ROW(Tableau4[Nr.Employer])-ROW('Historique des Ventes'!$C$4)+1,""),ROWS($B$15:E16))),"")</f>
        <v/>
      </c>
      <c r="F16" s="43" t="str">
        <f t="shared" ref="F16:F40" si="0">IFERROR(D16*E16,"")</f>
        <v/>
      </c>
    </row>
    <row r="17" spans="2:6" x14ac:dyDescent="0.25">
      <c r="B17" s="40" t="str">
        <f t="array" ref="B17">IFERROR(INDEX(Tableau4[Nr.Article],SMALL(IF(Tableau4[Nr.Employer]=Facture!$C$11,ROW(Tableau4[Nr.Employer])-ROW('Historique des Ventes'!$C$4)+1,""),ROWS($B$15:B17))),"")</f>
        <v/>
      </c>
      <c r="C17" s="40" t="str">
        <f t="array" ref="C17">IFERROR(INDEX(Tableau4[Article],SMALL(IF(Tableau4[Nr.Employer]=Facture!$C$11,ROW(Tableau4[Nr.Employer])-ROW('Historique des Ventes'!$C$4)+1,""),ROWS($B$15:C17))),"")</f>
        <v/>
      </c>
      <c r="D17" s="43" t="str">
        <f t="array" ref="D17">IFERROR(INDEX(Tableau4[Prix],SMALL(IF(Tableau4[Nr.Employer]=Facture!$C$11,ROW(Tableau4[Nr.Employer])-ROW('Historique des Ventes'!$C$4)+1,""),ROWS($B$15:D17))),"")</f>
        <v/>
      </c>
      <c r="E17" s="40" t="str">
        <f t="array" ref="E17">IFERROR(INDEX(Tableau4[Nombre],SMALL(IF(Tableau4[Nr.Employer]=Facture!$C$11,ROW(Tableau4[Nr.Employer])-ROW('Historique des Ventes'!$C$4)+1,""),ROWS($B$15:E17))),"")</f>
        <v/>
      </c>
      <c r="F17" s="43" t="str">
        <f t="shared" si="0"/>
        <v/>
      </c>
    </row>
    <row r="18" spans="2:6" x14ac:dyDescent="0.25">
      <c r="B18" s="40" t="str">
        <f t="array" ref="B18">IFERROR(INDEX(Tableau4[Nr.Article],SMALL(IF(Tableau4[Nr.Employer]=Facture!$C$11,ROW(Tableau4[Nr.Employer])-ROW('Historique des Ventes'!$C$4)+1,""),ROWS($B$15:B18))),"")</f>
        <v/>
      </c>
      <c r="C18" s="40" t="str">
        <f t="array" ref="C18">IFERROR(INDEX(Tableau4[Article],SMALL(IF(Tableau4[Nr.Employer]=Facture!$C$11,ROW(Tableau4[Nr.Employer])-ROW('Historique des Ventes'!$C$4)+1,""),ROWS($B$15:C18))),"")</f>
        <v/>
      </c>
      <c r="D18" s="43" t="str">
        <f t="array" ref="D18">IFERROR(INDEX(Tableau4[Prix],SMALL(IF(Tableau4[Nr.Employer]=Facture!$C$11,ROW(Tableau4[Nr.Employer])-ROW('Historique des Ventes'!$C$4)+1,""),ROWS($B$15:D18))),"")</f>
        <v/>
      </c>
      <c r="E18" s="40" t="str">
        <f t="array" ref="E18">IFERROR(INDEX(Tableau4[Nombre],SMALL(IF(Tableau4[Nr.Employer]=Facture!$C$11,ROW(Tableau4[Nr.Employer])-ROW('Historique des Ventes'!$C$4)+1,""),ROWS($B$15:E18))),"")</f>
        <v/>
      </c>
      <c r="F18" s="43" t="str">
        <f t="shared" si="0"/>
        <v/>
      </c>
    </row>
    <row r="19" spans="2:6" x14ac:dyDescent="0.25">
      <c r="B19" s="40" t="str">
        <f t="array" ref="B19">IFERROR(INDEX(Tableau4[Nr.Article],SMALL(IF(Tableau4[Nr.Employer]=Facture!$C$11,ROW(Tableau4[Nr.Employer])-ROW('Historique des Ventes'!$C$4)+1,""),ROWS($B$15:B19))),"")</f>
        <v/>
      </c>
      <c r="C19" s="40" t="str">
        <f t="array" ref="C19">IFERROR(INDEX(Tableau4[Article],SMALL(IF(Tableau4[Nr.Employer]=Facture!$C$11,ROW(Tableau4[Nr.Employer])-ROW('Historique des Ventes'!$C$4)+1,""),ROWS($B$15:C19))),"")</f>
        <v/>
      </c>
      <c r="D19" s="43" t="str">
        <f t="array" ref="D19">IFERROR(INDEX(Tableau4[Prix],SMALL(IF(Tableau4[Nr.Employer]=Facture!$C$11,ROW(Tableau4[Nr.Employer])-ROW('Historique des Ventes'!$C$4)+1,""),ROWS($B$15:D19))),"")</f>
        <v/>
      </c>
      <c r="E19" s="40" t="str">
        <f t="array" ref="E19">IFERROR(INDEX(Tableau4[Nombre],SMALL(IF(Tableau4[Nr.Employer]=Facture!$C$11,ROW(Tableau4[Nr.Employer])-ROW('Historique des Ventes'!$C$4)+1,""),ROWS($B$15:E19))),"")</f>
        <v/>
      </c>
      <c r="F19" s="43" t="str">
        <f t="shared" si="0"/>
        <v/>
      </c>
    </row>
    <row r="20" spans="2:6" x14ac:dyDescent="0.25">
      <c r="B20" s="40" t="str">
        <f t="array" ref="B20">IFERROR(INDEX(Tableau4[Nr.Article],SMALL(IF(Tableau4[Nr.Employer]=Facture!$C$11,ROW(Tableau4[Nr.Employer])-ROW('Historique des Ventes'!$C$4)+1,""),ROWS($B$15:B20))),"")</f>
        <v/>
      </c>
      <c r="C20" s="40" t="str">
        <f t="array" ref="C20">IFERROR(INDEX(Tableau4[Article],SMALL(IF(Tableau4[Nr.Employer]=Facture!$C$11,ROW(Tableau4[Nr.Employer])-ROW('Historique des Ventes'!$C$4)+1,""),ROWS($B$15:C20))),"")</f>
        <v/>
      </c>
      <c r="D20" s="43" t="str">
        <f t="array" ref="D20">IFERROR(INDEX(Tableau4[Prix],SMALL(IF(Tableau4[Nr.Employer]=Facture!$C$11,ROW(Tableau4[Nr.Employer])-ROW('Historique des Ventes'!$C$4)+1,""),ROWS($B$15:D20))),"")</f>
        <v/>
      </c>
      <c r="E20" s="40" t="str">
        <f t="array" ref="E20">IFERROR(INDEX(Tableau4[Nombre],SMALL(IF(Tableau4[Nr.Employer]=Facture!$C$11,ROW(Tableau4[Nr.Employer])-ROW('Historique des Ventes'!$C$4)+1,""),ROWS($B$15:E20))),"")</f>
        <v/>
      </c>
      <c r="F20" s="43" t="str">
        <f t="shared" si="0"/>
        <v/>
      </c>
    </row>
    <row r="21" spans="2:6" x14ac:dyDescent="0.25">
      <c r="B21" s="40" t="str">
        <f t="array" ref="B21">IFERROR(INDEX(Tableau4[Nr.Article],SMALL(IF(Tableau4[Nr.Employer]=Facture!$C$11,ROW(Tableau4[Nr.Employer])-ROW('Historique des Ventes'!$C$4)+1,""),ROWS($B$15:B21))),"")</f>
        <v/>
      </c>
      <c r="C21" s="40" t="str">
        <f t="array" ref="C21">IFERROR(INDEX(Tableau4[Article],SMALL(IF(Tableau4[Nr.Employer]=Facture!$C$11,ROW(Tableau4[Nr.Employer])-ROW('Historique des Ventes'!$C$4)+1,""),ROWS($B$15:C21))),"")</f>
        <v/>
      </c>
      <c r="D21" s="43" t="str">
        <f t="array" ref="D21">IFERROR(INDEX(Tableau4[Prix],SMALL(IF(Tableau4[Nr.Employer]=Facture!$C$11,ROW(Tableau4[Nr.Employer])-ROW('Historique des Ventes'!$C$4)+1,""),ROWS($B$15:D21))),"")</f>
        <v/>
      </c>
      <c r="E21" s="40" t="str">
        <f t="array" ref="E21">IFERROR(INDEX(Tableau4[Nombre],SMALL(IF(Tableau4[Nr.Employer]=Facture!$C$11,ROW(Tableau4[Nr.Employer])-ROW('Historique des Ventes'!$C$4)+1,""),ROWS($B$15:E21))),"")</f>
        <v/>
      </c>
      <c r="F21" s="43" t="str">
        <f t="shared" si="0"/>
        <v/>
      </c>
    </row>
    <row r="22" spans="2:6" x14ac:dyDescent="0.25">
      <c r="B22" s="40" t="str">
        <f t="array" ref="B22">IFERROR(INDEX(Tableau4[Nr.Article],SMALL(IF(Tableau4[Nr.Employer]=Facture!$C$11,ROW(Tableau4[Nr.Employer])-ROW('Historique des Ventes'!$C$4)+1,""),ROWS($B$15:B22))),"")</f>
        <v/>
      </c>
      <c r="C22" s="40" t="str">
        <f t="array" ref="C22">IFERROR(INDEX(Tableau4[Article],SMALL(IF(Tableau4[Nr.Employer]=Facture!$C$11,ROW(Tableau4[Nr.Employer])-ROW('Historique des Ventes'!$C$4)+1,""),ROWS($B$15:C22))),"")</f>
        <v/>
      </c>
      <c r="D22" s="43" t="str">
        <f t="array" ref="D22">IFERROR(INDEX(Tableau4[Prix],SMALL(IF(Tableau4[Nr.Employer]=Facture!$C$11,ROW(Tableau4[Nr.Employer])-ROW('Historique des Ventes'!$C$4)+1,""),ROWS($B$15:D22))),"")</f>
        <v/>
      </c>
      <c r="E22" s="40" t="str">
        <f t="array" ref="E22">IFERROR(INDEX(Tableau4[Nombre],SMALL(IF(Tableau4[Nr.Employer]=Facture!$C$11,ROW(Tableau4[Nr.Employer])-ROW('Historique des Ventes'!$C$4)+1,""),ROWS($B$15:E22))),"")</f>
        <v/>
      </c>
      <c r="F22" s="43" t="str">
        <f t="shared" si="0"/>
        <v/>
      </c>
    </row>
    <row r="23" spans="2:6" x14ac:dyDescent="0.25">
      <c r="B23" s="40" t="str">
        <f t="array" ref="B23">IFERROR(INDEX(Tableau4[Nr.Article],SMALL(IF(Tableau4[Nr.Employer]=Facture!$C$11,ROW(Tableau4[Nr.Employer])-ROW('Historique des Ventes'!$C$4)+1,""),ROWS($B$15:B23))),"")</f>
        <v/>
      </c>
      <c r="C23" s="40" t="str">
        <f t="array" ref="C23">IFERROR(INDEX(Tableau4[Article],SMALL(IF(Tableau4[Nr.Employer]=Facture!$C$11,ROW(Tableau4[Nr.Employer])-ROW('Historique des Ventes'!$C$4)+1,""),ROWS($B$15:C23))),"")</f>
        <v/>
      </c>
      <c r="D23" s="43" t="str">
        <f t="array" ref="D23">IFERROR(INDEX(Tableau4[Prix],SMALL(IF(Tableau4[Nr.Employer]=Facture!$C$11,ROW(Tableau4[Nr.Employer])-ROW('Historique des Ventes'!$C$4)+1,""),ROWS($B$15:D23))),"")</f>
        <v/>
      </c>
      <c r="E23" s="40" t="str">
        <f t="array" ref="E23">IFERROR(INDEX(Tableau4[Nombre],SMALL(IF(Tableau4[Nr.Employer]=Facture!$C$11,ROW(Tableau4[Nr.Employer])-ROW('Historique des Ventes'!$C$4)+1,""),ROWS($B$15:E23))),"")</f>
        <v/>
      </c>
      <c r="F23" s="43" t="str">
        <f t="shared" si="0"/>
        <v/>
      </c>
    </row>
    <row r="24" spans="2:6" x14ac:dyDescent="0.25">
      <c r="B24" s="40" t="str">
        <f t="array" ref="B24">IFERROR(INDEX(Tableau4[Nr.Article],SMALL(IF(Tableau4[Nr.Employer]=Facture!$C$11,ROW(Tableau4[Nr.Employer])-ROW('Historique des Ventes'!$C$4)+1,""),ROWS($B$15:B24))),"")</f>
        <v/>
      </c>
      <c r="C24" s="40" t="str">
        <f t="array" ref="C24">IFERROR(INDEX(Tableau4[Article],SMALL(IF(Tableau4[Nr.Employer]=Facture!$C$11,ROW(Tableau4[Nr.Employer])-ROW('Historique des Ventes'!$C$4)+1,""),ROWS($B$15:C24))),"")</f>
        <v/>
      </c>
      <c r="D24" s="43" t="str">
        <f t="array" ref="D24">IFERROR(INDEX(Tableau4[Prix],SMALL(IF(Tableau4[Nr.Employer]=Facture!$C$11,ROW(Tableau4[Nr.Employer])-ROW('Historique des Ventes'!$C$4)+1,""),ROWS($B$15:D24))),"")</f>
        <v/>
      </c>
      <c r="E24" s="40" t="str">
        <f t="array" ref="E24">IFERROR(INDEX(Tableau4[Nombre],SMALL(IF(Tableau4[Nr.Employer]=Facture!$C$11,ROW(Tableau4[Nr.Employer])-ROW('Historique des Ventes'!$C$4)+1,""),ROWS($B$15:E24))),"")</f>
        <v/>
      </c>
      <c r="F24" s="43" t="str">
        <f t="shared" si="0"/>
        <v/>
      </c>
    </row>
    <row r="25" spans="2:6" x14ac:dyDescent="0.25">
      <c r="B25" s="40" t="str">
        <f t="array" ref="B25">IFERROR(INDEX(Tableau4[Nr.Article],SMALL(IF(Tableau4[Nr.Employer]=Facture!$C$11,ROW(Tableau4[Nr.Employer])-ROW('Historique des Ventes'!$C$4)+1,""),ROWS($B$15:B25))),"")</f>
        <v/>
      </c>
      <c r="C25" s="40" t="str">
        <f t="array" ref="C25">IFERROR(INDEX(Tableau4[Article],SMALL(IF(Tableau4[Nr.Employer]=Facture!$C$11,ROW(Tableau4[Nr.Employer])-ROW('Historique des Ventes'!$C$4)+1,""),ROWS($B$15:C25))),"")</f>
        <v/>
      </c>
      <c r="D25" s="43" t="str">
        <f t="array" ref="D25">IFERROR(INDEX(Tableau4[Prix],SMALL(IF(Tableau4[Nr.Employer]=Facture!$C$11,ROW(Tableau4[Nr.Employer])-ROW('Historique des Ventes'!$C$4)+1,""),ROWS($B$15:D25))),"")</f>
        <v/>
      </c>
      <c r="E25" s="40" t="str">
        <f t="array" ref="E25">IFERROR(INDEX(Tableau4[Nombre],SMALL(IF(Tableau4[Nr.Employer]=Facture!$C$11,ROW(Tableau4[Nr.Employer])-ROW('Historique des Ventes'!$C$4)+1,""),ROWS($B$15:E25))),"")</f>
        <v/>
      </c>
      <c r="F25" s="43" t="str">
        <f t="shared" si="0"/>
        <v/>
      </c>
    </row>
    <row r="26" spans="2:6" x14ac:dyDescent="0.25">
      <c r="B26" s="40" t="str">
        <f t="array" ref="B26">IFERROR(INDEX(Tableau4[Nr.Article],SMALL(IF(Tableau4[Nr.Employer]=Facture!$C$11,ROW(Tableau4[Nr.Employer])-ROW('Historique des Ventes'!$C$4)+1,""),ROWS($B$15:B26))),"")</f>
        <v/>
      </c>
      <c r="C26" s="40" t="str">
        <f t="array" ref="C26">IFERROR(INDEX(Tableau4[Article],SMALL(IF(Tableau4[Nr.Employer]=Facture!$C$11,ROW(Tableau4[Nr.Employer])-ROW('Historique des Ventes'!$C$4)+1,""),ROWS($B$15:C26))),"")</f>
        <v/>
      </c>
      <c r="D26" s="43" t="str">
        <f t="array" ref="D26">IFERROR(INDEX(Tableau4[Prix],SMALL(IF(Tableau4[Nr.Employer]=Facture!$C$11,ROW(Tableau4[Nr.Employer])-ROW('Historique des Ventes'!$C$4)+1,""),ROWS($B$15:D26))),"")</f>
        <v/>
      </c>
      <c r="E26" s="40" t="str">
        <f t="array" ref="E26">IFERROR(INDEX(Tableau4[Nombre],SMALL(IF(Tableau4[Nr.Employer]=Facture!$C$11,ROW(Tableau4[Nr.Employer])-ROW('Historique des Ventes'!$C$4)+1,""),ROWS($B$15:E26))),"")</f>
        <v/>
      </c>
      <c r="F26" s="43" t="str">
        <f t="shared" si="0"/>
        <v/>
      </c>
    </row>
    <row r="27" spans="2:6" x14ac:dyDescent="0.25">
      <c r="B27" s="40" t="str">
        <f t="array" ref="B27">IFERROR(INDEX(Tableau4[Nr.Article],SMALL(IF(Tableau4[Nr.Employer]=Facture!$C$11,ROW(Tableau4[Nr.Employer])-ROW('Historique des Ventes'!$C$4)+1,""),ROWS($B$15:B27))),"")</f>
        <v/>
      </c>
      <c r="C27" s="40" t="str">
        <f t="array" ref="C27">IFERROR(INDEX(Tableau4[Article],SMALL(IF(Tableau4[Nr.Employer]=Facture!$C$11,ROW(Tableau4[Nr.Employer])-ROW('Historique des Ventes'!$C$4)+1,""),ROWS($B$15:C27))),"")</f>
        <v/>
      </c>
      <c r="D27" s="43" t="str">
        <f t="array" ref="D27">IFERROR(INDEX(Tableau4[Prix],SMALL(IF(Tableau4[Nr.Employer]=Facture!$C$11,ROW(Tableau4[Nr.Employer])-ROW('Historique des Ventes'!$C$4)+1,""),ROWS($B$15:D27))),"")</f>
        <v/>
      </c>
      <c r="E27" s="40" t="str">
        <f t="array" ref="E27">IFERROR(INDEX(Tableau4[Nombre],SMALL(IF(Tableau4[Nr.Employer]=Facture!$C$11,ROW(Tableau4[Nr.Employer])-ROW('Historique des Ventes'!$C$4)+1,""),ROWS($B$15:E27))),"")</f>
        <v/>
      </c>
      <c r="F27" s="43" t="str">
        <f t="shared" si="0"/>
        <v/>
      </c>
    </row>
    <row r="28" spans="2:6" x14ac:dyDescent="0.25">
      <c r="B28" s="40" t="str">
        <f t="array" ref="B28">IFERROR(INDEX(Tableau4[Nr.Article],SMALL(IF(Tableau4[Nr.Employer]=Facture!$C$11,ROW(Tableau4[Nr.Employer])-ROW('Historique des Ventes'!$C$4)+1,""),ROWS($B$15:B28))),"")</f>
        <v/>
      </c>
      <c r="C28" s="40" t="str">
        <f t="array" ref="C28">IFERROR(INDEX(Tableau4[Article],SMALL(IF(Tableau4[Nr.Employer]=Facture!$C$11,ROW(Tableau4[Nr.Employer])-ROW('Historique des Ventes'!$C$4)+1,""),ROWS($B$15:C28))),"")</f>
        <v/>
      </c>
      <c r="D28" s="43" t="str">
        <f t="array" ref="D28">IFERROR(INDEX(Tableau4[Prix],SMALL(IF(Tableau4[Nr.Employer]=Facture!$C$11,ROW(Tableau4[Nr.Employer])-ROW('Historique des Ventes'!$C$4)+1,""),ROWS($B$15:D28))),"")</f>
        <v/>
      </c>
      <c r="E28" s="40" t="str">
        <f t="array" ref="E28">IFERROR(INDEX(Tableau4[Nombre],SMALL(IF(Tableau4[Nr.Employer]=Facture!$C$11,ROW(Tableau4[Nr.Employer])-ROW('Historique des Ventes'!$C$4)+1,""),ROWS($B$15:E28))),"")</f>
        <v/>
      </c>
      <c r="F28" s="43" t="str">
        <f t="shared" si="0"/>
        <v/>
      </c>
    </row>
    <row r="29" spans="2:6" x14ac:dyDescent="0.25">
      <c r="B29" s="40" t="str">
        <f t="array" ref="B29">IFERROR(INDEX(Tableau4[Nr.Article],SMALL(IF(Tableau4[Nr.Employer]=Facture!$C$11,ROW(Tableau4[Nr.Employer])-ROW('Historique des Ventes'!$C$4)+1,""),ROWS($B$15:B29))),"")</f>
        <v/>
      </c>
      <c r="C29" s="40" t="str">
        <f t="array" ref="C29">IFERROR(INDEX(Tableau4[Article],SMALL(IF(Tableau4[Nr.Employer]=Facture!$C$11,ROW(Tableau4[Nr.Employer])-ROW('Historique des Ventes'!$C$4)+1,""),ROWS($B$15:C29))),"")</f>
        <v/>
      </c>
      <c r="D29" s="43" t="str">
        <f t="array" ref="D29">IFERROR(INDEX(Tableau4[Prix],SMALL(IF(Tableau4[Nr.Employer]=Facture!$C$11,ROW(Tableau4[Nr.Employer])-ROW('Historique des Ventes'!$C$4)+1,""),ROWS($B$15:D29))),"")</f>
        <v/>
      </c>
      <c r="E29" s="40" t="str">
        <f t="array" ref="E29">IFERROR(INDEX(Tableau4[Nombre],SMALL(IF(Tableau4[Nr.Employer]=Facture!$C$11,ROW(Tableau4[Nr.Employer])-ROW('Historique des Ventes'!$C$4)+1,""),ROWS($B$15:E29))),"")</f>
        <v/>
      </c>
      <c r="F29" s="43" t="str">
        <f t="shared" si="0"/>
        <v/>
      </c>
    </row>
    <row r="30" spans="2:6" x14ac:dyDescent="0.25">
      <c r="B30" s="40" t="str">
        <f t="array" ref="B30">IFERROR(INDEX(Tableau4[Nr.Article],SMALL(IF(Tableau4[Nr.Employer]=Facture!$C$11,ROW(Tableau4[Nr.Employer])-ROW('Historique des Ventes'!$C$4)+1,""),ROWS($B$15:B30))),"")</f>
        <v/>
      </c>
      <c r="C30" s="40" t="str">
        <f t="array" ref="C30">IFERROR(INDEX(Tableau4[Article],SMALL(IF(Tableau4[Nr.Employer]=Facture!$C$11,ROW(Tableau4[Nr.Employer])-ROW('Historique des Ventes'!$C$4)+1,""),ROWS($B$15:C30))),"")</f>
        <v/>
      </c>
      <c r="D30" s="43" t="str">
        <f t="array" ref="D30">IFERROR(INDEX(Tableau4[Prix],SMALL(IF(Tableau4[Nr.Employer]=Facture!$C$11,ROW(Tableau4[Nr.Employer])-ROW('Historique des Ventes'!$C$4)+1,""),ROWS($B$15:D30))),"")</f>
        <v/>
      </c>
      <c r="E30" s="40" t="str">
        <f t="array" ref="E30">IFERROR(INDEX(Tableau4[Nombre],SMALL(IF(Tableau4[Nr.Employer]=Facture!$C$11,ROW(Tableau4[Nr.Employer])-ROW('Historique des Ventes'!$C$4)+1,""),ROWS($B$15:E30))),"")</f>
        <v/>
      </c>
      <c r="F30" s="43" t="str">
        <f t="shared" si="0"/>
        <v/>
      </c>
    </row>
    <row r="31" spans="2:6" x14ac:dyDescent="0.25">
      <c r="B31" s="40" t="str">
        <f t="array" ref="B31">IFERROR(INDEX(Tableau4[Nr.Article],SMALL(IF(Tableau4[Nr.Employer]=Facture!$C$11,ROW(Tableau4[Nr.Employer])-ROW('Historique des Ventes'!$C$4)+1,""),ROWS($B$15:B31))),"")</f>
        <v/>
      </c>
      <c r="C31" s="40" t="str">
        <f t="array" ref="C31">IFERROR(INDEX(Tableau4[Article],SMALL(IF(Tableau4[Nr.Employer]=Facture!$C$11,ROW(Tableau4[Nr.Employer])-ROW('Historique des Ventes'!$C$4)+1,""),ROWS($B$15:C31))),"")</f>
        <v/>
      </c>
      <c r="D31" s="43" t="str">
        <f t="array" ref="D31">IFERROR(INDEX(Tableau4[Prix],SMALL(IF(Tableau4[Nr.Employer]=Facture!$C$11,ROW(Tableau4[Nr.Employer])-ROW('Historique des Ventes'!$C$4)+1,""),ROWS($B$15:D31))),"")</f>
        <v/>
      </c>
      <c r="E31" s="40" t="str">
        <f t="array" ref="E31">IFERROR(INDEX(Tableau4[Nombre],SMALL(IF(Tableau4[Nr.Employer]=Facture!$C$11,ROW(Tableau4[Nr.Employer])-ROW('Historique des Ventes'!$C$4)+1,""),ROWS($B$15:E31))),"")</f>
        <v/>
      </c>
      <c r="F31" s="43" t="str">
        <f t="shared" si="0"/>
        <v/>
      </c>
    </row>
    <row r="32" spans="2:6" x14ac:dyDescent="0.25">
      <c r="B32" s="40" t="str">
        <f t="array" ref="B32">IFERROR(INDEX(Tableau4[Nr.Article],SMALL(IF(Tableau4[Nr.Employer]=Facture!$C$11,ROW(Tableau4[Nr.Employer])-ROW('Historique des Ventes'!$C$4)+1,""),ROWS($B$15:B32))),"")</f>
        <v/>
      </c>
      <c r="C32" s="40" t="str">
        <f t="array" ref="C32">IFERROR(INDEX(Tableau4[Article],SMALL(IF(Tableau4[Nr.Employer]=Facture!$C$11,ROW(Tableau4[Nr.Employer])-ROW('Historique des Ventes'!$C$4)+1,""),ROWS($B$15:C32))),"")</f>
        <v/>
      </c>
      <c r="D32" s="43" t="str">
        <f t="array" ref="D32">IFERROR(INDEX(Tableau4[Prix],SMALL(IF(Tableau4[Nr.Employer]=Facture!$C$11,ROW(Tableau4[Nr.Employer])-ROW('Historique des Ventes'!$C$4)+1,""),ROWS($B$15:D32))),"")</f>
        <v/>
      </c>
      <c r="E32" s="40" t="str">
        <f t="array" ref="E32">IFERROR(INDEX(Tableau4[Nombre],SMALL(IF(Tableau4[Nr.Employer]=Facture!$C$11,ROW(Tableau4[Nr.Employer])-ROW('Historique des Ventes'!$C$4)+1,""),ROWS($B$15:E32))),"")</f>
        <v/>
      </c>
      <c r="F32" s="43" t="str">
        <f t="shared" si="0"/>
        <v/>
      </c>
    </row>
    <row r="33" spans="2:6" x14ac:dyDescent="0.25">
      <c r="B33" s="40" t="str">
        <f t="array" ref="B33">IFERROR(INDEX(Tableau4[Nr.Article],SMALL(IF(Tableau4[Nr.Employer]=Facture!$C$11,ROW(Tableau4[Nr.Employer])-ROW('Historique des Ventes'!$C$4)+1,""),ROWS($B$15:B33))),"")</f>
        <v/>
      </c>
      <c r="C33" s="40" t="str">
        <f t="array" ref="C33">IFERROR(INDEX(Tableau4[Article],SMALL(IF(Tableau4[Nr.Employer]=Facture!$C$11,ROW(Tableau4[Nr.Employer])-ROW('Historique des Ventes'!$C$4)+1,""),ROWS($B$15:C33))),"")</f>
        <v/>
      </c>
      <c r="D33" s="43" t="str">
        <f t="array" ref="D33">IFERROR(INDEX(Tableau4[Prix],SMALL(IF(Tableau4[Nr.Employer]=Facture!$C$11,ROW(Tableau4[Nr.Employer])-ROW('Historique des Ventes'!$C$4)+1,""),ROWS($B$15:D33))),"")</f>
        <v/>
      </c>
      <c r="E33" s="40" t="str">
        <f t="array" ref="E33">IFERROR(INDEX(Tableau4[Nombre],SMALL(IF(Tableau4[Nr.Employer]=Facture!$C$11,ROW(Tableau4[Nr.Employer])-ROW('Historique des Ventes'!$C$4)+1,""),ROWS($B$15:E33))),"")</f>
        <v/>
      </c>
      <c r="F33" s="43" t="str">
        <f t="shared" si="0"/>
        <v/>
      </c>
    </row>
    <row r="34" spans="2:6" x14ac:dyDescent="0.25">
      <c r="B34" s="40" t="str">
        <f t="array" ref="B34">IFERROR(INDEX(Tableau4[Nr.Article],SMALL(IF(Tableau4[Nr.Employer]=Facture!$C$11,ROW(Tableau4[Nr.Employer])-ROW('Historique des Ventes'!$C$4)+1,""),ROWS($B$15:B34))),"")</f>
        <v/>
      </c>
      <c r="C34" s="40" t="str">
        <f t="array" ref="C34">IFERROR(INDEX(Tableau4[Article],SMALL(IF(Tableau4[Nr.Employer]=Facture!$C$11,ROW(Tableau4[Nr.Employer])-ROW('Historique des Ventes'!$C$4)+1,""),ROWS($B$15:C34))),"")</f>
        <v/>
      </c>
      <c r="D34" s="43" t="str">
        <f t="array" ref="D34">IFERROR(INDEX(Tableau4[Prix],SMALL(IF(Tableau4[Nr.Employer]=Facture!$C$11,ROW(Tableau4[Nr.Employer])-ROW('Historique des Ventes'!$C$4)+1,""),ROWS($B$15:D34))),"")</f>
        <v/>
      </c>
      <c r="E34" s="40" t="str">
        <f t="array" ref="E34">IFERROR(INDEX(Tableau4[Nombre],SMALL(IF(Tableau4[Nr.Employer]=Facture!$C$11,ROW(Tableau4[Nr.Employer])-ROW('Historique des Ventes'!$C$4)+1,""),ROWS($B$15:E34))),"")</f>
        <v/>
      </c>
      <c r="F34" s="43" t="str">
        <f t="shared" si="0"/>
        <v/>
      </c>
    </row>
    <row r="35" spans="2:6" x14ac:dyDescent="0.25">
      <c r="B35" s="40" t="str">
        <f t="array" ref="B35">IFERROR(INDEX(Tableau4[Nr.Article],SMALL(IF(Tableau4[Nr.Employer]=Facture!$C$11,ROW(Tableau4[Nr.Employer])-ROW('Historique des Ventes'!$C$4)+1,""),ROWS($B$15:B35))),"")</f>
        <v/>
      </c>
      <c r="C35" s="40" t="str">
        <f t="array" ref="C35">IFERROR(INDEX(Tableau4[Article],SMALL(IF(Tableau4[Nr.Employer]=Facture!$C$11,ROW(Tableau4[Nr.Employer])-ROW('Historique des Ventes'!$C$4)+1,""),ROWS($B$15:C35))),"")</f>
        <v/>
      </c>
      <c r="D35" s="43" t="str">
        <f t="array" ref="D35">IFERROR(INDEX(Tableau4[Prix],SMALL(IF(Tableau4[Nr.Employer]=Facture!$C$11,ROW(Tableau4[Nr.Employer])-ROW('Historique des Ventes'!$C$4)+1,""),ROWS($B$15:D35))),"")</f>
        <v/>
      </c>
      <c r="E35" s="40" t="str">
        <f t="array" ref="E35">IFERROR(INDEX(Tableau4[Nombre],SMALL(IF(Tableau4[Nr.Employer]=Facture!$C$11,ROW(Tableau4[Nr.Employer])-ROW('Historique des Ventes'!$C$4)+1,""),ROWS($B$15:E35))),"")</f>
        <v/>
      </c>
      <c r="F35" s="43" t="str">
        <f t="shared" si="0"/>
        <v/>
      </c>
    </row>
    <row r="36" spans="2:6" x14ac:dyDescent="0.25">
      <c r="B36" s="40" t="str">
        <f t="array" ref="B36">IFERROR(INDEX(Tableau4[Nr.Article],SMALL(IF(Tableau4[Nr.Employer]=Facture!$C$11,ROW(Tableau4[Nr.Employer])-ROW('Historique des Ventes'!$C$4)+1,""),ROWS($B$15:B36))),"")</f>
        <v/>
      </c>
      <c r="C36" s="40" t="str">
        <f t="array" ref="C36">IFERROR(INDEX(Tableau4[Article],SMALL(IF(Tableau4[Nr.Employer]=Facture!$C$11,ROW(Tableau4[Nr.Employer])-ROW('Historique des Ventes'!$C$4)+1,""),ROWS($B$15:C36))),"")</f>
        <v/>
      </c>
      <c r="D36" s="43" t="str">
        <f t="array" ref="D36">IFERROR(INDEX(Tableau4[Prix],SMALL(IF(Tableau4[Nr.Employer]=Facture!$C$11,ROW(Tableau4[Nr.Employer])-ROW('Historique des Ventes'!$C$4)+1,""),ROWS($B$15:D36))),"")</f>
        <v/>
      </c>
      <c r="E36" s="40" t="str">
        <f t="array" ref="E36">IFERROR(INDEX(Tableau4[Nombre],SMALL(IF(Tableau4[Nr.Employer]=Facture!$C$11,ROW(Tableau4[Nr.Employer])-ROW('Historique des Ventes'!$C$4)+1,""),ROWS($B$15:E36))),"")</f>
        <v/>
      </c>
      <c r="F36" s="43" t="str">
        <f t="shared" si="0"/>
        <v/>
      </c>
    </row>
    <row r="37" spans="2:6" x14ac:dyDescent="0.25">
      <c r="B37" s="40" t="str">
        <f t="array" ref="B37">IFERROR(INDEX(Tableau4[Nr.Article],SMALL(IF(Tableau4[Nr.Employer]=Facture!$C$11,ROW(Tableau4[Nr.Employer])-ROW('Historique des Ventes'!$C$4)+1,""),ROWS($B$15:B37))),"")</f>
        <v/>
      </c>
      <c r="C37" s="40" t="str">
        <f t="array" ref="C37">IFERROR(INDEX(Tableau4[Article],SMALL(IF(Tableau4[Nr.Employer]=Facture!$C$11,ROW(Tableau4[Nr.Employer])-ROW('Historique des Ventes'!$C$4)+1,""),ROWS($B$15:C37))),"")</f>
        <v/>
      </c>
      <c r="D37" s="43" t="str">
        <f t="array" ref="D37">IFERROR(INDEX(Tableau4[Prix],SMALL(IF(Tableau4[Nr.Employer]=Facture!$C$11,ROW(Tableau4[Nr.Employer])-ROW('Historique des Ventes'!$C$4)+1,""),ROWS($B$15:D37))),"")</f>
        <v/>
      </c>
      <c r="E37" s="40" t="str">
        <f t="array" ref="E37">IFERROR(INDEX(Tableau4[Nombre],SMALL(IF(Tableau4[Nr.Employer]=Facture!$C$11,ROW(Tableau4[Nr.Employer])-ROW('Historique des Ventes'!$C$4)+1,""),ROWS($B$15:E37))),"")</f>
        <v/>
      </c>
      <c r="F37" s="43" t="str">
        <f t="shared" si="0"/>
        <v/>
      </c>
    </row>
    <row r="38" spans="2:6" x14ac:dyDescent="0.25">
      <c r="B38" s="40" t="str">
        <f t="array" ref="B38">IFERROR(INDEX(Tableau4[Nr.Article],SMALL(IF(Tableau4[Nr.Employer]=Facture!$C$11,ROW(Tableau4[Nr.Employer])-ROW('Historique des Ventes'!$C$4)+1,""),ROWS($B$15:B38))),"")</f>
        <v/>
      </c>
      <c r="C38" s="40" t="str">
        <f t="array" ref="C38">IFERROR(INDEX(Tableau4[Article],SMALL(IF(Tableau4[Nr.Employer]=Facture!$C$11,ROW(Tableau4[Nr.Employer])-ROW('Historique des Ventes'!$C$4)+1,""),ROWS($B$15:C38))),"")</f>
        <v/>
      </c>
      <c r="D38" s="43" t="str">
        <f t="array" ref="D38">IFERROR(INDEX(Tableau4[Prix],SMALL(IF(Tableau4[Nr.Employer]=Facture!$C$11,ROW(Tableau4[Nr.Employer])-ROW('Historique des Ventes'!$C$4)+1,""),ROWS($B$15:D38))),"")</f>
        <v/>
      </c>
      <c r="E38" s="40" t="str">
        <f t="array" ref="E38">IFERROR(INDEX(Tableau4[Nombre],SMALL(IF(Tableau4[Nr.Employer]=Facture!$C$11,ROW(Tableau4[Nr.Employer])-ROW('Historique des Ventes'!$C$4)+1,""),ROWS($B$15:E38))),"")</f>
        <v/>
      </c>
      <c r="F38" s="43" t="str">
        <f t="shared" si="0"/>
        <v/>
      </c>
    </row>
    <row r="39" spans="2:6" x14ac:dyDescent="0.25">
      <c r="B39" s="40" t="str">
        <f t="array" ref="B39">IFERROR(INDEX(Tableau4[Nr.Article],SMALL(IF(Tableau4[Nr.Employer]=Facture!$C$11,ROW(Tableau4[Nr.Employer])-ROW('Historique des Ventes'!$C$4)+1,""),ROWS($B$15:B39))),"")</f>
        <v/>
      </c>
      <c r="C39" s="40" t="str">
        <f t="array" ref="C39">IFERROR(INDEX(Tableau4[Article],SMALL(IF(Tableau4[Nr.Employer]=Facture!$C$11,ROW(Tableau4[Nr.Employer])-ROW('Historique des Ventes'!$C$4)+1,""),ROWS($B$15:C39))),"")</f>
        <v/>
      </c>
      <c r="D39" s="43" t="str">
        <f t="array" ref="D39">IFERROR(INDEX(Tableau4[Prix],SMALL(IF(Tableau4[Nr.Employer]=Facture!$C$11,ROW(Tableau4[Nr.Employer])-ROW('Historique des Ventes'!$C$4)+1,""),ROWS($B$15:D39))),"")</f>
        <v/>
      </c>
      <c r="E39" s="40" t="str">
        <f t="array" ref="E39">IFERROR(INDEX(Tableau4[Nombre],SMALL(IF(Tableau4[Nr.Employer]=Facture!$C$11,ROW(Tableau4[Nr.Employer])-ROW('Historique des Ventes'!$C$4)+1,""),ROWS($B$15:E39))),"")</f>
        <v/>
      </c>
      <c r="F39" s="43" t="str">
        <f t="shared" si="0"/>
        <v/>
      </c>
    </row>
    <row r="40" spans="2:6" x14ac:dyDescent="0.25">
      <c r="B40" s="40" t="str">
        <f t="array" ref="B40">IFERROR(INDEX(Tableau4[Nr.Article],SMALL(IF(Tableau4[Nr.Employer]=Facture!$C$11,ROW(Tableau4[Nr.Employer])-ROW('Historique des Ventes'!$C$4)+1,""),ROWS($B$15:B40))),"")</f>
        <v/>
      </c>
      <c r="C40" s="40" t="str">
        <f t="array" ref="C40">IFERROR(INDEX(Tableau4[Article],SMALL(IF(Tableau4[Nr.Employer]=Facture!$C$11,ROW(Tableau4[Nr.Employer])-ROW('Historique des Ventes'!$C$4)+1,""),ROWS($B$15:C40))),"")</f>
        <v/>
      </c>
      <c r="D40" s="43" t="str">
        <f t="array" ref="D40">IFERROR(INDEX(Tableau4[Prix],SMALL(IF(Tableau4[Nr.Employer]=Facture!$C$11,ROW(Tableau4[Nr.Employer])-ROW('Historique des Ventes'!$C$4)+1,""),ROWS($B$15:D40))),"")</f>
        <v/>
      </c>
      <c r="E40" s="40" t="str">
        <f t="array" ref="E40">IFERROR(INDEX(Tableau4[Nombre],SMALL(IF(Tableau4[Nr.Employer]=Facture!$C$11,ROW(Tableau4[Nr.Employer])-ROW('Historique des Ventes'!$C$4)+1,""),ROWS($B$15:E40))),"")</f>
        <v/>
      </c>
      <c r="F40" s="43" t="str">
        <f t="shared" si="0"/>
        <v/>
      </c>
    </row>
    <row r="41" spans="2:6" ht="4.5" customHeight="1" x14ac:dyDescent="0.25"/>
    <row r="42" spans="2:6" ht="5.25" customHeight="1" thickBot="1" x14ac:dyDescent="0.3">
      <c r="B42" s="38"/>
      <c r="C42" s="38"/>
      <c r="D42" s="38"/>
      <c r="E42" s="38"/>
      <c r="F42" s="38"/>
    </row>
    <row r="43" spans="2:6" ht="16.5" thickBot="1" x14ac:dyDescent="0.3">
      <c r="B43" s="73" t="str">
        <f>IFERROR("Montant a payer dans les 30 jours :"&amp;TEXT(E11+30,"jj/mm/aaaa"),"")</f>
        <v/>
      </c>
      <c r="C43" s="74"/>
      <c r="D43" s="75"/>
      <c r="E43" s="45" t="s">
        <v>126</v>
      </c>
      <c r="F43" s="44">
        <f>IFERROR(SUM(F15:F40),"")</f>
        <v>0</v>
      </c>
    </row>
    <row r="44" spans="2:6" ht="16.5" thickBot="1" x14ac:dyDescent="0.3">
      <c r="B44" s="76"/>
      <c r="C44" s="77"/>
      <c r="D44" s="78"/>
      <c r="E44" s="46" t="str">
        <f>IFERROR("Remise de "&amp;TEXT(INDEX(Tableau4[Remise],MATCH(C11,Tableau4[Nr.Employer],0)),"0%"),"")</f>
        <v/>
      </c>
      <c r="F44" s="44" t="str">
        <f>IFERROR(INDEX(Tableau5[Remise],MATCH(Facture!C11,Tableau5[Nr.Employers],0)),"")</f>
        <v/>
      </c>
    </row>
    <row r="45" spans="2:6" ht="16.5" thickBot="1" x14ac:dyDescent="0.3">
      <c r="B45" s="76"/>
      <c r="C45" s="77"/>
      <c r="D45" s="78"/>
      <c r="E45" s="47" t="s">
        <v>122</v>
      </c>
      <c r="F45" s="44" t="str">
        <f>IFERROR((F43-F44)*0.1925,"")</f>
        <v/>
      </c>
    </row>
    <row r="46" spans="2:6" ht="16.5" thickBot="1" x14ac:dyDescent="0.3">
      <c r="B46" s="76"/>
      <c r="C46" s="77"/>
      <c r="D46" s="78"/>
      <c r="E46" s="48" t="s">
        <v>123</v>
      </c>
      <c r="F46" s="44" t="str">
        <f>IFERROR((F43-F44)+F45,"")</f>
        <v/>
      </c>
    </row>
    <row r="47" spans="2:6" ht="1.5" customHeight="1" thickBot="1" x14ac:dyDescent="0.3">
      <c r="B47" s="76"/>
      <c r="C47" s="77"/>
      <c r="D47" s="78"/>
      <c r="E47" s="42"/>
      <c r="F47" s="44">
        <f t="shared" ref="F47" si="1">SUM(F19:F44)</f>
        <v>0</v>
      </c>
    </row>
    <row r="48" spans="2:6" ht="16.5" thickBot="1" x14ac:dyDescent="0.3">
      <c r="B48" s="76"/>
      <c r="C48" s="77"/>
      <c r="D48" s="78"/>
      <c r="E48" s="45" t="s">
        <v>124</v>
      </c>
      <c r="F48" s="44" t="str">
        <f>IFERROR(INDEX(Tableau5[Acompte],MATCH(Facture!C11,'Suivi des Employers'!B4:B7,0)),"")</f>
        <v/>
      </c>
    </row>
    <row r="49" spans="2:6" ht="16.5" thickBot="1" x14ac:dyDescent="0.3">
      <c r="B49" s="79"/>
      <c r="C49" s="80"/>
      <c r="D49" s="81"/>
      <c r="E49" s="48" t="s">
        <v>125</v>
      </c>
      <c r="F49" s="44" t="str">
        <f>IFERROR(F46-F48,"")</f>
        <v/>
      </c>
    </row>
  </sheetData>
  <mergeCells count="3">
    <mergeCell ref="F4:G9"/>
    <mergeCell ref="B43:D49"/>
    <mergeCell ref="H8:I10"/>
  </mergeCells>
  <dataValidations count="2">
    <dataValidation type="list" allowBlank="1" showInputMessage="1" showErrorMessage="1" errorTitle="Facture" error="Employer inexistant" sqref="C11">
      <formula1>Nr.Employer</formula1>
    </dataValidation>
    <dataValidation type="list" allowBlank="1" showInputMessage="1" showErrorMessage="1" sqref="I5">
      <formula1>"Acompte,Versement"</formula1>
    </dataValidation>
  </dataValidations>
  <hyperlinks>
    <hyperlink ref="B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4" r:id="rId4" name="CommandButton1">
          <controlPr defaultSize="0" autoLine="0" autoPict="0" r:id="rId5">
            <anchor moveWithCells="1">
              <from>
                <xdr:col>7</xdr:col>
                <xdr:colOff>19050</xdr:colOff>
                <xdr:row>7</xdr:row>
                <xdr:rowOff>38100</xdr:rowOff>
              </from>
              <to>
                <xdr:col>8</xdr:col>
                <xdr:colOff>1362075</xdr:colOff>
                <xdr:row>9</xdr:row>
                <xdr:rowOff>171450</xdr:rowOff>
              </to>
            </anchor>
          </controlPr>
        </control>
      </mc:Choice>
      <mc:Fallback>
        <control shapeId="1025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D8"/>
  <sheetViews>
    <sheetView showGridLines="0" workbookViewId="0">
      <selection activeCell="D9" sqref="D9"/>
    </sheetView>
  </sheetViews>
  <sheetFormatPr baseColWidth="10" defaultRowHeight="15" x14ac:dyDescent="0.25"/>
  <cols>
    <col min="1" max="1" width="1.7109375" customWidth="1"/>
    <col min="2" max="4" width="14.42578125" style="2" customWidth="1"/>
    <col min="5" max="5" width="21.42578125" customWidth="1"/>
  </cols>
  <sheetData>
    <row r="1" spans="2:4" ht="63" customHeight="1" x14ac:dyDescent="0.25"/>
    <row r="3" spans="2:4" x14ac:dyDescent="0.25">
      <c r="B3" s="2" t="s">
        <v>101</v>
      </c>
      <c r="C3" s="2" t="s">
        <v>102</v>
      </c>
      <c r="D3" s="2" t="s">
        <v>103</v>
      </c>
    </row>
    <row r="4" spans="2:4" x14ac:dyDescent="0.25">
      <c r="B4" s="2">
        <v>1</v>
      </c>
      <c r="C4" s="2">
        <v>1</v>
      </c>
      <c r="D4" s="22">
        <v>0.05</v>
      </c>
    </row>
    <row r="5" spans="2:4" x14ac:dyDescent="0.25">
      <c r="B5" s="2">
        <v>2</v>
      </c>
      <c r="C5" s="2">
        <v>2</v>
      </c>
      <c r="D5" s="33">
        <v>0.1</v>
      </c>
    </row>
    <row r="6" spans="2:4" x14ac:dyDescent="0.25">
      <c r="B6" s="2">
        <v>3</v>
      </c>
      <c r="C6" s="2">
        <v>3</v>
      </c>
      <c r="D6" s="33">
        <v>0.15</v>
      </c>
    </row>
    <row r="7" spans="2:4" x14ac:dyDescent="0.25">
      <c r="B7" s="2">
        <v>4</v>
      </c>
      <c r="C7" s="2">
        <v>4</v>
      </c>
      <c r="D7" s="33">
        <v>0.3</v>
      </c>
    </row>
    <row r="8" spans="2:4" x14ac:dyDescent="0.25">
      <c r="B8" s="2">
        <v>5</v>
      </c>
      <c r="C8" s="2">
        <v>5</v>
      </c>
      <c r="D8" s="33">
        <v>0.5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K20"/>
  <sheetViews>
    <sheetView showGridLines="0" zoomScaleNormal="100" workbookViewId="0"/>
  </sheetViews>
  <sheetFormatPr baseColWidth="10" defaultRowHeight="15" x14ac:dyDescent="0.25"/>
  <cols>
    <col min="1" max="1" width="1.7109375" customWidth="1"/>
    <col min="2" max="11" width="21.85546875" style="2" customWidth="1"/>
  </cols>
  <sheetData>
    <row r="1" spans="1:11" ht="63" customHeight="1" x14ac:dyDescent="0.25">
      <c r="A1">
        <f>COUNT(Tableau5[Nr.Employers])</f>
        <v>6</v>
      </c>
    </row>
    <row r="3" spans="1:11" x14ac:dyDescent="0.25">
      <c r="B3" s="2" t="s">
        <v>75</v>
      </c>
      <c r="C3" s="2" t="s">
        <v>44</v>
      </c>
      <c r="D3" s="2" t="s">
        <v>69</v>
      </c>
      <c r="E3" s="2" t="s">
        <v>80</v>
      </c>
      <c r="F3" s="2" t="s">
        <v>72</v>
      </c>
      <c r="G3" s="2" t="s">
        <v>81</v>
      </c>
      <c r="H3" s="2" t="s">
        <v>76</v>
      </c>
      <c r="I3" s="2" t="s">
        <v>77</v>
      </c>
      <c r="J3" s="2" t="s">
        <v>78</v>
      </c>
      <c r="K3" s="2" t="s">
        <v>79</v>
      </c>
    </row>
    <row r="4" spans="1:11" x14ac:dyDescent="0.25">
      <c r="B4" s="2">
        <f>IFERROR(IF(B3="","",SMALL(Tableau4[Nr.Employer],COUNTIF(Tableau4[Nr.Employer],"&lt;="&amp;'Suivi des Employers'!B3)+1)),"")</f>
        <v>1</v>
      </c>
      <c r="C4" s="2">
        <f>IFERROR(INDEX(Tableau4[Nr.Client],MATCH('Suivi des Employers'!B4,Tableau4[Nr.Employer],0)),"")</f>
        <v>1</v>
      </c>
      <c r="D4" s="5">
        <f>IFERROR(INDEX(Tableau4[Date],MATCH('Suivi des Employers'!B4,Tableau4[Nr.Employer],0)),"")</f>
        <v>44811.195428240739</v>
      </c>
      <c r="E4" s="7">
        <f>IFERROR(SUMIF(Tableau4[Nr.Employer],'Suivi des Employers'!B4,Tableau4[Total]),"")</f>
        <v>43000</v>
      </c>
      <c r="F4" s="32">
        <f>IFERROR(E4*INDEX(Tableau4[Remise],MATCH('Suivi des Employers'!B4,Tableau4[Nr.Employer],0)),"")</f>
        <v>4300</v>
      </c>
      <c r="G4" s="32">
        <f t="shared" ref="G4:G9" si="0">IFERROR((E4-F4)*1.1925,"")</f>
        <v>46149.749999999993</v>
      </c>
      <c r="H4" s="7">
        <f>IFERROR(SUMIFS(Tableau7[Montant],Tableau7[Type],"acompte",Tableau7[Nr.Employer], Tableau5[[#This Row],[Nr.Employers]]),"")</f>
        <v>0</v>
      </c>
      <c r="I4" s="30">
        <f>IFERROR(SUMIFS(Tableau7[Montant],Tableau7[Type],"versement",Tableau7[Nr.Employer],Tableau5[[#This Row],[Nr.Employers]]),"")</f>
        <v>46150</v>
      </c>
      <c r="J4" s="7">
        <f t="shared" ref="J4:J9" si="1">IFERROR(ROUND((G4-H4-I4),2),"")</f>
        <v>-0.25</v>
      </c>
      <c r="K4" s="28" t="str">
        <f t="shared" ref="K4:K9" ca="1" si="2">IFERROR(IF(AND(J4&gt;0,D4+30&lt;TODAY()),"Alert",IF(J4&gt;0,"Open","Close")),"")</f>
        <v>Close</v>
      </c>
    </row>
    <row r="5" spans="1:11" x14ac:dyDescent="0.25">
      <c r="B5" s="2">
        <f>IFERROR(IF(B4="","",SMALL(Tableau4[Nr.Employer],COUNTIF(Tableau4[Nr.Employer],"&lt;="&amp;'Suivi des Employers'!B4)+1)),"")</f>
        <v>2</v>
      </c>
      <c r="C5" s="2">
        <f>IFERROR(INDEX(Tableau4[Nr.Client],MATCH('Suivi des Employers'!B5,Tableau4[Nr.Employer],0)),"")</f>
        <v>2</v>
      </c>
      <c r="D5" s="5">
        <f>IFERROR(INDEX(Tableau4[Date],MATCH('Suivi des Employers'!B5,Tableau4[Nr.Employer],0)),"")</f>
        <v>44811.19798611111</v>
      </c>
      <c r="E5" s="7">
        <f>IFERROR(SUMIF(Tableau4[Nr.Employer],'Suivi des Employers'!B5,Tableau4[Total]),"")</f>
        <v>50000</v>
      </c>
      <c r="F5" s="30">
        <f>IFERROR(E5*INDEX(Tableau4[Remise],MATCH('Suivi des Employers'!B5,Tableau4[Nr.Employer],0)),"")</f>
        <v>7500</v>
      </c>
      <c r="G5" s="30">
        <f t="shared" si="0"/>
        <v>50681.249999999993</v>
      </c>
      <c r="H5" s="7">
        <f>IFERROR(SUMIFS(Tableau7[Montant],Tableau7[Type],"acompte",Tableau7[Nr.Employer], Tableau5[[#This Row],[Nr.Employers]]),"")</f>
        <v>0</v>
      </c>
      <c r="I5" s="30">
        <f>IFERROR(SUMIFS(Tableau7[Montant],Tableau7[Type],"versement",Tableau7[Nr.Employer],Tableau5[[#This Row],[Nr.Employers]]),"")</f>
        <v>0</v>
      </c>
      <c r="J5" s="7">
        <f t="shared" si="1"/>
        <v>50681.25</v>
      </c>
      <c r="K5" s="28" t="str">
        <f t="shared" ca="1" si="2"/>
        <v>Alert</v>
      </c>
    </row>
    <row r="6" spans="1:11" x14ac:dyDescent="0.25">
      <c r="B6" s="2">
        <f>IFERROR(IF(B5="","",SMALL(Tableau4[Nr.Employer],COUNTIF(Tableau4[Nr.Employer],"&lt;="&amp;'Suivi des Employers'!B5)+1)),"")</f>
        <v>3</v>
      </c>
      <c r="C6" s="2">
        <f>IFERROR(INDEX(Tableau4[Nr.Client],MATCH('Suivi des Employers'!B6,Tableau4[Nr.Employer],0)),"")</f>
        <v>3</v>
      </c>
      <c r="D6" s="5">
        <f>IFERROR(INDEX(Tableau4[Date],MATCH('Suivi des Employers'!B6,Tableau4[Nr.Employer],0)),"")</f>
        <v>44779.206770833334</v>
      </c>
      <c r="E6" s="7">
        <f>IFERROR(SUMIF(Tableau4[Nr.Employer],'Suivi des Employers'!B6,Tableau4[Total]),"")</f>
        <v>68000</v>
      </c>
      <c r="F6" s="30">
        <f>IFERROR(E6*INDEX(Tableau4[Remise],MATCH('Suivi des Employers'!B6,Tableau4[Nr.Employer],0)),"")</f>
        <v>10200</v>
      </c>
      <c r="G6" s="30">
        <f t="shared" si="0"/>
        <v>68926.5</v>
      </c>
      <c r="H6" s="7">
        <f>IFERROR(SUMIFS(Tableau7[Montant],Tableau7[Type],"acompte",Tableau7[Nr.Employer], Tableau5[[#This Row],[Nr.Employers]]),"")</f>
        <v>0</v>
      </c>
      <c r="I6" s="30">
        <f>IFERROR(SUMIFS(Tableau7[Montant],Tableau7[Type],"versement",Tableau7[Nr.Employer],Tableau5[[#This Row],[Nr.Employers]]),"")</f>
        <v>0</v>
      </c>
      <c r="J6" s="7">
        <f t="shared" si="1"/>
        <v>68926.5</v>
      </c>
      <c r="K6" s="28" t="str">
        <f t="shared" ca="1" si="2"/>
        <v>Alert</v>
      </c>
    </row>
    <row r="7" spans="1:11" x14ac:dyDescent="0.25">
      <c r="B7" s="2">
        <f>IFERROR(IF(B6="","",SMALL(Tableau4[Nr.Employer],COUNTIF(Tableau4[Nr.Employer],"&lt;="&amp;'Suivi des Employers'!B6)+1)),"")</f>
        <v>4</v>
      </c>
      <c r="C7" s="2">
        <f>IFERROR(INDEX(Tableau4[Nr.Client],MATCH('Suivi des Employers'!B7,Tableau4[Nr.Employer],0)),"")</f>
        <v>4</v>
      </c>
      <c r="D7" s="5">
        <f>IFERROR(INDEX(Tableau4[Date],MATCH('Suivi des Employers'!B7,Tableau4[Nr.Employer],0)),"")</f>
        <v>44775.208298611113</v>
      </c>
      <c r="E7" s="7">
        <f>IFERROR(SUMIF(Tableau4[Nr.Employer],'Suivi des Employers'!B7,Tableau4[Total]),"")</f>
        <v>82000</v>
      </c>
      <c r="F7" s="30">
        <f>IFERROR(E7*INDEX(Tableau4[Remise],MATCH('Suivi des Employers'!B7,Tableau4[Nr.Employer],0)),"")</f>
        <v>12300</v>
      </c>
      <c r="G7" s="30">
        <f t="shared" si="0"/>
        <v>83117.249999999985</v>
      </c>
      <c r="H7" s="7">
        <f>IFERROR(SUMIFS(Tableau7[Montant],Tableau7[Type],"acompte",Tableau7[Nr.Employer], Tableau5[[#This Row],[Nr.Employers]]),"")</f>
        <v>0</v>
      </c>
      <c r="I7" s="30">
        <f>IFERROR(SUMIFS(Tableau7[Montant],Tableau7[Type],"versement",Tableau7[Nr.Employer],Tableau5[[#This Row],[Nr.Employers]]),"")</f>
        <v>0</v>
      </c>
      <c r="J7" s="7">
        <f t="shared" si="1"/>
        <v>83117.25</v>
      </c>
      <c r="K7" s="28" t="str">
        <f t="shared" ca="1" si="2"/>
        <v>Alert</v>
      </c>
    </row>
    <row r="8" spans="1:11" x14ac:dyDescent="0.25">
      <c r="B8" s="2">
        <f>IFERROR(IF(B7="","",SMALL(Tableau4[Nr.Employer],COUNTIF(Tableau4[Nr.Employer],"&lt;="&amp;'Suivi des Employers'!B7)+1)),"")</f>
        <v>5</v>
      </c>
      <c r="C8" s="2">
        <f>IFERROR(INDEX(Tableau4[Nr.Client],MATCH('Suivi des Employers'!B8,Tableau4[Nr.Employer],0)),"")</f>
        <v>2</v>
      </c>
      <c r="D8" s="5">
        <f>IFERROR(INDEX(Tableau4[Date],MATCH('Suivi des Employers'!B8,Tableau4[Nr.Employer],0)),"")</f>
        <v>44812.848530092589</v>
      </c>
      <c r="E8" s="7">
        <f>IFERROR(SUMIF(Tableau4[Nr.Employer],'Suivi des Employers'!B8,Tableau4[Total]),"")</f>
        <v>5000</v>
      </c>
      <c r="F8" s="30">
        <f>IFERROR(E8*INDEX(Tableau4[Remise],MATCH('Suivi des Employers'!B8,Tableau4[Nr.Employer],0)),"")</f>
        <v>750</v>
      </c>
      <c r="G8" s="30">
        <f t="shared" si="0"/>
        <v>5068.125</v>
      </c>
      <c r="H8" s="7">
        <f>IFERROR(SUMIFS(Tableau7[Montant],Tableau7[Type],"acompte",Tableau7[Nr.Employer], Tableau5[[#This Row],[Nr.Employers]]),"")</f>
        <v>0</v>
      </c>
      <c r="I8" s="30">
        <f>IFERROR(SUMIFS(Tableau7[Montant],Tableau7[Type],"versement",Tableau7[Nr.Employer],Tableau5[[#This Row],[Nr.Employers]]),"")</f>
        <v>0</v>
      </c>
      <c r="J8" s="7">
        <f t="shared" si="1"/>
        <v>5068.13</v>
      </c>
      <c r="K8" s="28" t="str">
        <f t="shared" ca="1" si="2"/>
        <v>Alert</v>
      </c>
    </row>
    <row r="9" spans="1:11" x14ac:dyDescent="0.25">
      <c r="B9" s="28">
        <f>IFERROR(IF(B8="","",SMALL(Tableau4[Nr.Employer],COUNTIF(Tableau4[Nr.Employer],"&lt;="&amp;'Suivi des Employers'!B8)+1)),"")</f>
        <v>6</v>
      </c>
      <c r="C9" s="2">
        <f>IFERROR(INDEX(Tableau4[Nr.Client],MATCH('Suivi des Employers'!B9,Tableau4[Nr.Employer],0)),"")</f>
        <v>2</v>
      </c>
      <c r="D9" s="5">
        <f>IFERROR(INDEX(Tableau4[Date],MATCH('Suivi des Employers'!B9,Tableau4[Nr.Employer],0)),"")</f>
        <v>44814.071342592593</v>
      </c>
      <c r="E9" s="7">
        <f>IFERROR(SUMIF(Tableau4[Nr.Employer],'Suivi des Employers'!B9,Tableau4[Total]),"")</f>
        <v>5000</v>
      </c>
      <c r="F9" s="30">
        <f>IFERROR(E9*INDEX(Tableau4[Remise],MATCH('Suivi des Employers'!B9,Tableau4[Nr.Employer],0)),"")</f>
        <v>750</v>
      </c>
      <c r="G9" s="30">
        <f t="shared" si="0"/>
        <v>5068.125</v>
      </c>
      <c r="H9" s="7">
        <f>IFERROR(SUMIFS(Tableau7[Montant],Tableau7[Type],"acompte",Tableau7[Nr.Employer], Tableau5[[#This Row],[Nr.Employers]]),"")</f>
        <v>0</v>
      </c>
      <c r="I9" s="30">
        <f>IFERROR(SUMIFS(Tableau7[Montant],Tableau7[Type],"versement",Tableau7[Nr.Employer],Tableau5[[#This Row],[Nr.Employers]]),"")</f>
        <v>0</v>
      </c>
      <c r="J9" s="7">
        <f t="shared" si="1"/>
        <v>5068.13</v>
      </c>
      <c r="K9" s="28" t="str">
        <f t="shared" ca="1" si="2"/>
        <v>Alert</v>
      </c>
    </row>
    <row r="10" spans="1:11" x14ac:dyDescent="0.25">
      <c r="B10" s="28" t="str">
        <f>IFERROR(IF(B9="","",SMALL(Tableau4[Nr.Employer],COUNTIF(Tableau4[Nr.Employer],"&lt;="&amp;'Suivi des Employers'!B9)+1)),"")</f>
        <v/>
      </c>
      <c r="C10" s="2" t="str">
        <f>IFERROR(INDEX(Tableau4[Nr.Client],MATCH('Suivi des Employers'!B10,Tableau4[Nr.Employer],0)),"")</f>
        <v/>
      </c>
      <c r="D10" s="5" t="str">
        <f>IFERROR(INDEX(Tableau4[Date],MATCH('Suivi des Employers'!B10,Tableau4[Nr.Employer],0)),"")</f>
        <v/>
      </c>
      <c r="E10" s="7">
        <f>IFERROR(SUMIF(Tableau4[Nr.Employer],'Suivi des Employers'!B10,Tableau4[Total]),"")</f>
        <v>0</v>
      </c>
      <c r="F10" s="30" t="str">
        <f>IFERROR(E10*INDEX(Tableau4[Remise],MATCH('Suivi des Employers'!B10,Tableau4[Nr.Employer],0)),"")</f>
        <v/>
      </c>
      <c r="G10" s="30" t="str">
        <f>IFERROR((E10-F10)*1.1925,"")</f>
        <v/>
      </c>
      <c r="H10" s="7">
        <f>IFERROR(SUMIFS(Tableau7[Montant],Tableau7[Type],"acompte",Tableau7[Nr.Employer], Tableau5[[#This Row],[Nr.Employers]]),"")</f>
        <v>0</v>
      </c>
      <c r="I10" s="30">
        <f>IFERROR(SUMIFS(Tableau7[Montant],Tableau7[Type],"versement",Tableau7[Nr.Employer],Tableau5[[#This Row],[Nr.Employers]]),"")</f>
        <v>0</v>
      </c>
      <c r="J10" s="7" t="str">
        <f>IFERROR(ROUND((G10-H10-I10),2),"")</f>
        <v/>
      </c>
      <c r="K10" s="28" t="str">
        <f ca="1">IFERROR(IF(AND(J10&gt;0,D10+30&lt;TODAY()),"Alert",IF(J10&gt;0,"Open","Close")),"")</f>
        <v/>
      </c>
    </row>
    <row r="20" spans="4:4" x14ac:dyDescent="0.25">
      <c r="D20" s="2" t="s">
        <v>100</v>
      </c>
    </row>
  </sheetData>
  <conditionalFormatting sqref="B4:K10">
    <cfRule type="expression" dxfId="70" priority="1">
      <formula>$K4="open"</formula>
    </cfRule>
    <cfRule type="expression" dxfId="69" priority="2">
      <formula>$K4="close"</formula>
    </cfRule>
    <cfRule type="expression" dxfId="68" priority="3">
      <formula>$K4="alert"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J13"/>
  <sheetViews>
    <sheetView showGridLines="0" workbookViewId="0"/>
  </sheetViews>
  <sheetFormatPr baseColWidth="10" defaultRowHeight="15" x14ac:dyDescent="0.25"/>
  <cols>
    <col min="1" max="1" width="1.7109375" customWidth="1"/>
    <col min="2" max="10" width="24.5703125" customWidth="1"/>
  </cols>
  <sheetData>
    <row r="1" spans="2:10" ht="63" customHeight="1" x14ac:dyDescent="0.25"/>
    <row r="3" spans="2:10" x14ac:dyDescent="0.25">
      <c r="B3" s="20" t="s">
        <v>69</v>
      </c>
      <c r="C3" s="21" t="s">
        <v>70</v>
      </c>
      <c r="D3" s="21" t="s">
        <v>0</v>
      </c>
      <c r="E3" s="21" t="s">
        <v>73</v>
      </c>
      <c r="F3" s="21" t="s">
        <v>3</v>
      </c>
      <c r="G3" s="21" t="s">
        <v>71</v>
      </c>
      <c r="H3" s="21" t="s">
        <v>44</v>
      </c>
      <c r="I3" s="26" t="s">
        <v>72</v>
      </c>
      <c r="J3" s="27" t="s">
        <v>74</v>
      </c>
    </row>
    <row r="4" spans="2:10" x14ac:dyDescent="0.25">
      <c r="B4" s="5">
        <v>44811.195428240739</v>
      </c>
      <c r="C4" s="2">
        <v>1</v>
      </c>
      <c r="D4" s="2">
        <v>3</v>
      </c>
      <c r="E4" s="2" t="s">
        <v>9</v>
      </c>
      <c r="F4" s="23">
        <v>4500</v>
      </c>
      <c r="G4" s="2">
        <v>4</v>
      </c>
      <c r="H4" s="2">
        <v>1</v>
      </c>
      <c r="I4" s="22">
        <v>0.1</v>
      </c>
      <c r="J4" s="7">
        <v>18000</v>
      </c>
    </row>
    <row r="5" spans="2:10" x14ac:dyDescent="0.25">
      <c r="B5" s="5">
        <v>44811.195601851854</v>
      </c>
      <c r="C5" s="2">
        <v>1</v>
      </c>
      <c r="D5" s="2">
        <v>6</v>
      </c>
      <c r="E5" s="2" t="s">
        <v>12</v>
      </c>
      <c r="F5" s="23">
        <v>5000</v>
      </c>
      <c r="G5" s="2">
        <v>5</v>
      </c>
      <c r="H5" s="2">
        <v>1</v>
      </c>
      <c r="I5" s="22">
        <v>0.1</v>
      </c>
      <c r="J5" s="7">
        <v>25000</v>
      </c>
    </row>
    <row r="6" spans="2:10" x14ac:dyDescent="0.25">
      <c r="B6" s="5">
        <v>44811.19798611111</v>
      </c>
      <c r="C6" s="2">
        <v>2</v>
      </c>
      <c r="D6" s="2">
        <v>4</v>
      </c>
      <c r="E6" s="2" t="s">
        <v>10</v>
      </c>
      <c r="F6" s="23">
        <v>5000</v>
      </c>
      <c r="G6" s="2">
        <v>5</v>
      </c>
      <c r="H6" s="2">
        <v>2</v>
      </c>
      <c r="I6" s="22">
        <v>0.15</v>
      </c>
      <c r="J6" s="7">
        <v>25000</v>
      </c>
    </row>
    <row r="7" spans="2:10" x14ac:dyDescent="0.25">
      <c r="B7" s="5">
        <v>44811.198194444441</v>
      </c>
      <c r="C7" s="2">
        <v>2</v>
      </c>
      <c r="D7" s="2">
        <v>6</v>
      </c>
      <c r="E7" s="2" t="s">
        <v>12</v>
      </c>
      <c r="F7" s="23">
        <v>5000</v>
      </c>
      <c r="G7" s="2">
        <v>5</v>
      </c>
      <c r="H7" s="2">
        <v>2</v>
      </c>
      <c r="I7" s="22">
        <v>0.15</v>
      </c>
      <c r="J7" s="7">
        <v>25000</v>
      </c>
    </row>
    <row r="8" spans="2:10" x14ac:dyDescent="0.25">
      <c r="B8" s="5">
        <v>44779.206770833334</v>
      </c>
      <c r="C8" s="2">
        <v>3</v>
      </c>
      <c r="D8" s="2">
        <v>5</v>
      </c>
      <c r="E8" s="2" t="s">
        <v>11</v>
      </c>
      <c r="F8" s="23">
        <v>6000</v>
      </c>
      <c r="G8" s="2">
        <v>8</v>
      </c>
      <c r="H8" s="2">
        <v>3</v>
      </c>
      <c r="I8" s="22">
        <v>0.15</v>
      </c>
      <c r="J8" s="7">
        <v>48000</v>
      </c>
    </row>
    <row r="9" spans="2:10" x14ac:dyDescent="0.25">
      <c r="B9" s="5">
        <v>44779.207291666666</v>
      </c>
      <c r="C9" s="2">
        <v>3</v>
      </c>
      <c r="D9" s="2">
        <v>13</v>
      </c>
      <c r="E9" s="2" t="s">
        <v>19</v>
      </c>
      <c r="F9" s="23">
        <v>2500</v>
      </c>
      <c r="G9" s="2">
        <v>8</v>
      </c>
      <c r="H9" s="2">
        <v>3</v>
      </c>
      <c r="I9" s="22">
        <v>0.15</v>
      </c>
      <c r="J9" s="7">
        <v>20000</v>
      </c>
    </row>
    <row r="10" spans="2:10" x14ac:dyDescent="0.25">
      <c r="B10" s="5">
        <v>44775.208298611113</v>
      </c>
      <c r="C10" s="2">
        <v>4</v>
      </c>
      <c r="D10" s="2">
        <v>14</v>
      </c>
      <c r="E10" s="2" t="s">
        <v>20</v>
      </c>
      <c r="F10" s="23">
        <v>5500</v>
      </c>
      <c r="G10" s="2">
        <v>8</v>
      </c>
      <c r="H10" s="2">
        <v>4</v>
      </c>
      <c r="I10" s="22">
        <v>0.15</v>
      </c>
      <c r="J10" s="7">
        <v>44000</v>
      </c>
    </row>
    <row r="11" spans="2:10" x14ac:dyDescent="0.25">
      <c r="B11" s="5">
        <v>44775.208703703705</v>
      </c>
      <c r="C11" s="2">
        <v>4</v>
      </c>
      <c r="D11" s="2">
        <v>21</v>
      </c>
      <c r="E11" s="2" t="s">
        <v>28</v>
      </c>
      <c r="F11" s="23">
        <v>4750</v>
      </c>
      <c r="G11" s="2">
        <v>8</v>
      </c>
      <c r="H11" s="2">
        <v>4</v>
      </c>
      <c r="I11" s="22">
        <v>0.15</v>
      </c>
      <c r="J11" s="7">
        <v>38000</v>
      </c>
    </row>
    <row r="12" spans="2:10" x14ac:dyDescent="0.25">
      <c r="B12" s="5">
        <v>44812.848530092589</v>
      </c>
      <c r="C12" s="2">
        <v>5</v>
      </c>
      <c r="D12" s="2">
        <v>2</v>
      </c>
      <c r="E12" s="2" t="s">
        <v>8</v>
      </c>
      <c r="F12" s="23">
        <v>1000</v>
      </c>
      <c r="G12" s="2">
        <v>5</v>
      </c>
      <c r="H12" s="2">
        <v>2</v>
      </c>
      <c r="I12" s="22">
        <v>0.15</v>
      </c>
      <c r="J12" s="7">
        <v>5000</v>
      </c>
    </row>
    <row r="13" spans="2:10" x14ac:dyDescent="0.25">
      <c r="B13" s="5">
        <v>44814.071342592593</v>
      </c>
      <c r="C13" s="2">
        <v>6</v>
      </c>
      <c r="D13" s="2">
        <v>2</v>
      </c>
      <c r="E13" s="2" t="s">
        <v>8</v>
      </c>
      <c r="F13" s="23">
        <v>1000</v>
      </c>
      <c r="G13" s="2">
        <v>5</v>
      </c>
      <c r="H13" s="2">
        <v>2</v>
      </c>
      <c r="I13" s="22">
        <v>0.15</v>
      </c>
      <c r="J13" s="7">
        <v>5000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1:S26"/>
  <sheetViews>
    <sheetView showGridLines="0" workbookViewId="0"/>
  </sheetViews>
  <sheetFormatPr baseColWidth="10" defaultRowHeight="15" x14ac:dyDescent="0.25"/>
  <cols>
    <col min="1" max="1" width="1.7109375" customWidth="1"/>
    <col min="2" max="2" width="13" customWidth="1"/>
    <col min="3" max="3" width="14.85546875" bestFit="1" customWidth="1"/>
    <col min="5" max="5" width="18.140625" customWidth="1"/>
    <col min="11" max="17" width="22.140625" style="2" customWidth="1"/>
    <col min="18" max="18" width="15.140625" style="24" customWidth="1"/>
    <col min="19" max="19" width="17.28515625" customWidth="1"/>
  </cols>
  <sheetData>
    <row r="1" spans="2:19" ht="63" customHeight="1" x14ac:dyDescent="0.25"/>
    <row r="2" spans="2:19" ht="15.75" thickBot="1" x14ac:dyDescent="0.3"/>
    <row r="3" spans="2:19" ht="15.75" customHeight="1" thickBot="1" x14ac:dyDescent="0.3">
      <c r="B3" s="17" t="s">
        <v>62</v>
      </c>
      <c r="C3" s="18">
        <v>1</v>
      </c>
      <c r="E3" t="s">
        <v>63</v>
      </c>
      <c r="F3" s="100" t="str">
        <f>IFERROR(INDEX(Clients!Q4:Q8,MATCH(Panier!C5,Clients!B4:B8,0)),"")</f>
        <v/>
      </c>
      <c r="G3" s="101"/>
      <c r="H3" s="101"/>
      <c r="I3" s="102"/>
    </row>
    <row r="4" spans="2:19" ht="15.75" customHeight="1" thickBot="1" x14ac:dyDescent="0.3">
      <c r="C4" s="6"/>
      <c r="F4" s="103"/>
      <c r="G4" s="104"/>
      <c r="H4" s="104"/>
      <c r="I4" s="105"/>
    </row>
    <row r="5" spans="2:19" ht="15" customHeight="1" x14ac:dyDescent="0.25">
      <c r="B5" s="11" t="s">
        <v>60</v>
      </c>
      <c r="C5" s="66"/>
      <c r="F5" s="103"/>
      <c r="G5" s="104"/>
      <c r="H5" s="104"/>
      <c r="I5" s="105"/>
    </row>
    <row r="6" spans="2:19" ht="15.75" customHeight="1" thickBot="1" x14ac:dyDescent="0.3">
      <c r="B6" s="12" t="s">
        <v>61</v>
      </c>
      <c r="C6" s="16">
        <v>0.15</v>
      </c>
      <c r="F6" s="103"/>
      <c r="G6" s="104"/>
      <c r="H6" s="104"/>
      <c r="I6" s="105"/>
      <c r="K6" s="19" t="s">
        <v>69</v>
      </c>
      <c r="L6" s="19" t="s">
        <v>70</v>
      </c>
      <c r="M6" s="19" t="s">
        <v>0</v>
      </c>
      <c r="N6" s="19" t="s">
        <v>73</v>
      </c>
      <c r="O6" s="19" t="s">
        <v>3</v>
      </c>
      <c r="P6" s="19" t="s">
        <v>71</v>
      </c>
      <c r="Q6" s="19" t="s">
        <v>44</v>
      </c>
      <c r="R6" s="25" t="s">
        <v>72</v>
      </c>
      <c r="S6" s="19" t="s">
        <v>74</v>
      </c>
    </row>
    <row r="7" spans="2:19" ht="15" customHeight="1" x14ac:dyDescent="0.25">
      <c r="F7" s="103"/>
      <c r="G7" s="104"/>
      <c r="H7" s="104"/>
      <c r="I7" s="105"/>
      <c r="K7" s="5"/>
      <c r="O7" s="23"/>
      <c r="R7" s="22"/>
      <c r="S7" s="7"/>
    </row>
    <row r="8" spans="2:19" ht="15" customHeight="1" x14ac:dyDescent="0.25">
      <c r="F8" s="103"/>
      <c r="G8" s="104"/>
      <c r="H8" s="104"/>
      <c r="I8" s="105"/>
    </row>
    <row r="9" spans="2:19" ht="15" customHeight="1" thickBot="1" x14ac:dyDescent="0.3">
      <c r="F9" s="106"/>
      <c r="G9" s="107"/>
      <c r="H9" s="107"/>
      <c r="I9" s="108"/>
    </row>
    <row r="10" spans="2:19" ht="15" customHeight="1" x14ac:dyDescent="0.35">
      <c r="F10" s="29"/>
      <c r="G10" s="29"/>
      <c r="H10" s="29"/>
      <c r="I10" s="29"/>
    </row>
    <row r="12" spans="2:19" ht="15.75" thickBot="1" x14ac:dyDescent="0.3"/>
    <row r="13" spans="2:19" ht="15.75" thickBot="1" x14ac:dyDescent="0.3">
      <c r="B13" s="11" t="s">
        <v>64</v>
      </c>
      <c r="C13" s="67"/>
      <c r="D13" s="14" t="s">
        <v>66</v>
      </c>
      <c r="E13" s="9">
        <f>IFERROR(INDEX(Tableau1[Nom],MATCH(Panier!C13,Tableau1[Nr.Article],0)),"")</f>
        <v>0</v>
      </c>
      <c r="F13" s="15" t="s">
        <v>67</v>
      </c>
      <c r="G13" s="68"/>
    </row>
    <row r="14" spans="2:19" ht="15.75" thickBot="1" x14ac:dyDescent="0.3">
      <c r="B14" s="12" t="s">
        <v>65</v>
      </c>
      <c r="C14" s="8">
        <f>IFERROR(INDEX(Tableau1[Prix],MATCH(Panier!C13,Tableau1[Nr.Article],0)),"")</f>
        <v>0</v>
      </c>
      <c r="D14" s="13" t="s">
        <v>68</v>
      </c>
      <c r="E14" s="10">
        <f>IFERROR(INDEX(Tableau1[Stock],MATCH(Panier!C13,Tableau1[Nr.Article],0)),"")</f>
        <v>0</v>
      </c>
    </row>
    <row r="16" spans="2:19" ht="15.75" thickBot="1" x14ac:dyDescent="0.3"/>
    <row r="17" spans="2:8" x14ac:dyDescent="0.25">
      <c r="B17" s="82"/>
      <c r="C17" s="88"/>
      <c r="D17" s="88"/>
      <c r="E17" s="83"/>
      <c r="F17" s="91">
        <f>IFERROR(INDEX(Article!D4:D40,MATCH(Panier!C13,Article!B4:B40,0)),"")</f>
        <v>0</v>
      </c>
      <c r="G17" s="92"/>
      <c r="H17" s="93"/>
    </row>
    <row r="18" spans="2:8" x14ac:dyDescent="0.25">
      <c r="B18" s="84"/>
      <c r="C18" s="89"/>
      <c r="D18" s="89"/>
      <c r="E18" s="85"/>
      <c r="F18" s="94"/>
      <c r="G18" s="95"/>
      <c r="H18" s="96"/>
    </row>
    <row r="19" spans="2:8" x14ac:dyDescent="0.25">
      <c r="B19" s="84"/>
      <c r="C19" s="89"/>
      <c r="D19" s="89"/>
      <c r="E19" s="85"/>
      <c r="F19" s="94"/>
      <c r="G19" s="95"/>
      <c r="H19" s="96"/>
    </row>
    <row r="20" spans="2:8" x14ac:dyDescent="0.25">
      <c r="B20" s="84"/>
      <c r="C20" s="89"/>
      <c r="D20" s="89"/>
      <c r="E20" s="85"/>
      <c r="F20" s="94"/>
      <c r="G20" s="95"/>
      <c r="H20" s="96"/>
    </row>
    <row r="21" spans="2:8" x14ac:dyDescent="0.25">
      <c r="B21" s="84"/>
      <c r="C21" s="89"/>
      <c r="D21" s="89"/>
      <c r="E21" s="85"/>
      <c r="F21" s="94"/>
      <c r="G21" s="95"/>
      <c r="H21" s="96"/>
    </row>
    <row r="22" spans="2:8" x14ac:dyDescent="0.25">
      <c r="B22" s="84"/>
      <c r="C22" s="89"/>
      <c r="D22" s="89"/>
      <c r="E22" s="85"/>
      <c r="F22" s="94"/>
      <c r="G22" s="95"/>
      <c r="H22" s="96"/>
    </row>
    <row r="23" spans="2:8" x14ac:dyDescent="0.25">
      <c r="B23" s="84"/>
      <c r="C23" s="89"/>
      <c r="D23" s="89"/>
      <c r="E23" s="85"/>
      <c r="F23" s="94"/>
      <c r="G23" s="95"/>
      <c r="H23" s="96"/>
    </row>
    <row r="24" spans="2:8" x14ac:dyDescent="0.25">
      <c r="B24" s="84"/>
      <c r="C24" s="89"/>
      <c r="D24" s="89"/>
      <c r="E24" s="85"/>
      <c r="F24" s="94"/>
      <c r="G24" s="95"/>
      <c r="H24" s="96"/>
    </row>
    <row r="25" spans="2:8" x14ac:dyDescent="0.25">
      <c r="B25" s="84"/>
      <c r="C25" s="89"/>
      <c r="D25" s="89"/>
      <c r="E25" s="85"/>
      <c r="F25" s="94"/>
      <c r="G25" s="95"/>
      <c r="H25" s="96"/>
    </row>
    <row r="26" spans="2:8" ht="15.75" thickBot="1" x14ac:dyDescent="0.3">
      <c r="B26" s="86"/>
      <c r="C26" s="90"/>
      <c r="D26" s="90"/>
      <c r="E26" s="87"/>
      <c r="F26" s="97"/>
      <c r="G26" s="98"/>
      <c r="H26" s="99"/>
    </row>
  </sheetData>
  <mergeCells count="3">
    <mergeCell ref="B17:E26"/>
    <mergeCell ref="F17:H26"/>
    <mergeCell ref="F3:I9"/>
  </mergeCells>
  <dataValidations count="2">
    <dataValidation type="list" allowBlank="1" showInputMessage="1" showErrorMessage="1" sqref="C5">
      <formula1>Nr_Client</formula1>
    </dataValidation>
    <dataValidation type="list" allowBlank="1" showInputMessage="1" showErrorMessage="1" sqref="C13">
      <formula1>Nr_Article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2" r:id="rId4" name="CommandButton2">
          <controlPr defaultSize="0" autoLine="0" r:id="rId5">
            <anchor moveWithCells="1">
              <from>
                <xdr:col>13</xdr:col>
                <xdr:colOff>1171575</xdr:colOff>
                <xdr:row>2</xdr:row>
                <xdr:rowOff>19050</xdr:rowOff>
              </from>
              <to>
                <xdr:col>14</xdr:col>
                <xdr:colOff>1066800</xdr:colOff>
                <xdr:row>4</xdr:row>
                <xdr:rowOff>28575</xdr:rowOff>
              </to>
            </anchor>
          </controlPr>
        </control>
      </mc:Choice>
      <mc:Fallback>
        <control shapeId="1062" r:id="rId4" name="CommandButton2"/>
      </mc:Fallback>
    </mc:AlternateContent>
    <mc:AlternateContent xmlns:mc="http://schemas.openxmlformats.org/markup-compatibility/2006">
      <mc:Choice Requires="x14">
        <control shapeId="1040" r:id="rId6" name="CommandButton1">
          <controlPr defaultSize="0" autoLine="0" r:id="rId7">
            <anchor moveWithCells="1">
              <from>
                <xdr:col>7</xdr:col>
                <xdr:colOff>28575</xdr:colOff>
                <xdr:row>11</xdr:row>
                <xdr:rowOff>95250</xdr:rowOff>
              </from>
              <to>
                <xdr:col>8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1040" r:id="rId6" name="CommandButton1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B1:Q8"/>
  <sheetViews>
    <sheetView showGridLines="0" workbookViewId="0">
      <selection activeCell="D10" sqref="D10"/>
    </sheetView>
  </sheetViews>
  <sheetFormatPr baseColWidth="10" defaultRowHeight="15" x14ac:dyDescent="0.25"/>
  <cols>
    <col min="1" max="1" width="1.7109375" customWidth="1"/>
    <col min="2" max="2" width="15.140625" style="2" customWidth="1"/>
    <col min="3" max="3" width="18.28515625" style="2" customWidth="1"/>
    <col min="4" max="4" width="28.28515625" style="2" customWidth="1"/>
    <col min="5" max="5" width="31.28515625" style="2" customWidth="1"/>
    <col min="6" max="6" width="23.140625" style="2" customWidth="1"/>
    <col min="7" max="7" width="15.140625" style="2" customWidth="1"/>
    <col min="8" max="8" width="19.140625" style="2" customWidth="1"/>
    <col min="9" max="9" width="5.5703125" style="2" customWidth="1"/>
    <col min="10" max="10" width="9.42578125" style="2" customWidth="1"/>
    <col min="11" max="11" width="10.7109375" customWidth="1"/>
    <col min="12" max="16" width="3.140625" customWidth="1"/>
    <col min="17" max="17" width="83" customWidth="1"/>
  </cols>
  <sheetData>
    <row r="1" spans="2:17" ht="63" customHeight="1" x14ac:dyDescent="0.25"/>
    <row r="3" spans="2:17" x14ac:dyDescent="0.25">
      <c r="B3" s="2" t="s">
        <v>44</v>
      </c>
      <c r="C3" s="2" t="s">
        <v>46</v>
      </c>
      <c r="D3" s="2" t="s">
        <v>140</v>
      </c>
      <c r="E3" s="2" t="s">
        <v>48</v>
      </c>
      <c r="F3" s="2" t="s">
        <v>112</v>
      </c>
      <c r="G3" s="2" t="s">
        <v>49</v>
      </c>
      <c r="H3" s="2" t="s">
        <v>50</v>
      </c>
      <c r="I3" s="2" t="s">
        <v>45</v>
      </c>
      <c r="J3" s="2" t="s">
        <v>104</v>
      </c>
      <c r="K3" s="2" t="s">
        <v>51</v>
      </c>
      <c r="L3" s="2" t="s">
        <v>52</v>
      </c>
      <c r="M3" s="2" t="s">
        <v>53</v>
      </c>
      <c r="N3" s="2" t="s">
        <v>54</v>
      </c>
      <c r="O3" s="2" t="s">
        <v>55</v>
      </c>
      <c r="P3" s="2" t="s">
        <v>56</v>
      </c>
      <c r="Q3" s="2" t="s">
        <v>57</v>
      </c>
    </row>
    <row r="4" spans="2:17" x14ac:dyDescent="0.25">
      <c r="B4" s="2">
        <v>1</v>
      </c>
      <c r="C4" s="2" t="s">
        <v>141</v>
      </c>
      <c r="D4" s="4" t="s">
        <v>58</v>
      </c>
      <c r="E4" s="2">
        <v>657007435</v>
      </c>
      <c r="F4" s="5" t="s">
        <v>138</v>
      </c>
      <c r="G4" s="2" t="s">
        <v>139</v>
      </c>
      <c r="H4" s="2" t="s">
        <v>59</v>
      </c>
      <c r="I4" s="2" t="s">
        <v>142</v>
      </c>
      <c r="J4" s="2">
        <f>COUNTIFS(Tableau5[Nr.Client],Tableau2[[#This Row],[Nr.Client]],Tableau5[Reste],0)</f>
        <v>0</v>
      </c>
      <c r="K4" s="2">
        <f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f>
        <v>0</v>
      </c>
      <c r="L4" s="2" t="str">
        <f>IF($K4&gt;=1,1,"")</f>
        <v/>
      </c>
      <c r="M4" s="2" t="str">
        <f>IF($K4&gt;=2,1,"")</f>
        <v/>
      </c>
      <c r="N4" s="2" t="str">
        <f>IF($K4&gt;=3,1,"")</f>
        <v/>
      </c>
      <c r="O4" s="2" t="str">
        <f>IF($K4&gt;=4,1,"")</f>
        <v/>
      </c>
      <c r="P4" s="2" t="str">
        <f>IF($K4&gt;=5,1,"")</f>
        <v/>
      </c>
      <c r="Q4" s="2" t="str">
        <f>CONCATENATE(Tableau2[Nom Complet],CHAR(10),Tableau2[Adresse Email],CHAR(10),Tableau2[Numero de Telephone],CHAR(10),Tableau2[Date de Naissance],CHAR(10),Tableau2[Genre],CHAR(10),Tableau2[Adresse])</f>
        <v>WilfredTonye
wilfredtonye003@gmail.com
657007435
30-jui-2003
Male
Cite des Palmiers</v>
      </c>
    </row>
    <row r="5" spans="2:17" x14ac:dyDescent="0.25">
      <c r="B5" s="2">
        <v>2</v>
      </c>
      <c r="D5" s="4"/>
      <c r="J5" s="28">
        <f>COUNTIFS(Tableau5[Nr.Client],Tableau2[[#This Row],[Nr.Client]],Tableau5[Reste],0)</f>
        <v>0</v>
      </c>
      <c r="K5" s="28">
        <f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f>
        <v>0</v>
      </c>
      <c r="L5" s="2" t="str">
        <f>IF($K5&gt;=1,1,"")</f>
        <v/>
      </c>
      <c r="M5" s="2" t="str">
        <f>IF($K5&gt;=2,1,"")</f>
        <v/>
      </c>
      <c r="N5" s="2" t="str">
        <f>IF($K5&gt;=3,1,"")</f>
        <v/>
      </c>
      <c r="O5" s="2" t="str">
        <f>IF($K5&gt;=4,1,"")</f>
        <v/>
      </c>
      <c r="P5" s="2" t="str">
        <f>IF($K5&gt;=5,1,"")</f>
        <v/>
      </c>
      <c r="Q5" s="2" t="str">
        <f>CONCATENATE(Tableau2[Nom Complet],CHAR(10),Tableau2[Adresse Email],CHAR(10),Tableau2[Numero de Telephone],CHAR(10),Tableau2[Date de Naissance],CHAR(10),Tableau2[Genre],CHAR(10),Tableau2[Adresse])</f>
        <v xml:space="preserve">
</v>
      </c>
    </row>
    <row r="6" spans="2:17" x14ac:dyDescent="0.25">
      <c r="B6" s="2">
        <v>3</v>
      </c>
      <c r="D6" s="4"/>
      <c r="J6" s="28">
        <f>COUNTIFS(Tableau5[Nr.Client],Tableau2[[#This Row],[Nr.Client]],Tableau5[Reste],0)</f>
        <v>0</v>
      </c>
      <c r="K6" s="28">
        <f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f>
        <v>0</v>
      </c>
      <c r="L6" s="2" t="str">
        <f>IF($K6&gt;=1,1,"")</f>
        <v/>
      </c>
      <c r="M6" s="2" t="str">
        <f>IF($K6&gt;=2,1,"")</f>
        <v/>
      </c>
      <c r="N6" s="2" t="str">
        <f>IF($K6&gt;=3,1,"")</f>
        <v/>
      </c>
      <c r="O6" s="2" t="str">
        <f>IF($K6&gt;=4,1,"")</f>
        <v/>
      </c>
      <c r="P6" s="2" t="str">
        <f>IF($K6&gt;=5,1,"")</f>
        <v/>
      </c>
      <c r="Q6" s="2" t="str">
        <f>CONCATENATE(Tableau2[Nom Complet],CHAR(10),Tableau2[Adresse Email],CHAR(10),Tableau2[Numero de Telephone],CHAR(10),Tableau2[Date de Naissance],CHAR(10),Tableau2[Genre],CHAR(10),Tableau2[Adresse])</f>
        <v xml:space="preserve">
</v>
      </c>
    </row>
    <row r="7" spans="2:17" x14ac:dyDescent="0.25">
      <c r="B7" s="2">
        <v>4</v>
      </c>
      <c r="D7" s="4"/>
      <c r="J7" s="28">
        <f>COUNTIFS(Tableau5[Nr.Client],Tableau2[[#This Row],[Nr.Client]],Tableau5[Reste],0)</f>
        <v>0</v>
      </c>
      <c r="K7" s="28">
        <f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f>
        <v>0</v>
      </c>
      <c r="L7" s="2" t="str">
        <f>IF($K7&gt;=1,1,"")</f>
        <v/>
      </c>
      <c r="M7" s="2" t="str">
        <f>IF($K7&gt;=2,1,"")</f>
        <v/>
      </c>
      <c r="N7" s="2" t="str">
        <f>IF($K7&gt;=3,1,"")</f>
        <v/>
      </c>
      <c r="O7" s="2" t="str">
        <f>IF($K7&gt;=4,1,"")</f>
        <v/>
      </c>
      <c r="P7" s="2" t="str">
        <f>IF($K7&gt;=5,1,"")</f>
        <v/>
      </c>
      <c r="Q7" s="2" t="str">
        <f>CONCATENATE(Tableau2[Nom Complet],CHAR(10),Tableau2[Adresse Email],CHAR(10),Tableau2[Numero de Telephone],CHAR(10),Tableau2[Date de Naissance],CHAR(10),Tableau2[Genre],CHAR(10),Tableau2[Adresse])</f>
        <v xml:space="preserve">
</v>
      </c>
    </row>
    <row r="8" spans="2:17" x14ac:dyDescent="0.25">
      <c r="B8" s="2">
        <v>5</v>
      </c>
      <c r="D8" s="4"/>
      <c r="J8" s="28">
        <f>COUNTIFS(Tableau5[Nr.Client],Tableau2[[#This Row],[Nr.Client]],Tableau5[Reste],0)</f>
        <v>0</v>
      </c>
      <c r="K8" s="28">
        <f>IF(AND(Tableau2[[#This Row],[Niv]]&gt;=Fidelisation!$C$4,Tableau2[[#This Row],[Niv]]&lt;Fidelisation!$C$5),Fidelisation!$B$4,IF(AND(Tableau2[[#This Row],[Niv]]&gt;=Fidelisation!$C$5,Tableau2[[#This Row],[Niv]]&lt;Fidelisation!$C$6),Fidelisation!$B$5,IF(AND(Tableau2[[#This Row],[Niv]]&gt;=Fidelisation!$C$6,Tableau2[[#This Row],[Niv]]&lt;Fidelisation!$C$7),Fidelisation!$B$6,IF(AND(Tableau2[[#This Row],[Niv]]&gt;=Fidelisation!$C$7,Tableau2[[#This Row],[Niv]]&lt;Fidelisation!$C$8),Fidelisation!$B$7,IF(Tableau2[[#This Row],[Niv]]&gt;=Fidelisation!$C$8,Fidelisation!$B$8,0)))))</f>
        <v>0</v>
      </c>
      <c r="L8" s="2" t="str">
        <f>IF($K8&gt;=1,1,"")</f>
        <v/>
      </c>
      <c r="M8" s="2" t="str">
        <f>IF($K8&gt;=2,1,"")</f>
        <v/>
      </c>
      <c r="N8" s="2" t="str">
        <f>IF($K8&gt;=3,1,"")</f>
        <v/>
      </c>
      <c r="O8" s="2" t="str">
        <f>IF($K8&gt;=4,1,"")</f>
        <v/>
      </c>
      <c r="P8" s="2" t="str">
        <f>IF($K8&gt;=5,1,"")</f>
        <v/>
      </c>
      <c r="Q8" s="2" t="str">
        <f>CONCATENATE(Tableau2[Nom Complet],CHAR(10),Tableau2[Adresse Email],CHAR(10),Tableau2[Numero de Telephone],CHAR(10),Tableau2[Date de Naissance],CHAR(10),Tableau2[Genre],CHAR(10),Tableau2[Adresse])</f>
        <v xml:space="preserve">
</v>
      </c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10</xdr:col>
                <xdr:colOff>628650</xdr:colOff>
                <xdr:row>0</xdr:row>
                <xdr:rowOff>142875</xdr:rowOff>
              </from>
              <to>
                <xdr:col>16</xdr:col>
                <xdr:colOff>762000</xdr:colOff>
                <xdr:row>0</xdr:row>
                <xdr:rowOff>619125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E0149262-91CB-44D3-8BED-D410ECEC28D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L4:P8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40"/>
  <sheetViews>
    <sheetView showGridLines="0" workbookViewId="0"/>
  </sheetViews>
  <sheetFormatPr baseColWidth="10" defaultRowHeight="15.75" x14ac:dyDescent="0.25"/>
  <cols>
    <col min="1" max="1" width="1.7109375" customWidth="1"/>
    <col min="2" max="2" width="19.28515625" style="2" customWidth="1"/>
    <col min="3" max="3" width="29.42578125" style="2" customWidth="1"/>
    <col min="4" max="4" width="33" style="31" customWidth="1"/>
    <col min="5" max="5" width="23.140625" style="2" customWidth="1"/>
    <col min="6" max="6" width="19.28515625" style="2" hidden="1" customWidth="1"/>
    <col min="7" max="8" width="19.28515625" style="2" customWidth="1"/>
  </cols>
  <sheetData>
    <row r="1" spans="2:8" ht="63" customHeight="1" x14ac:dyDescent="0.25"/>
    <row r="3" spans="2:8" x14ac:dyDescent="0.25">
      <c r="B3" s="2" t="s">
        <v>0</v>
      </c>
      <c r="C3" s="2" t="s">
        <v>1</v>
      </c>
      <c r="D3" s="31" t="s">
        <v>2</v>
      </c>
      <c r="E3" s="2" t="s">
        <v>5</v>
      </c>
      <c r="F3" s="2" t="s">
        <v>6</v>
      </c>
      <c r="G3" s="2" t="s">
        <v>3</v>
      </c>
      <c r="H3" s="2" t="s">
        <v>4</v>
      </c>
    </row>
    <row r="4" spans="2:8" ht="84" customHeight="1" x14ac:dyDescent="0.25">
      <c r="B4" s="2">
        <v>1</v>
      </c>
      <c r="C4" s="2" t="s">
        <v>7</v>
      </c>
      <c r="D4" s="57" t="s">
        <v>83</v>
      </c>
      <c r="F4" s="2" t="str">
        <f>"Article!"&amp;ADDRESS(ROW(Tableau1[[#This Row],[image]]),COLUMN(Tableau1[[#This Row],[image]]))</f>
        <v>Article!$E$4</v>
      </c>
      <c r="G4" s="7">
        <v>4000</v>
      </c>
      <c r="H4" s="2">
        <f>SUMIF(Tableau8[Nr.Article],Tableau1[[#This Row],[Nr.Article]],Tableau8[Quantite])-SUMIF(Tableau4[Nr.Article],Tableau1[[#This Row],[Nr.Article]],Tableau4[Nombre])</f>
        <v>200</v>
      </c>
    </row>
    <row r="5" spans="2:8" ht="62.25" customHeight="1" x14ac:dyDescent="0.25">
      <c r="B5" s="2">
        <v>2</v>
      </c>
      <c r="C5" s="2" t="s">
        <v>8</v>
      </c>
      <c r="D5" s="57" t="s">
        <v>82</v>
      </c>
      <c r="F5" s="2" t="str">
        <f>"Article!"&amp;ADDRESS(ROW(Tableau1[[#This Row],[image]]),COLUMN(Tableau1[[#This Row],[image]]))</f>
        <v>Article!$E$5</v>
      </c>
      <c r="G5" s="7">
        <v>1000</v>
      </c>
      <c r="H5" s="2">
        <f>SUMIF(Tableau8[Nr.Article],Tableau1[[#This Row],[Nr.Article]],Tableau8[Quantite])-SUMIF(Tableau4[Nr.Article],Tableau1[[#This Row],[Nr.Article]],Tableau4[Nombre])</f>
        <v>190</v>
      </c>
    </row>
    <row r="6" spans="2:8" ht="84.75" customHeight="1" x14ac:dyDescent="0.25">
      <c r="B6" s="2">
        <v>3</v>
      </c>
      <c r="C6" s="2" t="s">
        <v>9</v>
      </c>
      <c r="D6" s="57" t="s">
        <v>83</v>
      </c>
      <c r="F6" s="2" t="str">
        <f>"Article!"&amp;ADDRESS(ROW(Tableau1[[#This Row],[image]]),COLUMN(Tableau1[[#This Row],[image]]))</f>
        <v>Article!$E$6</v>
      </c>
      <c r="G6" s="7">
        <v>4500</v>
      </c>
      <c r="H6" s="2">
        <f>SUMIF(Tableau8[Nr.Article],Tableau1[[#This Row],[Nr.Article]],Tableau8[Quantite])-SUMIF(Tableau4[Nr.Article],Tableau1[[#This Row],[Nr.Article]],Tableau4[Nombre])</f>
        <v>196</v>
      </c>
    </row>
    <row r="7" spans="2:8" ht="66" customHeight="1" x14ac:dyDescent="0.25">
      <c r="B7" s="2">
        <v>4</v>
      </c>
      <c r="C7" s="2" t="s">
        <v>10</v>
      </c>
      <c r="D7" s="57" t="s">
        <v>84</v>
      </c>
      <c r="F7" s="2" t="str">
        <f>"Article!"&amp;ADDRESS(ROW(Tableau1[[#This Row],[image]]),COLUMN(Tableau1[[#This Row],[image]]))</f>
        <v>Article!$E$7</v>
      </c>
      <c r="G7" s="7">
        <v>5000</v>
      </c>
      <c r="H7" s="2">
        <f>SUMIF(Tableau8[Nr.Article],Tableau1[[#This Row],[Nr.Article]],Tableau8[Quantite])-SUMIF(Tableau4[Nr.Article],Tableau1[[#This Row],[Nr.Article]],Tableau4[Nombre])</f>
        <v>195</v>
      </c>
    </row>
    <row r="8" spans="2:8" ht="69" customHeight="1" x14ac:dyDescent="0.25">
      <c r="B8" s="2">
        <v>5</v>
      </c>
      <c r="C8" s="2" t="s">
        <v>11</v>
      </c>
      <c r="D8" s="57" t="s">
        <v>85</v>
      </c>
      <c r="F8" s="2" t="str">
        <f>"Article!"&amp;ADDRESS(ROW(Tableau1[[#This Row],[image]]),COLUMN(Tableau1[[#This Row],[image]]))</f>
        <v>Article!$E$8</v>
      </c>
      <c r="G8" s="7">
        <v>6000</v>
      </c>
      <c r="H8" s="2">
        <f>SUMIF(Tableau8[Nr.Article],Tableau1[[#This Row],[Nr.Article]],Tableau8[Quantite])-SUMIF(Tableau4[Nr.Article],Tableau1[[#This Row],[Nr.Article]],Tableau4[Nombre])</f>
        <v>192</v>
      </c>
    </row>
    <row r="9" spans="2:8" ht="66.75" customHeight="1" x14ac:dyDescent="0.25">
      <c r="B9" s="2">
        <v>6</v>
      </c>
      <c r="C9" s="3" t="s">
        <v>12</v>
      </c>
      <c r="D9" s="57" t="s">
        <v>85</v>
      </c>
      <c r="F9" s="2" t="str">
        <f>"Article!"&amp;ADDRESS(ROW(Tableau1[[#This Row],[image]]),COLUMN(Tableau1[[#This Row],[image]]))</f>
        <v>Article!$E$9</v>
      </c>
      <c r="G9" s="7">
        <v>5000</v>
      </c>
      <c r="H9" s="2">
        <f>SUMIF(Tableau8[Nr.Article],Tableau1[[#This Row],[Nr.Article]],Tableau8[Quantite])-SUMIF(Tableau4[Nr.Article],Tableau1[[#This Row],[Nr.Article]],Tableau4[Nombre])</f>
        <v>-10</v>
      </c>
    </row>
    <row r="10" spans="2:8" ht="81.75" customHeight="1" x14ac:dyDescent="0.25">
      <c r="B10" s="2">
        <v>7</v>
      </c>
      <c r="C10" s="2" t="s">
        <v>13</v>
      </c>
      <c r="D10" s="57" t="s">
        <v>85</v>
      </c>
      <c r="F10" s="2" t="str">
        <f>"Article!"&amp;ADDRESS(ROW(Tableau1[[#This Row],[image]]),COLUMN(Tableau1[[#This Row],[image]]))</f>
        <v>Article!$E$10</v>
      </c>
      <c r="G10" s="7">
        <v>5500</v>
      </c>
      <c r="H10" s="2">
        <f>SUMIF(Tableau8[Nr.Article],Tableau1[[#This Row],[Nr.Article]],Tableau8[Quantite])-SUMIF(Tableau4[Nr.Article],Tableau1[[#This Row],[Nr.Article]],Tableau4[Nombre])</f>
        <v>0</v>
      </c>
    </row>
    <row r="11" spans="2:8" ht="78" customHeight="1" x14ac:dyDescent="0.25">
      <c r="B11" s="2">
        <v>8</v>
      </c>
      <c r="C11" s="2" t="s">
        <v>14</v>
      </c>
      <c r="D11" s="57" t="s">
        <v>85</v>
      </c>
      <c r="F11" s="2" t="str">
        <f>"Article!"&amp;ADDRESS(ROW(Tableau1[[#This Row],[image]]),COLUMN(Tableau1[[#This Row],[image]]))</f>
        <v>Article!$E$11</v>
      </c>
      <c r="G11" s="7">
        <v>1000</v>
      </c>
      <c r="H11" s="2">
        <f>SUMIF(Tableau8[Nr.Article],Tableau1[[#This Row],[Nr.Article]],Tableau8[Quantite])-SUMIF(Tableau4[Nr.Article],Tableau1[[#This Row],[Nr.Article]],Tableau4[Nombre])</f>
        <v>0</v>
      </c>
    </row>
    <row r="12" spans="2:8" ht="86.25" customHeight="1" x14ac:dyDescent="0.25">
      <c r="B12" s="2">
        <v>9</v>
      </c>
      <c r="C12" s="2" t="s">
        <v>15</v>
      </c>
      <c r="D12" s="57" t="s">
        <v>86</v>
      </c>
      <c r="F12" s="2" t="str">
        <f>"Article!"&amp;ADDRESS(ROW(Tableau1[[#This Row],[image]]),COLUMN(Tableau1[[#This Row],[image]]))</f>
        <v>Article!$E$12</v>
      </c>
      <c r="G12" s="7">
        <v>2800</v>
      </c>
      <c r="H12" s="2">
        <f>SUMIF(Tableau8[Nr.Article],Tableau1[[#This Row],[Nr.Article]],Tableau8[Quantite])-SUMIF(Tableau4[Nr.Article],Tableau1[[#This Row],[Nr.Article]],Tableau4[Nombre])</f>
        <v>0</v>
      </c>
    </row>
    <row r="13" spans="2:8" ht="78" customHeight="1" x14ac:dyDescent="0.25">
      <c r="B13" s="2">
        <v>10</v>
      </c>
      <c r="C13" s="2" t="s">
        <v>16</v>
      </c>
      <c r="D13" s="57" t="s">
        <v>87</v>
      </c>
      <c r="F13" s="2" t="str">
        <f>"Article!"&amp;ADDRESS(ROW(Tableau1[[#This Row],[image]]),COLUMN(Tableau1[[#This Row],[image]]))</f>
        <v>Article!$E$13</v>
      </c>
      <c r="G13" s="7">
        <v>4500</v>
      </c>
      <c r="H13" s="2">
        <f>SUMIF(Tableau8[Nr.Article],Tableau1[[#This Row],[Nr.Article]],Tableau8[Quantite])-SUMIF(Tableau4[Nr.Article],Tableau1[[#This Row],[Nr.Article]],Tableau4[Nombre])</f>
        <v>0</v>
      </c>
    </row>
    <row r="14" spans="2:8" ht="74.25" customHeight="1" x14ac:dyDescent="0.25">
      <c r="B14" s="2">
        <v>11</v>
      </c>
      <c r="C14" s="2" t="s">
        <v>17</v>
      </c>
      <c r="D14" s="57" t="s">
        <v>88</v>
      </c>
      <c r="F14" s="2" t="str">
        <f>"Article!"&amp;ADDRESS(ROW(Tableau1[[#This Row],[image]]),COLUMN(Tableau1[[#This Row],[image]]))</f>
        <v>Article!$E$14</v>
      </c>
      <c r="G14" s="7">
        <v>4000</v>
      </c>
      <c r="H14" s="2">
        <f>SUMIF(Tableau8[Nr.Article],Tableau1[[#This Row],[Nr.Article]],Tableau8[Quantite])-SUMIF(Tableau4[Nr.Article],Tableau1[[#This Row],[Nr.Article]],Tableau4[Nombre])</f>
        <v>0</v>
      </c>
    </row>
    <row r="15" spans="2:8" ht="69" customHeight="1" x14ac:dyDescent="0.25">
      <c r="B15" s="2">
        <v>12</v>
      </c>
      <c r="C15" s="2" t="s">
        <v>18</v>
      </c>
      <c r="D15" s="57" t="s">
        <v>83</v>
      </c>
      <c r="F15" s="2" t="str">
        <f>"Article!"&amp;ADDRESS(ROW(Tableau1[[#This Row],[image]]),COLUMN(Tableau1[[#This Row],[image]]))</f>
        <v>Article!$E$15</v>
      </c>
      <c r="G15" s="7">
        <v>1500</v>
      </c>
      <c r="H15" s="2">
        <f>SUMIF(Tableau8[Nr.Article],Tableau1[[#This Row],[Nr.Article]],Tableau8[Quantite])-SUMIF(Tableau4[Nr.Article],Tableau1[[#This Row],[Nr.Article]],Tableau4[Nombre])</f>
        <v>0</v>
      </c>
    </row>
    <row r="16" spans="2:8" ht="75" customHeight="1" x14ac:dyDescent="0.25">
      <c r="B16" s="2">
        <v>13</v>
      </c>
      <c r="C16" s="2" t="s">
        <v>19</v>
      </c>
      <c r="D16" s="57" t="s">
        <v>89</v>
      </c>
      <c r="F16" s="2" t="str">
        <f>"Article!"&amp;ADDRESS(ROW(Tableau1[[#This Row],[image]]),COLUMN(Tableau1[[#This Row],[image]]))</f>
        <v>Article!$E$16</v>
      </c>
      <c r="G16" s="7">
        <v>2500</v>
      </c>
      <c r="H16" s="2">
        <f>SUMIF(Tableau8[Nr.Article],Tableau1[[#This Row],[Nr.Article]],Tableau8[Quantite])-SUMIF(Tableau4[Nr.Article],Tableau1[[#This Row],[Nr.Article]],Tableau4[Nombre])</f>
        <v>-8</v>
      </c>
    </row>
    <row r="17" spans="2:8" ht="78" customHeight="1" x14ac:dyDescent="0.25">
      <c r="B17" s="2">
        <v>14</v>
      </c>
      <c r="C17" s="2" t="s">
        <v>20</v>
      </c>
      <c r="D17" s="57" t="s">
        <v>97</v>
      </c>
      <c r="F17" s="2" t="str">
        <f>"Article!"&amp;ADDRESS(ROW(Tableau1[[#This Row],[image]]),COLUMN(Tableau1[[#This Row],[image]]))</f>
        <v>Article!$E$17</v>
      </c>
      <c r="G17" s="7">
        <v>5500</v>
      </c>
      <c r="H17" s="2">
        <f>SUMIF(Tableau8[Nr.Article],Tableau1[[#This Row],[Nr.Article]],Tableau8[Quantite])-SUMIF(Tableau4[Nr.Article],Tableau1[[#This Row],[Nr.Article]],Tableau4[Nombre])</f>
        <v>-8</v>
      </c>
    </row>
    <row r="18" spans="2:8" ht="99.75" customHeight="1" x14ac:dyDescent="0.25">
      <c r="B18" s="2">
        <v>15</v>
      </c>
      <c r="C18" s="2" t="s">
        <v>21</v>
      </c>
      <c r="D18" s="57" t="s">
        <v>97</v>
      </c>
      <c r="F18" s="2" t="str">
        <f>"Article!"&amp;ADDRESS(ROW(Tableau1[[#This Row],[image]]),COLUMN(Tableau1[[#This Row],[image]]))</f>
        <v>Article!$E$18</v>
      </c>
      <c r="G18" s="7">
        <v>4500</v>
      </c>
      <c r="H18" s="2">
        <f>SUMIF(Tableau8[Nr.Article],Tableau1[[#This Row],[Nr.Article]],Tableau8[Quantite])-SUMIF(Tableau4[Nr.Article],Tableau1[[#This Row],[Nr.Article]],Tableau4[Nombre])</f>
        <v>0</v>
      </c>
    </row>
    <row r="19" spans="2:8" ht="108" customHeight="1" x14ac:dyDescent="0.25">
      <c r="B19" s="2">
        <v>16</v>
      </c>
      <c r="C19" s="2" t="s">
        <v>23</v>
      </c>
      <c r="D19" s="57" t="s">
        <v>97</v>
      </c>
      <c r="F19" s="2" t="str">
        <f>"Article!"&amp;ADDRESS(ROW(Tableau1[[#This Row],[image]]),COLUMN(Tableau1[[#This Row],[image]]))</f>
        <v>Article!$E$19</v>
      </c>
      <c r="G19" s="7">
        <v>3500</v>
      </c>
      <c r="H19" s="2">
        <f>SUMIF(Tableau8[Nr.Article],Tableau1[[#This Row],[Nr.Article]],Tableau8[Quantite])-SUMIF(Tableau4[Nr.Article],Tableau1[[#This Row],[Nr.Article]],Tableau4[Nombre])</f>
        <v>0</v>
      </c>
    </row>
    <row r="20" spans="2:8" ht="88.5" customHeight="1" x14ac:dyDescent="0.25">
      <c r="B20" s="2">
        <v>17</v>
      </c>
      <c r="C20" s="2" t="s">
        <v>24</v>
      </c>
      <c r="D20" s="57" t="s">
        <v>95</v>
      </c>
      <c r="F20" s="2" t="str">
        <f>"Article!"&amp;ADDRESS(ROW(Tableau1[[#This Row],[image]]),COLUMN(Tableau1[[#This Row],[image]]))</f>
        <v>Article!$E$20</v>
      </c>
      <c r="G20" s="7">
        <v>1000</v>
      </c>
      <c r="H20" s="2">
        <f>SUMIF(Tableau8[Nr.Article],Tableau1[[#This Row],[Nr.Article]],Tableau8[Quantite])-SUMIF(Tableau4[Nr.Article],Tableau1[[#This Row],[Nr.Article]],Tableau4[Nombre])</f>
        <v>0</v>
      </c>
    </row>
    <row r="21" spans="2:8" ht="87" customHeight="1" x14ac:dyDescent="0.25">
      <c r="B21" s="2">
        <v>18</v>
      </c>
      <c r="C21" s="2" t="s">
        <v>25</v>
      </c>
      <c r="D21" s="57" t="s">
        <v>94</v>
      </c>
      <c r="F21" s="2" t="str">
        <f>"Article!"&amp;ADDRESS(ROW(Tableau1[[#This Row],[image]]),COLUMN(Tableau1[[#This Row],[image]]))</f>
        <v>Article!$E$21</v>
      </c>
      <c r="G21" s="7">
        <v>1200</v>
      </c>
      <c r="H21" s="2">
        <f>SUMIF(Tableau8[Nr.Article],Tableau1[[#This Row],[Nr.Article]],Tableau8[Quantite])-SUMIF(Tableau4[Nr.Article],Tableau1[[#This Row],[Nr.Article]],Tableau4[Nombre])</f>
        <v>0</v>
      </c>
    </row>
    <row r="22" spans="2:8" ht="72" customHeight="1" x14ac:dyDescent="0.25">
      <c r="B22" s="2">
        <v>19</v>
      </c>
      <c r="C22" s="2" t="s">
        <v>26</v>
      </c>
      <c r="D22" s="71" t="s">
        <v>98</v>
      </c>
      <c r="F22" s="2" t="str">
        <f>"Article!"&amp;ADDRESS(ROW(Tableau1[[#This Row],[image]]),COLUMN(Tableau1[[#This Row],[image]]))</f>
        <v>Article!$E$22</v>
      </c>
      <c r="G22" s="7">
        <v>5000</v>
      </c>
      <c r="H22" s="2">
        <f>SUMIF(Tableau8[Nr.Article],Tableau1[[#This Row],[Nr.Article]],Tableau8[Quantite])-SUMIF(Tableau4[Nr.Article],Tableau1[[#This Row],[Nr.Article]],Tableau4[Nombre])</f>
        <v>0</v>
      </c>
    </row>
    <row r="23" spans="2:8" ht="70.5" customHeight="1" x14ac:dyDescent="0.25">
      <c r="B23" s="2">
        <v>20</v>
      </c>
      <c r="C23" s="2" t="s">
        <v>27</v>
      </c>
      <c r="D23" s="57" t="s">
        <v>93</v>
      </c>
      <c r="F23" s="2" t="str">
        <f>"Article!"&amp;ADDRESS(ROW(Tableau1[[#This Row],[image]]),COLUMN(Tableau1[[#This Row],[image]]))</f>
        <v>Article!$E$23</v>
      </c>
      <c r="G23" s="7">
        <v>3750</v>
      </c>
      <c r="H23" s="2">
        <f>SUMIF(Tableau8[Nr.Article],Tableau1[[#This Row],[Nr.Article]],Tableau8[Quantite])-SUMIF(Tableau4[Nr.Article],Tableau1[[#This Row],[Nr.Article]],Tableau4[Nombre])</f>
        <v>0</v>
      </c>
    </row>
    <row r="24" spans="2:8" ht="73.5" customHeight="1" x14ac:dyDescent="0.25">
      <c r="B24" s="2">
        <v>21</v>
      </c>
      <c r="C24" s="2" t="s">
        <v>28</v>
      </c>
      <c r="D24" s="57" t="s">
        <v>93</v>
      </c>
      <c r="F24" s="2" t="str">
        <f>"Article!"&amp;ADDRESS(ROW(Tableau1[[#This Row],[image]]),COLUMN(Tableau1[[#This Row],[image]]))</f>
        <v>Article!$E$24</v>
      </c>
      <c r="G24" s="7">
        <v>4750</v>
      </c>
      <c r="H24" s="2">
        <f>SUMIF(Tableau8[Nr.Article],Tableau1[[#This Row],[Nr.Article]],Tableau8[Quantite])-SUMIF(Tableau4[Nr.Article],Tableau1[[#This Row],[Nr.Article]],Tableau4[Nombre])</f>
        <v>-8</v>
      </c>
    </row>
    <row r="25" spans="2:8" ht="73.5" customHeight="1" x14ac:dyDescent="0.25">
      <c r="B25" s="2">
        <v>22</v>
      </c>
      <c r="C25" s="2" t="s">
        <v>29</v>
      </c>
      <c r="D25" s="57" t="s">
        <v>90</v>
      </c>
      <c r="F25" s="2" t="str">
        <f>"Article!"&amp;ADDRESS(ROW(Tableau1[[#This Row],[image]]),COLUMN(Tableau1[[#This Row],[image]]))</f>
        <v>Article!$E$25</v>
      </c>
      <c r="G25" s="7">
        <v>5000</v>
      </c>
      <c r="H25" s="2">
        <f>SUMIF(Tableau8[Nr.Article],Tableau1[[#This Row],[Nr.Article]],Tableau8[Quantite])-SUMIF(Tableau4[Nr.Article],Tableau1[[#This Row],[Nr.Article]],Tableau4[Nombre])</f>
        <v>0</v>
      </c>
    </row>
    <row r="26" spans="2:8" ht="63" customHeight="1" x14ac:dyDescent="0.25">
      <c r="B26" s="2">
        <v>23</v>
      </c>
      <c r="C26" s="2" t="s">
        <v>30</v>
      </c>
      <c r="D26" s="57" t="s">
        <v>91</v>
      </c>
      <c r="F26" s="2" t="str">
        <f>"Article!"&amp;ADDRESS(ROW(Tableau1[[#This Row],[image]]),COLUMN(Tableau1[[#This Row],[image]]))</f>
        <v>Article!$E$26</v>
      </c>
      <c r="G26" s="7">
        <v>10000</v>
      </c>
      <c r="H26" s="2">
        <f>SUMIF(Tableau8[Nr.Article],Tableau1[[#This Row],[Nr.Article]],Tableau8[Quantite])-SUMIF(Tableau4[Nr.Article],Tableau1[[#This Row],[Nr.Article]],Tableau4[Nombre])</f>
        <v>0</v>
      </c>
    </row>
    <row r="27" spans="2:8" ht="83.25" customHeight="1" x14ac:dyDescent="0.25">
      <c r="B27" s="2">
        <v>24</v>
      </c>
      <c r="C27" s="2" t="s">
        <v>31</v>
      </c>
      <c r="D27" s="71" t="s">
        <v>99</v>
      </c>
      <c r="F27" s="2" t="str">
        <f>"Article!"&amp;ADDRESS(ROW(Tableau1[[#This Row],[image]]),COLUMN(Tableau1[[#This Row],[image]]))</f>
        <v>Article!$E$27</v>
      </c>
      <c r="G27" s="7">
        <v>3000</v>
      </c>
      <c r="H27" s="2">
        <f>SUMIF(Tableau8[Nr.Article],Tableau1[[#This Row],[Nr.Article]],Tableau8[Quantite])-SUMIF(Tableau4[Nr.Article],Tableau1[[#This Row],[Nr.Article]],Tableau4[Nombre])</f>
        <v>0</v>
      </c>
    </row>
    <row r="28" spans="2:8" ht="76.5" customHeight="1" x14ac:dyDescent="0.25">
      <c r="B28" s="2">
        <v>25</v>
      </c>
      <c r="C28" s="2" t="s">
        <v>32</v>
      </c>
      <c r="D28" s="57" t="s">
        <v>83</v>
      </c>
      <c r="F28" s="2" t="str">
        <f>"Article!"&amp;ADDRESS(ROW(Tableau1[[#This Row],[image]]),COLUMN(Tableau1[[#This Row],[image]]))</f>
        <v>Article!$E$28</v>
      </c>
      <c r="G28" s="7">
        <v>2500</v>
      </c>
      <c r="H28" s="2">
        <f>SUMIF(Tableau8[Nr.Article],Tableau1[[#This Row],[Nr.Article]],Tableau8[Quantite])-SUMIF(Tableau4[Nr.Article],Tableau1[[#This Row],[Nr.Article]],Tableau4[Nombre])</f>
        <v>0</v>
      </c>
    </row>
    <row r="29" spans="2:8" ht="69.75" customHeight="1" x14ac:dyDescent="0.25">
      <c r="B29" s="2">
        <v>26</v>
      </c>
      <c r="C29" s="2" t="s">
        <v>33</v>
      </c>
      <c r="D29" s="57" t="s">
        <v>92</v>
      </c>
      <c r="F29" s="2" t="str">
        <f>"Article!"&amp;ADDRESS(ROW(Tableau1[[#This Row],[image]]),COLUMN(Tableau1[[#This Row],[image]]))</f>
        <v>Article!$E$29</v>
      </c>
      <c r="G29" s="7">
        <v>2000</v>
      </c>
      <c r="H29" s="2">
        <f>SUMIF(Tableau8[Nr.Article],Tableau1[[#This Row],[Nr.Article]],Tableau8[Quantite])-SUMIF(Tableau4[Nr.Article],Tableau1[[#This Row],[Nr.Article]],Tableau4[Nombre])</f>
        <v>0</v>
      </c>
    </row>
    <row r="30" spans="2:8" ht="82.5" customHeight="1" x14ac:dyDescent="0.25">
      <c r="B30" s="2">
        <v>27</v>
      </c>
      <c r="C30" s="2" t="s">
        <v>34</v>
      </c>
      <c r="D30" s="57" t="s">
        <v>96</v>
      </c>
      <c r="F30" s="2" t="str">
        <f>"Article!"&amp;ADDRESS(ROW(Tableau1[[#This Row],[image]]),COLUMN(Tableau1[[#This Row],[image]]))</f>
        <v>Article!$E$30</v>
      </c>
      <c r="G30" s="7">
        <v>3000</v>
      </c>
      <c r="H30" s="2">
        <f>SUMIF(Tableau8[Nr.Article],Tableau1[[#This Row],[Nr.Article]],Tableau8[Quantite])-SUMIF(Tableau4[Nr.Article],Tableau1[[#This Row],[Nr.Article]],Tableau4[Nombre])</f>
        <v>0</v>
      </c>
    </row>
    <row r="31" spans="2:8" ht="76.5" customHeight="1" x14ac:dyDescent="0.25">
      <c r="B31" s="2">
        <v>28</v>
      </c>
      <c r="C31" s="2" t="s">
        <v>35</v>
      </c>
      <c r="D31" s="57" t="s">
        <v>83</v>
      </c>
      <c r="F31" s="2" t="str">
        <f>"Article!"&amp;ADDRESS(ROW(Tableau1[[#This Row],[image]]),COLUMN(Tableau1[[#This Row],[image]]))</f>
        <v>Article!$E$31</v>
      </c>
      <c r="G31" s="7">
        <v>3500</v>
      </c>
      <c r="H31" s="2">
        <f>SUMIF(Tableau8[Nr.Article],Tableau1[[#This Row],[Nr.Article]],Tableau8[Quantite])-SUMIF(Tableau4[Nr.Article],Tableau1[[#This Row],[Nr.Article]],Tableau4[Nombre])</f>
        <v>0</v>
      </c>
    </row>
    <row r="32" spans="2:8" ht="72" customHeight="1" x14ac:dyDescent="0.25">
      <c r="B32" s="2">
        <v>29</v>
      </c>
      <c r="C32" s="2" t="s">
        <v>36</v>
      </c>
      <c r="F32" s="2" t="str">
        <f>"Article!"&amp;ADDRESS(ROW(Tableau1[[#This Row],[image]]),COLUMN(Tableau1[[#This Row],[image]]))</f>
        <v>Article!$E$32</v>
      </c>
      <c r="G32" s="7">
        <v>2500</v>
      </c>
      <c r="H32" s="2">
        <f>SUMIF(Tableau8[Nr.Article],Tableau1[[#This Row],[Nr.Article]],Tableau8[Quantite])-SUMIF(Tableau4[Nr.Article],Tableau1[[#This Row],[Nr.Article]],Tableau4[Nombre])</f>
        <v>0</v>
      </c>
    </row>
    <row r="33" spans="1:8" ht="75" customHeight="1" x14ac:dyDescent="0.25">
      <c r="B33" s="2">
        <v>30</v>
      </c>
      <c r="C33" s="2" t="s">
        <v>37</v>
      </c>
      <c r="F33" s="2" t="str">
        <f>"Article!"&amp;ADDRESS(ROW(Tableau1[[#This Row],[image]]),COLUMN(Tableau1[[#This Row],[image]]))</f>
        <v>Article!$E$33</v>
      </c>
      <c r="G33" s="7">
        <v>1000</v>
      </c>
      <c r="H33" s="2">
        <f>SUMIF(Tableau8[Nr.Article],Tableau1[[#This Row],[Nr.Article]],Tableau8[Quantite])-SUMIF(Tableau4[Nr.Article],Tableau1[[#This Row],[Nr.Article]],Tableau4[Nombre])</f>
        <v>0</v>
      </c>
    </row>
    <row r="34" spans="1:8" ht="69.75" customHeight="1" x14ac:dyDescent="0.25">
      <c r="B34" s="2">
        <v>31</v>
      </c>
      <c r="C34" s="2" t="s">
        <v>38</v>
      </c>
      <c r="F34" s="2" t="str">
        <f>"Article!"&amp;ADDRESS(ROW(Tableau1[[#This Row],[image]]),COLUMN(Tableau1[[#This Row],[image]]))</f>
        <v>Article!$E$34</v>
      </c>
      <c r="G34" s="7">
        <v>1500</v>
      </c>
      <c r="H34" s="2">
        <f>SUMIF(Tableau8[Nr.Article],Tableau1[[#This Row],[Nr.Article]],Tableau8[Quantite])-SUMIF(Tableau4[Nr.Article],Tableau1[[#This Row],[Nr.Article]],Tableau4[Nombre])</f>
        <v>0</v>
      </c>
    </row>
    <row r="35" spans="1:8" ht="87" customHeight="1" x14ac:dyDescent="0.25">
      <c r="B35" s="2">
        <v>32</v>
      </c>
      <c r="C35" s="2" t="s">
        <v>39</v>
      </c>
      <c r="F35" s="2" t="str">
        <f>"Article!"&amp;ADDRESS(ROW(Tableau1[[#This Row],[image]]),COLUMN(Tableau1[[#This Row],[image]]))</f>
        <v>Article!$E$35</v>
      </c>
      <c r="G35" s="7">
        <v>1000</v>
      </c>
      <c r="H35" s="2">
        <f>SUMIF(Tableau8[Nr.Article],Tableau1[[#This Row],[Nr.Article]],Tableau8[Quantite])-SUMIF(Tableau4[Nr.Article],Tableau1[[#This Row],[Nr.Article]],Tableau4[Nombre])</f>
        <v>0</v>
      </c>
    </row>
    <row r="36" spans="1:8" ht="87" customHeight="1" x14ac:dyDescent="0.25">
      <c r="A36" t="s">
        <v>22</v>
      </c>
      <c r="B36" s="2">
        <v>33</v>
      </c>
      <c r="C36" s="2" t="s">
        <v>40</v>
      </c>
      <c r="F36" s="2" t="str">
        <f>"Article!"&amp;ADDRESS(ROW(Tableau1[[#This Row],[image]]),COLUMN(Tableau1[[#This Row],[image]]))</f>
        <v>Article!$E$36</v>
      </c>
      <c r="G36" s="7">
        <v>1000</v>
      </c>
      <c r="H36" s="2">
        <f>SUMIF(Tableau8[Nr.Article],Tableau1[[#This Row],[Nr.Article]],Tableau8[Quantite])-SUMIF(Tableau4[Nr.Article],Tableau1[[#This Row],[Nr.Article]],Tableau4[Nombre])</f>
        <v>0</v>
      </c>
    </row>
    <row r="37" spans="1:8" ht="83.25" customHeight="1" x14ac:dyDescent="0.25">
      <c r="B37" s="2">
        <v>34</v>
      </c>
      <c r="C37" s="2" t="s">
        <v>41</v>
      </c>
      <c r="F37" s="2" t="str">
        <f>"Article!"&amp;ADDRESS(ROW(Tableau1[[#This Row],[image]]),COLUMN(Tableau1[[#This Row],[image]]))</f>
        <v>Article!$E$37</v>
      </c>
      <c r="G37" s="7">
        <v>1000</v>
      </c>
      <c r="H37" s="2">
        <f>SUMIF(Tableau8[Nr.Article],Tableau1[[#This Row],[Nr.Article]],Tableau8[Quantite])-SUMIF(Tableau4[Nr.Article],Tableau1[[#This Row],[Nr.Article]],Tableau4[Nombre])</f>
        <v>0</v>
      </c>
    </row>
    <row r="38" spans="1:8" ht="82.5" customHeight="1" x14ac:dyDescent="0.25">
      <c r="B38" s="2">
        <v>35</v>
      </c>
      <c r="C38" s="2" t="s">
        <v>42</v>
      </c>
      <c r="F38" s="2" t="str">
        <f>"Article!"&amp;ADDRESS(ROW(Tableau1[[#This Row],[image]]),COLUMN(Tableau1[[#This Row],[image]]))</f>
        <v>Article!$E$38</v>
      </c>
      <c r="G38" s="7">
        <v>1000</v>
      </c>
      <c r="H38" s="2">
        <f>SUMIF(Tableau8[Nr.Article],Tableau1[[#This Row],[Nr.Article]],Tableau8[Quantite])-SUMIF(Tableau4[Nr.Article],Tableau1[[#This Row],[Nr.Article]],Tableau4[Nombre])</f>
        <v>0</v>
      </c>
    </row>
    <row r="39" spans="1:8" ht="70.5" customHeight="1" x14ac:dyDescent="0.25">
      <c r="B39" s="2">
        <v>36</v>
      </c>
      <c r="C39" s="2" t="s">
        <v>43</v>
      </c>
      <c r="F39" s="2" t="str">
        <f>"Article!"&amp;ADDRESS(ROW(Tableau1[[#This Row],[image]]),COLUMN(Tableau1[[#This Row],[image]]))</f>
        <v>Article!$E$39</v>
      </c>
      <c r="G39" s="7">
        <v>1500</v>
      </c>
      <c r="H39" s="2">
        <f>SUMIF(Tableau8[Nr.Article],Tableau1[[#This Row],[Nr.Article]],Tableau8[Quantite])-SUMIF(Tableau4[Nr.Article],Tableau1[[#This Row],[Nr.Article]],Tableau4[Nombre])</f>
        <v>0</v>
      </c>
    </row>
    <row r="40" spans="1:8" ht="72.75" customHeight="1" x14ac:dyDescent="0.25">
      <c r="B40" s="2">
        <v>0</v>
      </c>
      <c r="F40" s="2" t="str">
        <f>"Article!"&amp;ADDRESS(ROW(Tableau1[[#This Row],[image]]),COLUMN(Tableau1[[#This Row],[image]]))</f>
        <v>Article!$E$40</v>
      </c>
      <c r="G40" s="7"/>
      <c r="H40" s="2">
        <f>SUMIF(Tableau8[Nr.Article],Tableau1[[#This Row],[Nr.Article]],Tableau8[Quantite])-SUMIF(Tableau4[Nr.Article],Tableau1[[#This Row],[Nr.Article]],Tableau4[Nombre])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tabSelected="1" topLeftCell="A2" zoomScaleNormal="100" workbookViewId="0">
      <selection activeCell="K28" sqref="K28"/>
    </sheetView>
  </sheetViews>
  <sheetFormatPr baseColWidth="10" defaultRowHeight="15" x14ac:dyDescent="0.25"/>
  <cols>
    <col min="1" max="1" width="6.42578125" style="1" customWidth="1"/>
    <col min="2" max="16384" width="11.42578125" style="1"/>
  </cols>
  <sheetData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K8" sqref="K8"/>
    </sheetView>
  </sheetViews>
  <sheetFormatPr baseColWidth="10" defaultRowHeight="15" x14ac:dyDescent="0.25"/>
  <cols>
    <col min="1" max="1" width="1.7109375" customWidth="1"/>
    <col min="5" max="5" width="21.42578125" customWidth="1"/>
  </cols>
  <sheetData>
    <row r="1" ht="63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20</vt:i4>
      </vt:variant>
    </vt:vector>
  </HeadingPairs>
  <TitlesOfParts>
    <vt:vector size="32" baseType="lpstr">
      <vt:lpstr>Reception</vt:lpstr>
      <vt:lpstr>Employers</vt:lpstr>
      <vt:lpstr>Payement</vt:lpstr>
      <vt:lpstr>Facture</vt:lpstr>
      <vt:lpstr>Fidelisation</vt:lpstr>
      <vt:lpstr>Suivi des Employers</vt:lpstr>
      <vt:lpstr>Historique des Ventes</vt:lpstr>
      <vt:lpstr>Panier</vt:lpstr>
      <vt:lpstr>Clients</vt:lpstr>
      <vt:lpstr>Article</vt:lpstr>
      <vt:lpstr>Home</vt:lpstr>
      <vt:lpstr>layout</vt:lpstr>
      <vt:lpstr>Employers!Nr.Employer</vt:lpstr>
      <vt:lpstr>Payement!Nr.Employer</vt:lpstr>
      <vt:lpstr>Reception!Nr.Employer</vt:lpstr>
      <vt:lpstr>Nr.Employer</vt:lpstr>
      <vt:lpstr>Employers!Nr_Article</vt:lpstr>
      <vt:lpstr>Facture!Nr_Article</vt:lpstr>
      <vt:lpstr>Fidelisation!Nr_Article</vt:lpstr>
      <vt:lpstr>'Historique des Ventes'!Nr_Article</vt:lpstr>
      <vt:lpstr>Payement!Nr_Article</vt:lpstr>
      <vt:lpstr>Reception!Nr_Article</vt:lpstr>
      <vt:lpstr>'Suivi des Employers'!Nr_Article</vt:lpstr>
      <vt:lpstr>Nr_Article</vt:lpstr>
      <vt:lpstr>Employers!Nr_Client</vt:lpstr>
      <vt:lpstr>Facture!Nr_Client</vt:lpstr>
      <vt:lpstr>Fidelisation!Nr_Client</vt:lpstr>
      <vt:lpstr>'Historique des Ventes'!Nr_Client</vt:lpstr>
      <vt:lpstr>Payement!Nr_Client</vt:lpstr>
      <vt:lpstr>Reception!Nr_Client</vt:lpstr>
      <vt:lpstr>'Suivi des Employers'!Nr_Client</vt:lpstr>
      <vt:lpstr>Nr_Client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2022-08-23T15:19:15Z</dcterms:created>
  <dcterms:modified xsi:type="dcterms:W3CDTF">2022-12-07T05:57:59Z</dcterms:modified>
</cp:coreProperties>
</file>