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Cardiff University\Cardiff University\PhD Cardiff\Useful Excel models\For_website\"/>
    </mc:Choice>
  </mc:AlternateContent>
  <xr:revisionPtr revIDLastSave="0" documentId="8_{5D779917-C17E-4BCD-9387-04417991E499}" xr6:coauthVersionLast="45" xr6:coauthVersionMax="45" xr10:uidLastSave="{00000000-0000-0000-0000-000000000000}"/>
  <bookViews>
    <workbookView xWindow="28680" yWindow="-120" windowWidth="29040" windowHeight="15840" activeTab="1"/>
  </bookViews>
  <sheets>
    <sheet name="ReadMe" sheetId="2" r:id="rId1"/>
    <sheet name="Model" sheetId="1" r:id="rId2"/>
  </sheets>
  <definedNames>
    <definedName name="_xlchart.v1.0" hidden="1">Model!$C$6:$C$46</definedName>
    <definedName name="_xlchart.v1.1" hidden="1">Model!$D$6:$D$46</definedName>
    <definedName name="_xlchart.v1.2" hidden="1">Model!$C$6:$C$46</definedName>
    <definedName name="_xlchart.v1.3" hidden="1">Model!$D$6:$D$46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" i="1" l="1"/>
  <c r="J12" i="1"/>
  <c r="E7" i="1"/>
  <c r="I12" i="1"/>
  <c r="D7" i="1"/>
  <c r="H12" i="1"/>
  <c r="C8" i="1"/>
  <c r="B9" i="1"/>
  <c r="K16" i="1"/>
  <c r="I16" i="1"/>
  <c r="H16" i="1"/>
  <c r="C16" i="1"/>
  <c r="C7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E6" i="1"/>
  <c r="D6" i="1"/>
  <c r="C6" i="1"/>
  <c r="J16" i="1"/>
  <c r="C17" i="1"/>
  <c r="C3" i="1"/>
  <c r="C2" i="1"/>
  <c r="H2" i="1" s="1"/>
  <c r="B16" i="1"/>
  <c r="B14" i="1"/>
  <c r="B13" i="1"/>
  <c r="B12" i="1"/>
  <c r="B11" i="1"/>
  <c r="B10" i="1"/>
  <c r="B8" i="1"/>
  <c r="B7" i="1"/>
  <c r="B3" i="1"/>
  <c r="B2" i="1"/>
  <c r="B6" i="1" s="1"/>
  <c r="K4" i="1"/>
  <c r="E45" i="1" s="1"/>
  <c r="K3" i="1"/>
  <c r="K2" i="1"/>
  <c r="E16" i="1" l="1"/>
  <c r="E22" i="1"/>
  <c r="E32" i="1"/>
  <c r="E46" i="1"/>
  <c r="E20" i="1"/>
  <c r="E36" i="1"/>
  <c r="E26" i="1"/>
  <c r="E24" i="1"/>
  <c r="E40" i="1"/>
  <c r="E34" i="1"/>
  <c r="E28" i="1"/>
  <c r="E44" i="1"/>
  <c r="C26" i="1"/>
  <c r="C34" i="1"/>
  <c r="C42" i="1"/>
  <c r="E19" i="1"/>
  <c r="C21" i="1"/>
  <c r="E23" i="1"/>
  <c r="C25" i="1"/>
  <c r="E27" i="1"/>
  <c r="C29" i="1"/>
  <c r="E31" i="1"/>
  <c r="C33" i="1"/>
  <c r="E35" i="1"/>
  <c r="C37" i="1"/>
  <c r="E39" i="1"/>
  <c r="C41" i="1"/>
  <c r="E43" i="1"/>
  <c r="C45" i="1"/>
  <c r="C18" i="1"/>
  <c r="C22" i="1"/>
  <c r="C30" i="1"/>
  <c r="C46" i="1"/>
  <c r="H3" i="1"/>
  <c r="D19" i="1" s="1"/>
  <c r="E18" i="1"/>
  <c r="C20" i="1"/>
  <c r="C24" i="1"/>
  <c r="C28" i="1"/>
  <c r="E30" i="1"/>
  <c r="C32" i="1"/>
  <c r="C36" i="1"/>
  <c r="E38" i="1"/>
  <c r="C40" i="1"/>
  <c r="E42" i="1"/>
  <c r="C44" i="1"/>
  <c r="C38" i="1"/>
  <c r="E17" i="1"/>
  <c r="C19" i="1"/>
  <c r="E21" i="1"/>
  <c r="C23" i="1"/>
  <c r="E25" i="1"/>
  <c r="C27" i="1"/>
  <c r="E29" i="1"/>
  <c r="C31" i="1"/>
  <c r="E33" i="1"/>
  <c r="C35" i="1"/>
  <c r="E37" i="1"/>
  <c r="C39" i="1"/>
  <c r="E41" i="1"/>
  <c r="C43" i="1"/>
  <c r="D44" i="1" l="1"/>
  <c r="D40" i="1"/>
  <c r="D36" i="1"/>
  <c r="D32" i="1"/>
  <c r="D28" i="1"/>
  <c r="D24" i="1"/>
  <c r="D20" i="1"/>
  <c r="D16" i="1"/>
  <c r="D39" i="1"/>
  <c r="D27" i="1"/>
  <c r="D45" i="1"/>
  <c r="D41" i="1"/>
  <c r="D37" i="1"/>
  <c r="D33" i="1"/>
  <c r="D29" i="1"/>
  <c r="D25" i="1"/>
  <c r="D21" i="1"/>
  <c r="D17" i="1"/>
  <c r="D35" i="1"/>
  <c r="D31" i="1"/>
  <c r="D46" i="1"/>
  <c r="D42" i="1"/>
  <c r="D38" i="1"/>
  <c r="D34" i="1"/>
  <c r="D30" i="1"/>
  <c r="D26" i="1"/>
  <c r="D22" i="1"/>
  <c r="D18" i="1"/>
  <c r="D43" i="1"/>
  <c r="D23" i="1"/>
</calcChain>
</file>

<file path=xl/sharedStrings.xml><?xml version="1.0" encoding="utf-8"?>
<sst xmlns="http://schemas.openxmlformats.org/spreadsheetml/2006/main" count="38" uniqueCount="27">
  <si>
    <t>Isotope</t>
  </si>
  <si>
    <t>Decay Constants</t>
  </si>
  <si>
    <t>238U</t>
  </si>
  <si>
    <t>235U</t>
  </si>
  <si>
    <t>232Th</t>
  </si>
  <si>
    <t>Stage</t>
  </si>
  <si>
    <t>Start Date (t)</t>
  </si>
  <si>
    <t>238U/204Pb (µ)</t>
  </si>
  <si>
    <t>232Th/204Pb (ω)</t>
  </si>
  <si>
    <t>206/204 (i)</t>
  </si>
  <si>
    <t>207/204 (i)</t>
  </si>
  <si>
    <t>208/204 (i)</t>
  </si>
  <si>
    <t>235U/204Pb</t>
  </si>
  <si>
    <t>Stage I</t>
  </si>
  <si>
    <t>Stage II</t>
  </si>
  <si>
    <t>t</t>
  </si>
  <si>
    <t>206/204</t>
  </si>
  <si>
    <t>207/204</t>
  </si>
  <si>
    <t>208/204</t>
  </si>
  <si>
    <t>207/206</t>
  </si>
  <si>
    <t>STAGE II YEAR</t>
  </si>
  <si>
    <t>STAGE I YEAR</t>
  </si>
  <si>
    <t>*make sure the input ages below belong to the correct stage</t>
  </si>
  <si>
    <t>Sulphide metal tenors 2 ways</t>
  </si>
  <si>
    <t>W.D. Smith</t>
  </si>
  <si>
    <t>1. You may edit the blue cells and use the approximate model values to the side. Leave the decay constants and initial values</t>
  </si>
  <si>
    <t>2. Be sure to methodically go through the calculations. The purpose of this spreadsheet is more educational than black-box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</si>
</sst>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9" formatCode="0.000000"/>
    <numFmt numFmtId="170" formatCode="0.00000"/>
    <numFmt numFmtId="172" formatCode="0.0.E+00"/>
  </numFmts>
  <fonts count="7" x14ac:knownFonts="1">
    <font>
      <sz val="11"/>
      <color rgb="FF000000"/>
      <name val="Calibri"/>
      <family val="2"/>
    </font>
    <font>
      <sz val="11"/>
      <color rgb="FF006100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6EFCE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Border="1"/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3" fillId="0" borderId="4" xfId="0" applyFont="1" applyBorder="1"/>
    <xf numFmtId="11" fontId="3" fillId="3" borderId="5" xfId="0" applyNumberFormat="1" applyFont="1" applyFill="1" applyBorder="1"/>
    <xf numFmtId="0" fontId="3" fillId="0" borderId="6" xfId="0" applyFont="1" applyBorder="1"/>
    <xf numFmtId="11" fontId="3" fillId="3" borderId="7" xfId="0" applyNumberFormat="1" applyFont="1" applyFill="1" applyBorder="1"/>
    <xf numFmtId="0" fontId="2" fillId="4" borderId="8" xfId="0" applyFont="1" applyFill="1" applyBorder="1"/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3" borderId="11" xfId="0" applyFont="1" applyFill="1" applyBorder="1"/>
    <xf numFmtId="0" fontId="3" fillId="3" borderId="10" xfId="0" applyFont="1" applyFill="1" applyBorder="1"/>
    <xf numFmtId="0" fontId="3" fillId="3" borderId="12" xfId="0" applyFont="1" applyFill="1" applyBorder="1"/>
    <xf numFmtId="0" fontId="3" fillId="3" borderId="6" xfId="0" applyFont="1" applyFill="1" applyBorder="1"/>
    <xf numFmtId="0" fontId="3" fillId="3" borderId="15" xfId="0" applyFont="1" applyFill="1" applyBorder="1"/>
    <xf numFmtId="0" fontId="3" fillId="3" borderId="16" xfId="0" applyFont="1" applyFill="1" applyBorder="1"/>
    <xf numFmtId="0" fontId="2" fillId="4" borderId="1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6" borderId="17" xfId="0" applyFont="1" applyFill="1" applyBorder="1"/>
    <xf numFmtId="0" fontId="3" fillId="6" borderId="18" xfId="0" applyFont="1" applyFill="1" applyBorder="1"/>
    <xf numFmtId="170" fontId="3" fillId="6" borderId="19" xfId="0" applyNumberFormat="1" applyFont="1" applyFill="1" applyBorder="1" applyAlignment="1">
      <alignment horizontal="right"/>
    </xf>
    <xf numFmtId="0" fontId="3" fillId="6" borderId="20" xfId="0" applyFont="1" applyFill="1" applyBorder="1"/>
    <xf numFmtId="0" fontId="3" fillId="6" borderId="21" xfId="0" applyFont="1" applyFill="1" applyBorder="1"/>
    <xf numFmtId="170" fontId="3" fillId="6" borderId="22" xfId="0" applyNumberFormat="1" applyFont="1" applyFill="1" applyBorder="1" applyAlignment="1">
      <alignment horizontal="right"/>
    </xf>
    <xf numFmtId="0" fontId="2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72" fontId="3" fillId="7" borderId="12" xfId="0" applyNumberFormat="1" applyFont="1" applyFill="1" applyBorder="1"/>
    <xf numFmtId="164" fontId="3" fillId="7" borderId="15" xfId="0" applyNumberFormat="1" applyFont="1" applyFill="1" applyBorder="1"/>
    <xf numFmtId="164" fontId="3" fillId="7" borderId="13" xfId="0" applyNumberFormat="1" applyFont="1" applyFill="1" applyBorder="1"/>
    <xf numFmtId="172" fontId="3" fillId="7" borderId="4" xfId="0" applyNumberFormat="1" applyFont="1" applyFill="1" applyBorder="1"/>
    <xf numFmtId="164" fontId="3" fillId="7" borderId="0" xfId="0" applyNumberFormat="1" applyFont="1" applyFill="1" applyBorder="1"/>
    <xf numFmtId="164" fontId="3" fillId="7" borderId="5" xfId="0" applyNumberFormat="1" applyFont="1" applyFill="1" applyBorder="1"/>
    <xf numFmtId="172" fontId="3" fillId="7" borderId="6" xfId="0" applyNumberFormat="1" applyFont="1" applyFill="1" applyBorder="1"/>
    <xf numFmtId="164" fontId="3" fillId="7" borderId="16" xfId="0" applyNumberFormat="1" applyFont="1" applyFill="1" applyBorder="1"/>
    <xf numFmtId="164" fontId="3" fillId="7" borderId="7" xfId="0" applyNumberFormat="1" applyFont="1" applyFill="1" applyBorder="1"/>
    <xf numFmtId="0" fontId="2" fillId="4" borderId="12" xfId="0" applyFont="1" applyFill="1" applyBorder="1" applyAlignment="1">
      <alignment horizontal="center" vertical="center"/>
    </xf>
    <xf numFmtId="164" fontId="4" fillId="7" borderId="23" xfId="0" applyNumberFormat="1" applyFont="1" applyFill="1" applyBorder="1"/>
    <xf numFmtId="169" fontId="4" fillId="8" borderId="24" xfId="1" applyNumberFormat="1" applyFont="1" applyFill="1" applyBorder="1"/>
    <xf numFmtId="3" fontId="4" fillId="9" borderId="14" xfId="0" applyNumberFormat="1" applyFont="1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</cellXfs>
  <cellStyles count="2">
    <cellStyle name="Good" xfId="1" builtinId="26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ysClr val="windowText" lastClr="000000"/>
                </a:solidFill>
                <a:latin typeface="Calibri"/>
              </a:defRPr>
            </a:pPr>
            <a:r>
              <a:rPr lang="en-GB" sz="1400" b="0" i="0" u="none" strike="noStrike" kern="1200" cap="none" spc="0" baseline="0">
                <a:solidFill>
                  <a:sysClr val="windowText" lastClr="000000"/>
                </a:solidFill>
                <a:uFillTx/>
                <a:latin typeface="Calibri"/>
              </a:rPr>
              <a:t>Lead Isotope Evolution Model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90007376528912"/>
          <c:y val="0.13336343800398445"/>
          <c:w val="0.82471874839174519"/>
          <c:h val="0.75541422382443157"/>
        </c:manualLayout>
      </c:layout>
      <c:scatterChart>
        <c:scatterStyle val="smoothMarker"/>
        <c:varyColors val="0"/>
        <c:ser>
          <c:idx val="0"/>
          <c:order val="0"/>
          <c:tx>
            <c:v>TWO-STAGE MODEL</c:v>
          </c:tx>
          <c:marker>
            <c:symbol val="circle"/>
            <c:size val="5"/>
          </c:marker>
          <c:xVal>
            <c:numRef>
              <c:f>Model!$C$6:$C$46</c:f>
              <c:numCache>
                <c:formatCode>0.000</c:formatCode>
                <c:ptCount val="41"/>
                <c:pt idx="0">
                  <c:v>9.3070000000000004</c:v>
                </c:pt>
                <c:pt idx="1">
                  <c:v>9.4579763865449689</c:v>
                </c:pt>
                <c:pt idx="2">
                  <c:v>9.6804155404945309</c:v>
                </c:pt>
                <c:pt idx="3">
                  <c:v>9.8994307328316076</c:v>
                </c:pt>
                <c:pt idx="4">
                  <c:v>10.115074667915636</c:v>
                </c:pt>
                <c:pt idx="5">
                  <c:v>10.327399238838353</c:v>
                </c:pt>
                <c:pt idx="6">
                  <c:v>10.536455539911458</c:v>
                </c:pt>
                <c:pt idx="7">
                  <c:v>10.742293878962077</c:v>
                </c:pt>
                <c:pt idx="8">
                  <c:v>10.944963789438981</c:v>
                </c:pt>
                <c:pt idx="9">
                  <c:v>11.144514042332418</c:v>
                </c:pt>
                <c:pt idx="10">
                  <c:v>11.411024940563635</c:v>
                </c:pt>
                <c:pt idx="11">
                  <c:v>11.672955012178704</c:v>
                </c:pt>
                <c:pt idx="12">
                  <c:v>11.930853246347704</c:v>
                </c:pt>
                <c:pt idx="13">
                  <c:v>12.184781704341763</c:v>
                </c:pt>
                <c:pt idx="14">
                  <c:v>12.434801492135222</c:v>
                </c:pt>
                <c:pt idx="15">
                  <c:v>12.680972775110321</c:v>
                </c:pt>
                <c:pt idx="16">
                  <c:v>12.92335479253555</c:v>
                </c:pt>
                <c:pt idx="17">
                  <c:v>13.162005871821133</c:v>
                </c:pt>
                <c:pt idx="18">
                  <c:v>13.396983442555081</c:v>
                </c:pt>
                <c:pt idx="19">
                  <c:v>13.628344050323189</c:v>
                </c:pt>
                <c:pt idx="20">
                  <c:v>13.856143370316309</c:v>
                </c:pt>
                <c:pt idx="21">
                  <c:v>14.08043622072816</c:v>
                </c:pt>
                <c:pt idx="22">
                  <c:v>14.301276575946925</c:v>
                </c:pt>
                <c:pt idx="23">
                  <c:v>14.51871757954377</c:v>
                </c:pt>
                <c:pt idx="24">
                  <c:v>14.732811557061451</c:v>
                </c:pt>
                <c:pt idx="25">
                  <c:v>14.943610028606063</c:v>
                </c:pt>
                <c:pt idx="26">
                  <c:v>15.151163721244968</c:v>
                </c:pt>
                <c:pt idx="27">
                  <c:v>15.35552258121387</c:v>
                </c:pt>
                <c:pt idx="28">
                  <c:v>15.556735785936018</c:v>
                </c:pt>
                <c:pt idx="29">
                  <c:v>15.754851755856375</c:v>
                </c:pt>
                <c:pt idx="30">
                  <c:v>15.949918166093628</c:v>
                </c:pt>
                <c:pt idx="31">
                  <c:v>16.141981957912861</c:v>
                </c:pt>
                <c:pt idx="32">
                  <c:v>16.331089350021607</c:v>
                </c:pt>
                <c:pt idx="33">
                  <c:v>16.517285849692037</c:v>
                </c:pt>
                <c:pt idx="34">
                  <c:v>16.700616263711932</c:v>
                </c:pt>
                <c:pt idx="35">
                  <c:v>16.881124709167125</c:v>
                </c:pt>
                <c:pt idx="36">
                  <c:v>17.058854624057915</c:v>
                </c:pt>
                <c:pt idx="37">
                  <c:v>17.406149281277191</c:v>
                </c:pt>
                <c:pt idx="38">
                  <c:v>17.742834550874136</c:v>
                </c:pt>
                <c:pt idx="39">
                  <c:v>18.069234535461277</c:v>
                </c:pt>
                <c:pt idx="40">
                  <c:v>18.385663436749486</c:v>
                </c:pt>
              </c:numCache>
            </c:numRef>
          </c:xVal>
          <c:yVal>
            <c:numRef>
              <c:f>Model!$D$6:$D$46</c:f>
              <c:numCache>
                <c:formatCode>0.000</c:formatCode>
                <c:ptCount val="41"/>
                <c:pt idx="0">
                  <c:v>10.294</c:v>
                </c:pt>
                <c:pt idx="1">
                  <c:v>10.593086551516523</c:v>
                </c:pt>
                <c:pt idx="2">
                  <c:v>11.004335311584446</c:v>
                </c:pt>
                <c:pt idx="3">
                  <c:v>11.377012756670707</c:v>
                </c:pt>
                <c:pt idx="4">
                  <c:v>11.714736517960795</c:v>
                </c:pt>
                <c:pt idx="5">
                  <c:v>12.020784926427055</c:v>
                </c:pt>
                <c:pt idx="6">
                  <c:v>12.298128836038078</c:v>
                </c:pt>
                <c:pt idx="7">
                  <c:v>12.549460462246509</c:v>
                </c:pt>
                <c:pt idx="8">
                  <c:v>12.777219515694508</c:v>
                </c:pt>
                <c:pt idx="9">
                  <c:v>12.983616884820304</c:v>
                </c:pt>
                <c:pt idx="10">
                  <c:v>13.237244330050499</c:v>
                </c:pt>
                <c:pt idx="11">
                  <c:v>13.466736693480883</c:v>
                </c:pt>
                <c:pt idx="12">
                  <c:v>13.674704804207629</c:v>
                </c:pt>
                <c:pt idx="13">
                  <c:v>13.863167437267627</c:v>
                </c:pt>
                <c:pt idx="14">
                  <c:v>14.033954025344951</c:v>
                </c:pt>
                <c:pt idx="15">
                  <c:v>14.188722417325376</c:v>
                </c:pt>
                <c:pt idx="16">
                  <c:v>14.328974971263406</c:v>
                </c:pt>
                <c:pt idx="17">
                  <c:v>14.456073137978402</c:v>
                </c:pt>
                <c:pt idx="18">
                  <c:v>14.571250676844828</c:v>
                </c:pt>
                <c:pt idx="19">
                  <c:v>14.675625632064081</c:v>
                </c:pt>
                <c:pt idx="20">
                  <c:v>14.77021118567324</c:v>
                </c:pt>
                <c:pt idx="21">
                  <c:v>14.855925492642356</c:v>
                </c:pt>
                <c:pt idx="22">
                  <c:v>14.933600593530963</c:v>
                </c:pt>
                <c:pt idx="23">
                  <c:v>15.003990491220144</c:v>
                </c:pt>
                <c:pt idx="24">
                  <c:v>15.067778470122144</c:v>
                </c:pt>
                <c:pt idx="25">
                  <c:v>15.125583728916087</c:v>
                </c:pt>
                <c:pt idx="26">
                  <c:v>15.177967391194652</c:v>
                </c:pt>
                <c:pt idx="27">
                  <c:v>15.225437952367926</c:v>
                </c:pt>
                <c:pt idx="28">
                  <c:v>15.26845621569824</c:v>
                </c:pt>
                <c:pt idx="29">
                  <c:v>15.307439765380776</c:v>
                </c:pt>
                <c:pt idx="30">
                  <c:v>15.342767020090751</c:v>
                </c:pt>
                <c:pt idx="31">
                  <c:v>15.37478090634551</c:v>
                </c:pt>
                <c:pt idx="32">
                  <c:v>15.403792187339366</c:v>
                </c:pt>
                <c:pt idx="33">
                  <c:v>15.430082479564646</c:v>
                </c:pt>
                <c:pt idx="34">
                  <c:v>15.453906986501691</c:v>
                </c:pt>
                <c:pt idx="35">
                  <c:v>15.475496975914112</c:v>
                </c:pt>
                <c:pt idx="36">
                  <c:v>15.495062024796766</c:v>
                </c:pt>
                <c:pt idx="37">
                  <c:v>15.528859170657473</c:v>
                </c:pt>
                <c:pt idx="38">
                  <c:v>15.556613902900466</c:v>
                </c:pt>
                <c:pt idx="39">
                  <c:v>15.579406512816552</c:v>
                </c:pt>
                <c:pt idx="40">
                  <c:v>15.598124152109147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D6-4D3D-81F6-714F4559E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335136"/>
        <c:axId val="482336120"/>
      </c:scatterChart>
      <c:valAx>
        <c:axId val="482336120"/>
        <c:scaling>
          <c:orientation val="minMax"/>
          <c:min val="1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207/204</a:t>
                </a:r>
              </a:p>
            </c:rich>
          </c:tx>
          <c:overlay val="0"/>
        </c:title>
        <c:numFmt formatCode="0.0" sourceLinked="0"/>
        <c:majorTickMark val="out"/>
        <c:minorTickMark val="in"/>
        <c:tickLblPos val="nextTo"/>
        <c:spPr>
          <a:noFill/>
          <a:ln w="9528" cap="flat">
            <a:solidFill>
              <a:sysClr val="windowText" lastClr="00000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ysClr val="windowText" lastClr="000000"/>
                </a:solidFill>
                <a:latin typeface="Calibri"/>
              </a:defRPr>
            </a:pPr>
            <a:endParaRPr lang="en-US"/>
          </a:p>
        </c:txPr>
        <c:crossAx val="482335136"/>
        <c:crosses val="autoZero"/>
        <c:crossBetween val="midCat"/>
        <c:majorUnit val="2"/>
        <c:minorUnit val="0.5"/>
      </c:valAx>
      <c:valAx>
        <c:axId val="482335136"/>
        <c:scaling>
          <c:orientation val="minMax"/>
          <c:min val="9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206/204</a:t>
                </a:r>
              </a:p>
            </c:rich>
          </c:tx>
          <c:layout>
            <c:manualLayout>
              <c:xMode val="edge"/>
              <c:yMode val="edge"/>
              <c:x val="0.46954145437702638"/>
              <c:y val="0.93760743762451382"/>
            </c:manualLayout>
          </c:layout>
          <c:overlay val="0"/>
        </c:title>
        <c:numFmt formatCode="0.0" sourceLinked="0"/>
        <c:majorTickMark val="out"/>
        <c:minorTickMark val="in"/>
        <c:tickLblPos val="nextTo"/>
        <c:spPr>
          <a:noFill/>
          <a:ln w="9528" cap="flat">
            <a:solidFill>
              <a:sysClr val="windowText" lastClr="00000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2336120"/>
        <c:crosses val="autoZero"/>
        <c:crossBetween val="midCat"/>
        <c:majorUnit val="2.5"/>
      </c:valAx>
      <c:spPr>
        <a:noFill/>
        <a:ln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ysClr val="windowText" lastClr="000000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17</xdr:row>
      <xdr:rowOff>0</xdr:rowOff>
    </xdr:from>
    <xdr:ext cx="5829300" cy="3952875"/>
    <xdr:graphicFrame macro="">
      <xdr:nvGraphicFramePr>
        <xdr:cNvPr id="3" name="Ellipse1_51">
          <a:extLst>
            <a:ext uri="{FF2B5EF4-FFF2-40B4-BE49-F238E27FC236}">
              <a16:creationId xmlns:a16="http://schemas.microsoft.com/office/drawing/2014/main" id="{C00FAC22-A467-4008-940B-BF493F58D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7" sqref="A7"/>
    </sheetView>
  </sheetViews>
  <sheetFormatPr defaultRowHeight="14.4" x14ac:dyDescent="0.3"/>
  <cols>
    <col min="1" max="1" width="82.33203125" customWidth="1"/>
  </cols>
  <sheetData>
    <row r="1" spans="1:1" ht="17.399999999999999" x14ac:dyDescent="0.3">
      <c r="A1" s="51" t="s">
        <v>23</v>
      </c>
    </row>
    <row r="2" spans="1:1" x14ac:dyDescent="0.3">
      <c r="A2" s="52" t="s">
        <v>24</v>
      </c>
    </row>
    <row r="3" spans="1:1" x14ac:dyDescent="0.3">
      <c r="A3" s="52"/>
    </row>
    <row r="4" spans="1:1" ht="27.6" x14ac:dyDescent="0.3">
      <c r="A4" s="53" t="s">
        <v>25</v>
      </c>
    </row>
    <row r="5" spans="1:1" x14ac:dyDescent="0.3">
      <c r="A5" s="54"/>
    </row>
    <row r="6" spans="1:1" ht="27.6" x14ac:dyDescent="0.3">
      <c r="A6" s="53" t="s">
        <v>26</v>
      </c>
    </row>
    <row r="7" spans="1:1" x14ac:dyDescent="0.3">
      <c r="A7" s="55"/>
    </row>
    <row r="8" spans="1:1" x14ac:dyDescent="0.3">
      <c r="A8" s="55"/>
    </row>
    <row r="9" spans="1:1" x14ac:dyDescent="0.3">
      <c r="A9" s="55"/>
    </row>
    <row r="10" spans="1:1" x14ac:dyDescent="0.3">
      <c r="A10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F14" sqref="F14"/>
    </sheetView>
  </sheetViews>
  <sheetFormatPr defaultRowHeight="13.2" x14ac:dyDescent="0.25"/>
  <cols>
    <col min="1" max="1" width="16.109375" style="1" customWidth="1"/>
    <col min="2" max="2" width="11.6640625" style="1" customWidth="1"/>
    <col min="3" max="3" width="13.77734375" style="1" customWidth="1"/>
    <col min="4" max="4" width="12.44140625" style="1" customWidth="1"/>
    <col min="5" max="5" width="14.5546875" style="1" customWidth="1"/>
    <col min="6" max="6" width="22" style="1" customWidth="1"/>
    <col min="7" max="7" width="17" style="1" customWidth="1"/>
    <col min="8" max="8" width="19.6640625" style="1" customWidth="1"/>
    <col min="9" max="9" width="19.77734375" style="1" bestFit="1" customWidth="1"/>
    <col min="10" max="10" width="8.88671875" style="1" customWidth="1"/>
    <col min="11" max="11" width="14.21875" style="1" customWidth="1"/>
    <col min="12" max="16384" width="8.88671875" style="1"/>
  </cols>
  <sheetData>
    <row r="1" spans="1:11" ht="13.8" thickBot="1" x14ac:dyDescent="0.3">
      <c r="A1" s="13" t="s">
        <v>5</v>
      </c>
      <c r="B1" s="10" t="s">
        <v>6</v>
      </c>
      <c r="C1" s="10" t="s">
        <v>7</v>
      </c>
      <c r="D1" s="10" t="s">
        <v>8</v>
      </c>
      <c r="E1" s="22" t="s">
        <v>9</v>
      </c>
      <c r="F1" s="22" t="s">
        <v>10</v>
      </c>
      <c r="G1" s="22" t="s">
        <v>11</v>
      </c>
      <c r="H1" s="23" t="s">
        <v>12</v>
      </c>
      <c r="J1" s="4" t="s">
        <v>0</v>
      </c>
      <c r="K1" s="5" t="s">
        <v>1</v>
      </c>
    </row>
    <row r="2" spans="1:11" x14ac:dyDescent="0.25">
      <c r="A2" s="14" t="s">
        <v>13</v>
      </c>
      <c r="B2" s="16">
        <f>4.567*10^9</f>
        <v>4567000000</v>
      </c>
      <c r="C2" s="18">
        <f>7.19</f>
        <v>7.19</v>
      </c>
      <c r="D2" s="20">
        <v>32.21</v>
      </c>
      <c r="E2" s="24">
        <v>9.3070000000000004</v>
      </c>
      <c r="F2" s="25">
        <v>10.294</v>
      </c>
      <c r="G2" s="25">
        <v>29.486999999999998</v>
      </c>
      <c r="H2" s="26">
        <f>C2/137.88</f>
        <v>5.2146794313896148E-2</v>
      </c>
      <c r="J2" s="6" t="s">
        <v>2</v>
      </c>
      <c r="K2" s="7">
        <f>1.55125*10^-10</f>
        <v>1.5512500000000002E-10</v>
      </c>
    </row>
    <row r="3" spans="1:11" ht="13.8" thickBot="1" x14ac:dyDescent="0.3">
      <c r="A3" s="15" t="s">
        <v>14</v>
      </c>
      <c r="B3" s="17">
        <f>3.7*10^9</f>
        <v>3700000000</v>
      </c>
      <c r="C3" s="19">
        <f>9.735</f>
        <v>9.7349999999999994</v>
      </c>
      <c r="D3" s="21">
        <v>37.19</v>
      </c>
      <c r="E3" s="27">
        <v>11.145</v>
      </c>
      <c r="F3" s="28">
        <v>12.984</v>
      </c>
      <c r="G3" s="28">
        <v>31.234999999999999</v>
      </c>
      <c r="H3" s="29">
        <f>C3/137.88</f>
        <v>7.0604873803307225E-2</v>
      </c>
      <c r="J3" s="6" t="s">
        <v>3</v>
      </c>
      <c r="K3" s="7">
        <f>9.8485*10^-10</f>
        <v>9.8484999999999996E-10</v>
      </c>
    </row>
    <row r="4" spans="1:11" x14ac:dyDescent="0.25">
      <c r="J4" s="8" t="s">
        <v>4</v>
      </c>
      <c r="K4" s="9">
        <f>4.9475*10^-11</f>
        <v>4.9474999999999996E-11</v>
      </c>
    </row>
    <row r="5" spans="1:11" x14ac:dyDescent="0.25">
      <c r="A5" s="3"/>
      <c r="B5" s="33" t="s">
        <v>15</v>
      </c>
      <c r="C5" s="11" t="s">
        <v>16</v>
      </c>
      <c r="D5" s="11" t="s">
        <v>17</v>
      </c>
      <c r="E5" s="12" t="s">
        <v>18</v>
      </c>
    </row>
    <row r="6" spans="1:11" x14ac:dyDescent="0.25">
      <c r="A6" s="30" t="s">
        <v>13</v>
      </c>
      <c r="B6" s="34">
        <f>B2</f>
        <v>4567000000</v>
      </c>
      <c r="C6" s="35">
        <f>E2</f>
        <v>9.3070000000000004</v>
      </c>
      <c r="D6" s="35">
        <f>F2</f>
        <v>10.294</v>
      </c>
      <c r="E6" s="36">
        <f>G2</f>
        <v>29.486999999999998</v>
      </c>
    </row>
    <row r="7" spans="1:11" x14ac:dyDescent="0.25">
      <c r="A7" s="31"/>
      <c r="B7" s="37">
        <f>4500000000</f>
        <v>4500000000</v>
      </c>
      <c r="C7" s="38">
        <f>($E$2)+$C$2*(EXP($K$2*$B$6)-EXP($K$2*B7))</f>
        <v>9.4579763865449689</v>
      </c>
      <c r="D7" s="38">
        <f>($F$2)+$H$2*(EXP($K$3*$B$6)-EXP($K$3*B7))</f>
        <v>10.593086551516523</v>
      </c>
      <c r="E7" s="39">
        <f>($G$2)+$D$2*(EXP($K$4*$B$6)-EXP($K$4*B7))</f>
        <v>29.620616955513565</v>
      </c>
    </row>
    <row r="8" spans="1:11" x14ac:dyDescent="0.25">
      <c r="A8" s="31"/>
      <c r="B8" s="37">
        <f>4400000000</f>
        <v>4400000000</v>
      </c>
      <c r="C8" s="38">
        <f>($E$2)+$C$2*(EXP($K$2*$B$6)-EXP($K$2*B8))</f>
        <v>9.6804155404945309</v>
      </c>
      <c r="D8" s="38">
        <f>($F$2)+$H$2*(EXP($K$3*$B$6)-EXP($K$3*B8))</f>
        <v>11.004335311584446</v>
      </c>
      <c r="E8" s="39">
        <f>($G$2)+$D$2*(EXP($K$4*$B$6)-EXP($K$4*B8))</f>
        <v>29.819223187705745</v>
      </c>
      <c r="G8" s="50" t="s">
        <v>22</v>
      </c>
      <c r="H8" s="50"/>
      <c r="I8" s="50"/>
      <c r="J8" s="50"/>
      <c r="K8" s="50"/>
    </row>
    <row r="9" spans="1:11" x14ac:dyDescent="0.25">
      <c r="A9" s="31"/>
      <c r="B9" s="37">
        <f>4300000000</f>
        <v>4300000000</v>
      </c>
      <c r="C9" s="38">
        <f>($E$2)+$C$2*(EXP($K$2*$B$6)-EXP($K$2*B9))</f>
        <v>9.8994307328316076</v>
      </c>
      <c r="D9" s="38">
        <f>($F$2)+$H$2*(EXP($K$3*$B$6)-EXP($K$3*B9))</f>
        <v>11.377012756670707</v>
      </c>
      <c r="E9" s="39">
        <f>($G$2)+$D$2*(EXP($K$4*$B$6)-EXP($K$4*B9))</f>
        <v>30.016849242277925</v>
      </c>
    </row>
    <row r="10" spans="1:11" x14ac:dyDescent="0.25">
      <c r="A10" s="31"/>
      <c r="B10" s="37">
        <f>4200000000</f>
        <v>4200000000</v>
      </c>
      <c r="C10" s="38">
        <f>($E$2)+$C$2*(EXP($K$2*$B$6)-EXP($K$2*B10))</f>
        <v>10.115074667915636</v>
      </c>
      <c r="D10" s="38">
        <f>($F$2)+$H$2*(EXP($K$3*$B$6)-EXP($K$3*B10))</f>
        <v>11.714736517960795</v>
      </c>
      <c r="E10" s="39">
        <f>($G$2)+$D$2*(EXP($K$4*$B$6)-EXP($K$4*B10))</f>
        <v>30.213499956682352</v>
      </c>
      <c r="G10" s="47" t="s">
        <v>21</v>
      </c>
      <c r="H10" s="48"/>
      <c r="I10" s="48"/>
      <c r="J10" s="48"/>
      <c r="K10" s="49"/>
    </row>
    <row r="11" spans="1:11" ht="13.8" thickBot="1" x14ac:dyDescent="0.3">
      <c r="A11" s="31"/>
      <c r="B11" s="37">
        <f>4100000000</f>
        <v>4100000000</v>
      </c>
      <c r="C11" s="38">
        <f>($E$2)+$C$2*(EXP($K$2*$B$6)-EXP($K$2*B11))</f>
        <v>10.327399238838353</v>
      </c>
      <c r="D11" s="38">
        <f>($F$2)+$H$2*(EXP($K$3*$B$6)-EXP($K$3*B11))</f>
        <v>12.020784926427055</v>
      </c>
      <c r="E11" s="39">
        <f>($G$2)+$D$2*(EXP($K$4*$B$6)-EXP($K$4*B11))</f>
        <v>30.40918014449711</v>
      </c>
      <c r="G11" s="33" t="s">
        <v>15</v>
      </c>
      <c r="H11" s="43" t="s">
        <v>16</v>
      </c>
      <c r="I11" s="22" t="s">
        <v>17</v>
      </c>
      <c r="J11" s="22" t="s">
        <v>18</v>
      </c>
      <c r="K11" s="23" t="s">
        <v>19</v>
      </c>
    </row>
    <row r="12" spans="1:11" ht="13.8" thickBot="1" x14ac:dyDescent="0.3">
      <c r="A12" s="31"/>
      <c r="B12" s="37">
        <f>4000000000</f>
        <v>4000000000</v>
      </c>
      <c r="C12" s="38">
        <f>($E$2)+$C$2*(EXP($K$2*$B$6)-EXP($K$2*B12))</f>
        <v>10.536455539911458</v>
      </c>
      <c r="D12" s="38">
        <f>($F$2)+$H$2*(EXP($K$3*$B$6)-EXP($K$3*B12))</f>
        <v>12.298128836038078</v>
      </c>
      <c r="E12" s="39">
        <f>($G$2)+$D$2*(EXP($K$4*$B$6)-EXP($K$4*B12))</f>
        <v>30.603894595543906</v>
      </c>
      <c r="G12" s="46">
        <v>4300000000</v>
      </c>
      <c r="H12" s="44">
        <f>($E$2)+$C$2*(EXP($K$2*$B$6)-EXP($K$2*G12))</f>
        <v>9.8994307328316076</v>
      </c>
      <c r="I12" s="44">
        <f>($F$2)+$H$2*(EXP($K$3*$B$6)-EXP($K$3*G12))</f>
        <v>11.377012756670707</v>
      </c>
      <c r="J12" s="44">
        <f>($G$2)+$D$2*(EXP($K$4*$B$6)-EXP($K$4*G12))</f>
        <v>30.016849242277925</v>
      </c>
      <c r="K12" s="45">
        <f>I12/H12</f>
        <v>1.1492592921468381</v>
      </c>
    </row>
    <row r="13" spans="1:11" x14ac:dyDescent="0.25">
      <c r="A13" s="31"/>
      <c r="B13" s="37">
        <f>3900000000</f>
        <v>3900000000</v>
      </c>
      <c r="C13" s="38">
        <f>($E$2)+$C$2*(EXP($K$2*$B$6)-EXP($K$2*B13))</f>
        <v>10.742293878962077</v>
      </c>
      <c r="D13" s="38">
        <f>($F$2)+$H$2*(EXP($K$3*$B$6)-EXP($K$3*B13))</f>
        <v>12.549460462246509</v>
      </c>
      <c r="E13" s="39">
        <f>($G$2)+$D$2*(EXP($K$4*$B$6)-EXP($K$4*B13))</f>
        <v>30.797648076005338</v>
      </c>
    </row>
    <row r="14" spans="1:11" x14ac:dyDescent="0.25">
      <c r="A14" s="31"/>
      <c r="B14" s="37">
        <f>3800000000</f>
        <v>3800000000</v>
      </c>
      <c r="C14" s="38">
        <f>($E$2)+$C$2*(EXP($K$2*$B$6)-EXP($K$2*B14))</f>
        <v>10.944963789438981</v>
      </c>
      <c r="D14" s="38">
        <f>($F$2)+$H$2*(EXP($K$3*$B$6)-EXP($K$3*B14))</f>
        <v>12.777219515694508</v>
      </c>
      <c r="E14" s="39">
        <f>($G$2)+$D$2*(EXP($K$4*$B$6)-EXP($K$4*B14))</f>
        <v>30.990445328541536</v>
      </c>
      <c r="G14" s="47" t="s">
        <v>20</v>
      </c>
      <c r="H14" s="48"/>
      <c r="I14" s="48"/>
      <c r="J14" s="48"/>
      <c r="K14" s="49"/>
    </row>
    <row r="15" spans="1:11" ht="13.8" thickBot="1" x14ac:dyDescent="0.3">
      <c r="A15" s="32"/>
      <c r="B15" s="40">
        <v>3700000000</v>
      </c>
      <c r="C15" s="41">
        <f>($E$2)+$C$2*(EXP($K$2*$B$6)-EXP($K$2*B15))</f>
        <v>11.144514042332418</v>
      </c>
      <c r="D15" s="41">
        <f>($F$2)+$H$2*(EXP($K$3*$B$6)-EXP($K$3*B15))</f>
        <v>12.983616884820304</v>
      </c>
      <c r="E15" s="42">
        <f>($G$2)+$D$2*(EXP($K$4*$B$6)-EXP($K$4*B15))</f>
        <v>31.182291072406287</v>
      </c>
      <c r="G15" s="33" t="s">
        <v>15</v>
      </c>
      <c r="H15" s="43" t="s">
        <v>16</v>
      </c>
      <c r="I15" s="22" t="s">
        <v>17</v>
      </c>
      <c r="J15" s="22" t="s">
        <v>18</v>
      </c>
      <c r="K15" s="23" t="s">
        <v>19</v>
      </c>
    </row>
    <row r="16" spans="1:11" ht="13.8" thickBot="1" x14ac:dyDescent="0.3">
      <c r="A16" s="30" t="s">
        <v>14</v>
      </c>
      <c r="B16" s="34">
        <f>3600000000</f>
        <v>3600000000</v>
      </c>
      <c r="C16" s="35">
        <f>($E$3)+$C$3*(EXP($K$2*$B$15)-EXP($K$2*B16))</f>
        <v>11.411024940563635</v>
      </c>
      <c r="D16" s="35">
        <f>($F$3)+$H$3*(EXP($K$3*$B$15)-EXP($K$3*B16))</f>
        <v>13.237244330050499</v>
      </c>
      <c r="E16" s="36">
        <f>($G$3)+$D$3*(EXP($K$4*$B$15)-EXP($K$4*B16))</f>
        <v>31.455413885430005</v>
      </c>
      <c r="G16" s="46">
        <v>290000000</v>
      </c>
      <c r="H16" s="44">
        <f>($E$3)+$C$3*(EXP($K$2*$B$15)-EXP($K$2*G16))</f>
        <v>18.244484658200037</v>
      </c>
      <c r="I16" s="44">
        <f>($F$3)+$H$3*(EXP($K$3*$B$15)-EXP($K$3*G16))</f>
        <v>15.590155596773281</v>
      </c>
      <c r="J16" s="44">
        <f>($G$3)+$D$3*(EXP($K$4*$B$15)-EXP($K$4*G16))</f>
        <v>38.16841663795234</v>
      </c>
      <c r="K16" s="45">
        <f>I16/H16</f>
        <v>0.8545133441062277</v>
      </c>
    </row>
    <row r="17" spans="1:5" x14ac:dyDescent="0.25">
      <c r="A17" s="31"/>
      <c r="B17" s="37">
        <v>3500000000</v>
      </c>
      <c r="C17" s="38">
        <f>($E$3)+$C$3*(EXP($K$2*$B$15)-EXP($K$2*B17))</f>
        <v>11.672955012178704</v>
      </c>
      <c r="D17" s="38">
        <f>($F$3)+$H$3*(EXP($K$3*$B$15)-EXP($K$3*B17))</f>
        <v>13.466736693480883</v>
      </c>
      <c r="E17" s="39">
        <f>($G$3)+$D$3*(EXP($K$4*$B$15)-EXP($K$4*B17))</f>
        <v>31.674739966337199</v>
      </c>
    </row>
    <row r="18" spans="1:5" x14ac:dyDescent="0.25">
      <c r="A18" s="31"/>
      <c r="B18" s="37">
        <v>3400000000</v>
      </c>
      <c r="C18" s="38">
        <f>($E$3)+$C$3*(EXP($K$2*$B$15)-EXP($K$2*B18))</f>
        <v>11.930853246347704</v>
      </c>
      <c r="D18" s="38">
        <f>($F$3)+$H$3*(EXP($K$3*$B$15)-EXP($K$3*B18))</f>
        <v>13.674704804207629</v>
      </c>
      <c r="E18" s="39">
        <f>($G$3)+$D$3*(EXP($K$4*$B$15)-EXP($K$4*B18))</f>
        <v>31.892983611342888</v>
      </c>
    </row>
    <row r="19" spans="1:5" x14ac:dyDescent="0.25">
      <c r="A19" s="31"/>
      <c r="B19" s="37">
        <v>3300000000</v>
      </c>
      <c r="C19" s="38">
        <f>($E$3)+$C$3*(EXP($K$2*$B$15)-EXP($K$2*B19))</f>
        <v>12.184781704341763</v>
      </c>
      <c r="D19" s="38">
        <f>($F$3)+$H$3*(EXP($K$3*$B$15)-EXP($K$3*B19))</f>
        <v>13.863167437267627</v>
      </c>
      <c r="E19" s="39">
        <f>($G$3)+$D$3*(EXP($K$4*$B$15)-EXP($K$4*B19))</f>
        <v>32.110150162572708</v>
      </c>
    </row>
    <row r="20" spans="1:5" x14ac:dyDescent="0.25">
      <c r="A20" s="31"/>
      <c r="B20" s="37">
        <v>3200000000</v>
      </c>
      <c r="C20" s="38">
        <f>($E$3)+$C$3*(EXP($K$2*$B$15)-EXP($K$2*B20))</f>
        <v>12.434801492135222</v>
      </c>
      <c r="D20" s="38">
        <f>($F$3)+$H$3*(EXP($K$3*$B$15)-EXP($K$3*B20))</f>
        <v>14.033954025344951</v>
      </c>
      <c r="E20" s="39">
        <f>($G$3)+$D$3*(EXP($K$4*$B$15)-EXP($K$4*B20))</f>
        <v>32.3262449357874</v>
      </c>
    </row>
    <row r="21" spans="1:5" x14ac:dyDescent="0.25">
      <c r="A21" s="31"/>
      <c r="B21" s="37">
        <v>3100000000</v>
      </c>
      <c r="C21" s="38">
        <f>($E$3)+$C$3*(EXP($K$2*$B$15)-EXP($K$2*B21))</f>
        <v>12.680972775110321</v>
      </c>
      <c r="D21" s="38">
        <f>($F$3)+$H$3*(EXP($K$3*$B$15)-EXP($K$3*B21))</f>
        <v>14.188722417325376</v>
      </c>
      <c r="E21" s="39">
        <f>($G$3)+$D$3*(EXP($K$4*$B$15)-EXP($K$4*B21))</f>
        <v>32.541273220512956</v>
      </c>
    </row>
    <row r="22" spans="1:5" x14ac:dyDescent="0.25">
      <c r="A22" s="31"/>
      <c r="B22" s="37">
        <v>3000000000</v>
      </c>
      <c r="C22" s="38">
        <f>($E$3)+$C$3*(EXP($K$2*$B$15)-EXP($K$2*B22))</f>
        <v>12.92335479253555</v>
      </c>
      <c r="D22" s="38">
        <f>($F$3)+$H$3*(EXP($K$3*$B$15)-EXP($K$3*B22))</f>
        <v>14.328974971263406</v>
      </c>
      <c r="E22" s="39">
        <f>($G$3)+$D$3*(EXP($K$4*$B$15)-EXP($K$4*B22))</f>
        <v>32.755240280170042</v>
      </c>
    </row>
    <row r="23" spans="1:5" x14ac:dyDescent="0.25">
      <c r="A23" s="31"/>
      <c r="B23" s="37">
        <v>2900000000</v>
      </c>
      <c r="C23" s="38">
        <f>($E$3)+$C$3*(EXP($K$2*$B$15)-EXP($K$2*B23))</f>
        <v>13.162005871821133</v>
      </c>
      <c r="D23" s="38">
        <f>($F$3)+$H$3*(EXP($K$3*$B$15)-EXP($K$3*B23))</f>
        <v>14.456073137978402</v>
      </c>
      <c r="E23" s="39">
        <f>($G$3)+$D$3*(EXP($K$4*$B$15)-EXP($K$4*B23))</f>
        <v>32.968151352202888</v>
      </c>
    </row>
    <row r="24" spans="1:5" x14ac:dyDescent="0.25">
      <c r="A24" s="31"/>
      <c r="B24" s="37">
        <v>2800000000</v>
      </c>
      <c r="C24" s="38">
        <f>($E$3)+$C$3*(EXP($K$2*$B$15)-EXP($K$2*B24))</f>
        <v>13.396983442555081</v>
      </c>
      <c r="D24" s="38">
        <f>($F$3)+$H$3*(EXP($K$3*$B$15)-EXP($K$3*B24))</f>
        <v>14.571250676844828</v>
      </c>
      <c r="E24" s="39">
        <f>($G$3)+$D$3*(EXP($K$4*$B$15)-EXP($K$4*B24))</f>
        <v>33.180011648207426</v>
      </c>
    </row>
    <row r="25" spans="1:5" x14ac:dyDescent="0.25">
      <c r="A25" s="31"/>
      <c r="B25" s="37">
        <v>2700000000</v>
      </c>
      <c r="C25" s="38">
        <f>($E$3)+$C$3*(EXP($K$2*$B$15)-EXP($K$2*B25))</f>
        <v>13.628344050323189</v>
      </c>
      <c r="D25" s="38">
        <f>($F$3)+$H$3*(EXP($K$3*$B$15)-EXP($K$3*B25))</f>
        <v>14.675625632064081</v>
      </c>
      <c r="E25" s="39">
        <f>($G$3)+$D$3*(EXP($K$4*$B$15)-EXP($K$4*B25))</f>
        <v>33.39082635405893</v>
      </c>
    </row>
    <row r="26" spans="1:5" x14ac:dyDescent="0.25">
      <c r="A26" s="31"/>
      <c r="B26" s="37">
        <v>2600000000</v>
      </c>
      <c r="C26" s="38">
        <f>($E$3)+$C$3*(EXP($K$2*$B$15)-EXP($K$2*B26))</f>
        <v>13.856143370316309</v>
      </c>
      <c r="D26" s="38">
        <f>($F$3)+$H$3*(EXP($K$3*$B$15)-EXP($K$3*B26))</f>
        <v>14.77021118567324</v>
      </c>
      <c r="E26" s="39">
        <f>($G$3)+$D$3*(EXP($K$4*$B$15)-EXP($K$4*B26))</f>
        <v>33.600600630038912</v>
      </c>
    </row>
    <row r="27" spans="1:5" x14ac:dyDescent="0.25">
      <c r="A27" s="31"/>
      <c r="B27" s="37">
        <v>2500000000</v>
      </c>
      <c r="C27" s="38">
        <f>($E$3)+$C$3*(EXP($K$2*$B$15)-EXP($K$2*B27))</f>
        <v>14.08043622072816</v>
      </c>
      <c r="D27" s="38">
        <f>($F$3)+$H$3*(EXP($K$3*$B$15)-EXP($K$3*B27))</f>
        <v>14.855925492642356</v>
      </c>
      <c r="E27" s="39">
        <f>($G$3)+$D$3*(EXP($K$4*$B$15)-EXP($K$4*B27))</f>
        <v>33.809339610961437</v>
      </c>
    </row>
    <row r="28" spans="1:5" x14ac:dyDescent="0.25">
      <c r="A28" s="31"/>
      <c r="B28" s="37">
        <v>2400000000</v>
      </c>
      <c r="C28" s="38">
        <f>($E$3)+$C$3*(EXP($K$2*$B$15)-EXP($K$2*B28))</f>
        <v>14.301276575946925</v>
      </c>
      <c r="D28" s="38">
        <f>($F$3)+$H$3*(EXP($K$3*$B$15)-EXP($K$3*B28))</f>
        <v>14.933600593530963</v>
      </c>
      <c r="E28" s="39">
        <f>($G$3)+$D$3*(EXP($K$4*$B$15)-EXP($K$4*B28))</f>
        <v>34.017048406298834</v>
      </c>
    </row>
    <row r="29" spans="1:5" x14ac:dyDescent="0.25">
      <c r="A29" s="31"/>
      <c r="B29" s="37">
        <v>2300000000</v>
      </c>
      <c r="C29" s="38">
        <f>($E$3)+$C$3*(EXP($K$2*$B$15)-EXP($K$2*B29))</f>
        <v>14.51871757954377</v>
      </c>
      <c r="D29" s="38">
        <f>($F$3)+$H$3*(EXP($K$3*$B$15)-EXP($K$3*B29))</f>
        <v>15.003990491220144</v>
      </c>
      <c r="E29" s="39">
        <f>($G$3)+$D$3*(EXP($K$4*$B$15)-EXP($K$4*B29))</f>
        <v>34.223732100306712</v>
      </c>
    </row>
    <row r="30" spans="1:5" x14ac:dyDescent="0.25">
      <c r="A30" s="31"/>
      <c r="B30" s="37">
        <v>2200000000</v>
      </c>
      <c r="C30" s="38">
        <f>($E$3)+$C$3*(EXP($K$2*$B$15)-EXP($K$2*B30))</f>
        <v>14.732811557061451</v>
      </c>
      <c r="D30" s="38">
        <f>($F$3)+$H$3*(EXP($K$3*$B$15)-EXP($K$3*B30))</f>
        <v>15.067778470122144</v>
      </c>
      <c r="E30" s="39">
        <f>($G$3)+$D$3*(EXP($K$4*$B$15)-EXP($K$4*B30))</f>
        <v>34.429395752148501</v>
      </c>
    </row>
    <row r="31" spans="1:5" x14ac:dyDescent="0.25">
      <c r="A31" s="31"/>
      <c r="B31" s="37">
        <v>2100000000</v>
      </c>
      <c r="C31" s="38">
        <f>($E$3)+$C$3*(EXP($K$2*$B$15)-EXP($K$2*B31))</f>
        <v>14.943610028606063</v>
      </c>
      <c r="D31" s="38">
        <f>($F$3)+$H$3*(EXP($K$3*$B$15)-EXP($K$3*B31))</f>
        <v>15.125583728916087</v>
      </c>
      <c r="E31" s="39">
        <f>($G$3)+$D$3*(EXP($K$4*$B$15)-EXP($K$4*B31))</f>
        <v>34.634044396019185</v>
      </c>
    </row>
    <row r="32" spans="1:5" x14ac:dyDescent="0.25">
      <c r="A32" s="31"/>
      <c r="B32" s="37">
        <v>2000000000</v>
      </c>
      <c r="C32" s="38">
        <f>($E$3)+$C$3*(EXP($K$2*$B$15)-EXP($K$2*B32))</f>
        <v>15.151163721244968</v>
      </c>
      <c r="D32" s="38">
        <f>($F$3)+$H$3*(EXP($K$3*$B$15)-EXP($K$3*B32))</f>
        <v>15.177967391194652</v>
      </c>
      <c r="E32" s="39">
        <f>($G$3)+$D$3*(EXP($K$4*$B$15)-EXP($K$4*B32))</f>
        <v>34.837683041268626</v>
      </c>
    </row>
    <row r="33" spans="1:10" x14ac:dyDescent="0.25">
      <c r="A33" s="31"/>
      <c r="B33" s="37">
        <v>1900000000</v>
      </c>
      <c r="C33" s="38">
        <f>($E$3)+$C$3*(EXP($K$2*$B$15)-EXP($K$2*B33))</f>
        <v>15.35552258121387</v>
      </c>
      <c r="D33" s="38">
        <f>($F$3)+$H$3*(EXP($K$3*$B$15)-EXP($K$3*B33))</f>
        <v>15.225437952367926</v>
      </c>
      <c r="E33" s="39">
        <f>($G$3)+$D$3*(EXP($K$4*$B$15)-EXP($K$4*B33))</f>
        <v>35.040316672524099</v>
      </c>
    </row>
    <row r="34" spans="1:10" x14ac:dyDescent="0.25">
      <c r="A34" s="31"/>
      <c r="B34" s="37">
        <v>1800000000</v>
      </c>
      <c r="C34" s="38">
        <f>($E$3)+$C$3*(EXP($K$2*$B$15)-EXP($K$2*B34))</f>
        <v>15.556735785936018</v>
      </c>
      <c r="D34" s="38">
        <f>($F$3)+$H$3*(EXP($K$3*$B$15)-EXP($K$3*B34))</f>
        <v>15.26845621569824</v>
      </c>
      <c r="E34" s="39">
        <f>($G$3)+$D$3*(EXP($K$4*$B$15)-EXP($K$4*B34))</f>
        <v>35.241950249812362</v>
      </c>
    </row>
    <row r="35" spans="1:10" x14ac:dyDescent="0.25">
      <c r="A35" s="31"/>
      <c r="B35" s="37">
        <v>1700000000</v>
      </c>
      <c r="C35" s="38">
        <f>($E$3)+$C$3*(EXP($K$2*$B$15)-EXP($K$2*B35))</f>
        <v>15.754851755856375</v>
      </c>
      <c r="D35" s="38">
        <f>($F$3)+$H$3*(EXP($K$3*$B$15)-EXP($K$3*B35))</f>
        <v>15.307439765380776</v>
      </c>
      <c r="E35" s="39">
        <f>($G$3)+$D$3*(EXP($K$4*$B$15)-EXP($K$4*B35))</f>
        <v>35.442588708681029</v>
      </c>
    </row>
    <row r="36" spans="1:10" x14ac:dyDescent="0.25">
      <c r="A36" s="31"/>
      <c r="B36" s="37">
        <v>1600000000</v>
      </c>
      <c r="C36" s="38">
        <f>($E$3)+$C$3*(EXP($K$2*$B$15)-EXP($K$2*B36))</f>
        <v>15.949918166093628</v>
      </c>
      <c r="D36" s="38">
        <f>($F$3)+$H$3*(EXP($K$3*$B$15)-EXP($K$3*B36))</f>
        <v>15.342767020090751</v>
      </c>
      <c r="E36" s="39">
        <f>($G$3)+$D$3*(EXP($K$4*$B$15)-EXP($K$4*B36))</f>
        <v>35.642236960319423</v>
      </c>
    </row>
    <row r="37" spans="1:10" x14ac:dyDescent="0.25">
      <c r="A37" s="31"/>
      <c r="B37" s="37">
        <v>1500000000</v>
      </c>
      <c r="C37" s="38">
        <f>($E$3)+$C$3*(EXP($K$2*$B$15)-EXP($K$2*B37))</f>
        <v>16.141981957912861</v>
      </c>
      <c r="D37" s="38">
        <f>($F$3)+$H$3*(EXP($K$3*$B$15)-EXP($K$3*B37))</f>
        <v>15.37478090634551</v>
      </c>
      <c r="E37" s="39">
        <f>($G$3)+$D$3*(EXP($K$4*$B$15)-EXP($K$4*B37))</f>
        <v>35.840899891678745</v>
      </c>
    </row>
    <row r="38" spans="1:10" x14ac:dyDescent="0.25">
      <c r="A38" s="31"/>
      <c r="B38" s="37">
        <v>1400000000</v>
      </c>
      <c r="C38" s="38">
        <f>($E$3)+$C$3*(EXP($K$2*$B$15)-EXP($K$2*B38))</f>
        <v>16.331089350021607</v>
      </c>
      <c r="D38" s="38">
        <f>($F$3)+$H$3*(EXP($K$3*$B$15)-EXP($K$3*B38))</f>
        <v>15.403792187339366</v>
      </c>
      <c r="E38" s="39">
        <f>($G$3)+$D$3*(EXP($K$4*$B$15)-EXP($K$4*B38))</f>
        <v>36.038582365591729</v>
      </c>
    </row>
    <row r="39" spans="1:10" x14ac:dyDescent="0.25">
      <c r="A39" s="31"/>
      <c r="B39" s="37">
        <v>1300000000</v>
      </c>
      <c r="C39" s="38">
        <f>($E$3)+$C$3*(EXP($K$2*$B$15)-EXP($K$2*B39))</f>
        <v>16.517285849692037</v>
      </c>
      <c r="D39" s="38">
        <f>($F$3)+$H$3*(EXP($K$3*$B$15)-EXP($K$3*B39))</f>
        <v>15.430082479564646</v>
      </c>
      <c r="E39" s="39">
        <f>($G$3)+$D$3*(EXP($K$4*$B$15)-EXP($K$4*B39))</f>
        <v>36.23528922089163</v>
      </c>
    </row>
    <row r="40" spans="1:10" x14ac:dyDescent="0.25">
      <c r="A40" s="31"/>
      <c r="B40" s="37">
        <v>1200000000</v>
      </c>
      <c r="C40" s="38">
        <f>($E$3)+$C$3*(EXP($K$2*$B$15)-EXP($K$2*B40))</f>
        <v>16.700616263711932</v>
      </c>
      <c r="D40" s="38">
        <f>($F$3)+$H$3*(EXP($K$3*$B$15)-EXP($K$3*B40))</f>
        <v>15.453906986501691</v>
      </c>
      <c r="E40" s="39">
        <f>($G$3)+$D$3*(EXP($K$4*$B$15)-EXP($K$4*B40))</f>
        <v>36.431025272530775</v>
      </c>
    </row>
    <row r="41" spans="1:10" x14ac:dyDescent="0.25">
      <c r="A41" s="31"/>
      <c r="B41" s="37">
        <v>1100000000</v>
      </c>
      <c r="C41" s="38">
        <f>($E$3)+$C$3*(EXP($K$2*$B$15)-EXP($K$2*B41))</f>
        <v>16.881124709167125</v>
      </c>
      <c r="D41" s="38">
        <f>($F$3)+$H$3*(EXP($K$3*$B$15)-EXP($K$3*B41))</f>
        <v>15.475496975914112</v>
      </c>
      <c r="E41" s="39">
        <f>($G$3)+$D$3*(EXP($K$4*$B$15)-EXP($K$4*B41))</f>
        <v>36.625795311698255</v>
      </c>
    </row>
    <row r="42" spans="1:10" x14ac:dyDescent="0.25">
      <c r="A42" s="31"/>
      <c r="B42" s="37">
        <v>1000000000</v>
      </c>
      <c r="C42" s="38">
        <f>($E$3)+$C$3*(EXP($K$2*$B$15)-EXP($K$2*B42))</f>
        <v>17.058854624057915</v>
      </c>
      <c r="D42" s="38">
        <f>($F$3)+$H$3*(EXP($K$3*$B$15)-EXP($K$3*B42))</f>
        <v>15.495062024796766</v>
      </c>
      <c r="E42" s="39">
        <f>($G$3)+$D$3*(EXP($K$4*$B$15)-EXP($K$4*B42))</f>
        <v>36.819604105937351</v>
      </c>
    </row>
    <row r="43" spans="1:10" x14ac:dyDescent="0.25">
      <c r="A43" s="31"/>
      <c r="B43" s="37">
        <v>800000000</v>
      </c>
      <c r="C43" s="38">
        <f>($E$3)+$C$3*(EXP($K$2*$B$15)-EXP($K$2*B43))</f>
        <v>17.406149281277191</v>
      </c>
      <c r="D43" s="38">
        <f>($F$3)+$H$3*(EXP($K$3*$B$15)-EXP($K$3*B43))</f>
        <v>15.528859170657473</v>
      </c>
      <c r="E43" s="39">
        <f>($G$3)+$D$3*(EXP($K$4*$B$15)-EXP($K$4*B43))</f>
        <v>37.204356912273781</v>
      </c>
    </row>
    <row r="44" spans="1:10" x14ac:dyDescent="0.25">
      <c r="A44" s="31"/>
      <c r="B44" s="37">
        <v>600000000</v>
      </c>
      <c r="C44" s="38">
        <f>($E$3)+$C$3*(EXP($K$2*$B$15)-EXP($K$2*B44))</f>
        <v>17.742834550874136</v>
      </c>
      <c r="D44" s="38">
        <f>($F$3)+$H$3*(EXP($K$3*$B$15)-EXP($K$3*B44))</f>
        <v>15.556613902900466</v>
      </c>
      <c r="E44" s="39">
        <f>($G$3)+$D$3*(EXP($K$4*$B$15)-EXP($K$4*B44))</f>
        <v>37.585321363389056</v>
      </c>
    </row>
    <row r="45" spans="1:10" x14ac:dyDescent="0.25">
      <c r="A45" s="31"/>
      <c r="B45" s="37">
        <v>400000000</v>
      </c>
      <c r="C45" s="38">
        <f>($E$3)+$C$3*(EXP($K$2*$B$15)-EXP($K$2*B45))</f>
        <v>18.069234535461277</v>
      </c>
      <c r="D45" s="38">
        <f>($F$3)+$H$3*(EXP($K$3*$B$15)-EXP($K$3*B45))</f>
        <v>15.579406512816552</v>
      </c>
      <c r="E45" s="39">
        <f>($G$3)+$D$3*(EXP($K$4*$B$15)-EXP($K$4*B45))</f>
        <v>37.962534760207426</v>
      </c>
    </row>
    <row r="46" spans="1:10" x14ac:dyDescent="0.25">
      <c r="A46" s="32"/>
      <c r="B46" s="40">
        <v>200000000</v>
      </c>
      <c r="C46" s="41">
        <f>($E$3)+$C$3*(EXP($K$2*$B$15)-EXP($K$2*B46))</f>
        <v>18.385663436749486</v>
      </c>
      <c r="D46" s="41">
        <f>($F$3)+$H$3*(EXP($K$3*$B$15)-EXP($K$3*B46))</f>
        <v>15.598124152109147</v>
      </c>
      <c r="E46" s="42">
        <f>($G$3)+$D$3*(EXP($K$4*$B$15)-EXP($K$4*B46))</f>
        <v>38.336034036380575</v>
      </c>
    </row>
    <row r="47" spans="1:10" x14ac:dyDescent="0.25">
      <c r="J47" s="2"/>
    </row>
  </sheetData>
  <mergeCells count="5">
    <mergeCell ref="A6:A15"/>
    <mergeCell ref="A16:A46"/>
    <mergeCell ref="G14:K14"/>
    <mergeCell ref="G10:K10"/>
    <mergeCell ref="G8:K8"/>
  </mergeCells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Smith</dc:creator>
  <cp:lastModifiedBy>William Smith</cp:lastModifiedBy>
  <dcterms:created xsi:type="dcterms:W3CDTF">2018-05-03T16:41:09Z</dcterms:created>
  <dcterms:modified xsi:type="dcterms:W3CDTF">2020-08-22T14:46:21Z</dcterms:modified>
</cp:coreProperties>
</file>