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j\Dropbox\Plovers\plover manuscripts\Demography\Rfiles\"/>
    </mc:Choice>
  </mc:AlternateContent>
  <xr:revisionPtr revIDLastSave="0" documentId="13_ncr:1_{0ADF8678-970A-462A-AC8B-2565D5835162}" xr6:coauthVersionLast="46" xr6:coauthVersionMax="46" xr10:uidLastSave="{00000000-0000-0000-0000-000000000000}"/>
  <bookViews>
    <workbookView xWindow="-108" yWindow="-108" windowWidth="23256" windowHeight="12576" xr2:uid="{35D4B186-F958-441F-A213-42FC8703096C}"/>
  </bookViews>
  <sheets>
    <sheet name="mcmcglmm" sheetId="1" r:id="rId1"/>
    <sheet name="Re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5" i="1" l="1"/>
  <c r="L35" i="1"/>
  <c r="L9" i="1"/>
  <c r="K9" i="1"/>
  <c r="L51" i="1"/>
  <c r="K51" i="1"/>
  <c r="L23" i="1"/>
  <c r="K23" i="1"/>
  <c r="L14" i="1"/>
  <c r="K14" i="1"/>
  <c r="L22" i="1"/>
  <c r="K22" i="1"/>
  <c r="L28" i="1"/>
  <c r="K28" i="1"/>
  <c r="L7" i="1"/>
  <c r="K7" i="1"/>
  <c r="L29" i="1"/>
  <c r="K29" i="1"/>
  <c r="L10" i="1"/>
  <c r="K10" i="1"/>
  <c r="L42" i="1"/>
  <c r="K42" i="1"/>
  <c r="L12" i="1"/>
  <c r="K12" i="1"/>
  <c r="L4" i="1"/>
  <c r="K4" i="1"/>
  <c r="L5" i="1"/>
  <c r="K5" i="1"/>
  <c r="M5" i="1"/>
  <c r="N23" i="1"/>
  <c r="M23" i="1"/>
  <c r="N22" i="1"/>
  <c r="M22" i="1"/>
  <c r="N29" i="1"/>
  <c r="M29" i="1"/>
  <c r="M14" i="1"/>
  <c r="N14" i="1"/>
  <c r="N35" i="1"/>
  <c r="M35" i="1"/>
  <c r="N12" i="1"/>
  <c r="M12" i="1"/>
  <c r="N10" i="1"/>
  <c r="M10" i="1"/>
  <c r="N28" i="1"/>
  <c r="M28" i="1"/>
  <c r="N4" i="1"/>
  <c r="M4" i="1"/>
  <c r="N5" i="1"/>
  <c r="N20" i="1" l="1"/>
  <c r="M20" i="1"/>
  <c r="N48" i="1"/>
  <c r="M48" i="1"/>
  <c r="N44" i="1"/>
  <c r="M44" i="1"/>
  <c r="M51" i="1"/>
  <c r="N51" i="1"/>
  <c r="N42" i="1"/>
  <c r="M42" i="1"/>
  <c r="N9" i="1"/>
  <c r="M9" i="1"/>
  <c r="G51" i="1"/>
  <c r="H51" i="1" s="1"/>
  <c r="F51" i="1"/>
  <c r="G50" i="1"/>
  <c r="H50" i="1" s="1"/>
  <c r="F50" i="1"/>
  <c r="G49" i="1"/>
  <c r="H49" i="1" s="1"/>
  <c r="F49" i="1"/>
  <c r="G48" i="1"/>
  <c r="H48" i="1" s="1"/>
  <c r="F48" i="1"/>
  <c r="G46" i="1"/>
  <c r="H46" i="1" s="1"/>
  <c r="F46" i="1"/>
  <c r="G47" i="1"/>
  <c r="H47" i="1" s="1"/>
  <c r="F47" i="1"/>
  <c r="G45" i="1"/>
  <c r="H45" i="1" s="1"/>
  <c r="F45" i="1"/>
  <c r="G44" i="1"/>
  <c r="H44" i="1" s="1"/>
  <c r="F44" i="1"/>
  <c r="G43" i="1"/>
  <c r="H43" i="1" s="1"/>
  <c r="F43" i="1"/>
  <c r="G37" i="1"/>
  <c r="H37" i="1" s="1"/>
  <c r="F37" i="1"/>
  <c r="G38" i="1"/>
  <c r="H38" i="1" s="1"/>
  <c r="F38" i="1"/>
  <c r="G39" i="1"/>
  <c r="H39" i="1" s="1"/>
  <c r="F39" i="1"/>
  <c r="G40" i="1"/>
  <c r="H40" i="1" s="1"/>
  <c r="F40" i="1"/>
  <c r="G41" i="1"/>
  <c r="H41" i="1" s="1"/>
  <c r="F41" i="1"/>
  <c r="G42" i="1"/>
  <c r="H42" i="1" s="1"/>
  <c r="F42" i="1"/>
  <c r="G35" i="1"/>
  <c r="H35" i="1" s="1"/>
  <c r="F35" i="1"/>
  <c r="G36" i="1"/>
  <c r="H36" i="1" s="1"/>
  <c r="F36" i="1"/>
  <c r="G21" i="1"/>
  <c r="H21" i="1" s="1"/>
  <c r="F21" i="1"/>
  <c r="G22" i="1"/>
  <c r="H22" i="1" s="1"/>
  <c r="F22" i="1"/>
  <c r="G23" i="1"/>
  <c r="H23" i="1" s="1"/>
  <c r="F23" i="1"/>
  <c r="G24" i="1"/>
  <c r="H24" i="1" s="1"/>
  <c r="F24" i="1"/>
  <c r="G25" i="1"/>
  <c r="H25" i="1" s="1"/>
  <c r="F25" i="1"/>
  <c r="G26" i="1"/>
  <c r="H26" i="1" s="1"/>
  <c r="F26" i="1"/>
  <c r="G27" i="1"/>
  <c r="H27" i="1" s="1"/>
  <c r="F27" i="1"/>
  <c r="G28" i="1"/>
  <c r="H28" i="1" s="1"/>
  <c r="F28" i="1"/>
  <c r="G29" i="1"/>
  <c r="H29" i="1" s="1"/>
  <c r="F29" i="1"/>
  <c r="G30" i="1"/>
  <c r="H30" i="1" s="1"/>
  <c r="F30" i="1"/>
  <c r="G31" i="1"/>
  <c r="H31" i="1" s="1"/>
  <c r="F31" i="1"/>
  <c r="G32" i="1"/>
  <c r="H32" i="1" s="1"/>
  <c r="F32" i="1"/>
  <c r="G33" i="1"/>
  <c r="H33" i="1" s="1"/>
  <c r="F33" i="1"/>
  <c r="G34" i="1"/>
  <c r="H34" i="1" s="1"/>
  <c r="F34" i="1"/>
  <c r="G18" i="1"/>
  <c r="H18" i="1" s="1"/>
  <c r="F18" i="1"/>
  <c r="G19" i="1"/>
  <c r="H19" i="1" s="1"/>
  <c r="F19" i="1"/>
  <c r="G20" i="1"/>
  <c r="H20" i="1" s="1"/>
  <c r="F20" i="1"/>
  <c r="G12" i="1"/>
  <c r="H12" i="1" s="1"/>
  <c r="F12" i="1"/>
  <c r="G13" i="1"/>
  <c r="H13" i="1" s="1"/>
  <c r="F13" i="1"/>
  <c r="G14" i="1"/>
  <c r="H14" i="1" s="1"/>
  <c r="F14" i="1"/>
  <c r="G15" i="1"/>
  <c r="H15" i="1" s="1"/>
  <c r="F15" i="1"/>
  <c r="G16" i="1"/>
  <c r="H16" i="1" s="1"/>
  <c r="F16" i="1"/>
  <c r="G17" i="1"/>
  <c r="H17" i="1" s="1"/>
  <c r="F17" i="1"/>
  <c r="G10" i="1"/>
  <c r="H10" i="1" s="1"/>
  <c r="F10" i="1"/>
  <c r="G11" i="1"/>
  <c r="H11" i="1" s="1"/>
  <c r="F11" i="1"/>
  <c r="G4" i="1"/>
  <c r="H4" i="1" s="1"/>
  <c r="F4" i="1"/>
  <c r="G5" i="1"/>
  <c r="H5" i="1" s="1"/>
  <c r="F5" i="1"/>
  <c r="G6" i="1"/>
  <c r="H6" i="1" s="1"/>
  <c r="F6" i="1"/>
  <c r="G7" i="1"/>
  <c r="H7" i="1" s="1"/>
  <c r="F7" i="1"/>
  <c r="G8" i="1"/>
  <c r="H8" i="1" s="1"/>
  <c r="F8" i="1"/>
  <c r="G9" i="1"/>
  <c r="H9" i="1" s="1"/>
  <c r="F9" i="1"/>
  <c r="G2" i="1"/>
  <c r="H2" i="1" s="1"/>
  <c r="F2" i="1"/>
  <c r="G3" i="1"/>
  <c r="H3" i="1" s="1"/>
  <c r="F3" i="1"/>
</calcChain>
</file>

<file path=xl/sharedStrings.xml><?xml version="1.0" encoding="utf-8"?>
<sst xmlns="http://schemas.openxmlformats.org/spreadsheetml/2006/main" count="448" uniqueCount="122">
  <si>
    <t>Pop</t>
  </si>
  <si>
    <t>phylo</t>
  </si>
  <si>
    <t>Length</t>
  </si>
  <si>
    <t>Mass</t>
  </si>
  <si>
    <t>LogMass</t>
  </si>
  <si>
    <t>Size</t>
  </si>
  <si>
    <t>LogSize</t>
  </si>
  <si>
    <t>Clutch</t>
  </si>
  <si>
    <t>Survival</t>
  </si>
  <si>
    <t>Method</t>
  </si>
  <si>
    <t>Latitude</t>
  </si>
  <si>
    <t>EquatorDist</t>
  </si>
  <si>
    <t>Hemisphere</t>
  </si>
  <si>
    <t>Study</t>
  </si>
  <si>
    <t>Afrontalis</t>
  </si>
  <si>
    <t>MR</t>
  </si>
  <si>
    <t>S</t>
  </si>
  <si>
    <t>Hay1984</t>
  </si>
  <si>
    <t>Dowding2001</t>
  </si>
  <si>
    <t>alexandrinus</t>
  </si>
  <si>
    <t>N</t>
  </si>
  <si>
    <t>Garcias2018</t>
  </si>
  <si>
    <t>Foppen2006</t>
  </si>
  <si>
    <t>Sandercock2005</t>
  </si>
  <si>
    <t>ODR</t>
  </si>
  <si>
    <t>Boyd1962</t>
  </si>
  <si>
    <t>RR</t>
  </si>
  <si>
    <t>dubius</t>
  </si>
  <si>
    <t>Pakanen2015</t>
  </si>
  <si>
    <t>hiaticula</t>
  </si>
  <si>
    <t>Pienkowski1984</t>
  </si>
  <si>
    <t>Laven1940</t>
  </si>
  <si>
    <t>Jackson1988</t>
  </si>
  <si>
    <t>Bub1962</t>
  </si>
  <si>
    <t>marginatus</t>
  </si>
  <si>
    <t>Jones2020</t>
  </si>
  <si>
    <t>Summers1980</t>
  </si>
  <si>
    <t>Lloyd2008</t>
  </si>
  <si>
    <t>melodus</t>
  </si>
  <si>
    <t>Roche2010</t>
  </si>
  <si>
    <t>Cohen2011</t>
  </si>
  <si>
    <t>Root1992</t>
  </si>
  <si>
    <t>Larson2000</t>
  </si>
  <si>
    <t>Saunders2014</t>
  </si>
  <si>
    <t>Haig1988</t>
  </si>
  <si>
    <t>C</t>
  </si>
  <si>
    <t>Cohen2006</t>
  </si>
  <si>
    <t>Calvert2006</t>
  </si>
  <si>
    <t>montanus</t>
  </si>
  <si>
    <t>Dinsmore2003</t>
  </si>
  <si>
    <t>Dinsmore2010</t>
  </si>
  <si>
    <t>nivosus</t>
  </si>
  <si>
    <t>CruzLopez2017</t>
  </si>
  <si>
    <t>Mullin2010</t>
  </si>
  <si>
    <t>Paton1994</t>
  </si>
  <si>
    <t>Warriner1986</t>
  </si>
  <si>
    <t>Stenzel2011</t>
  </si>
  <si>
    <t>Page1983</t>
  </si>
  <si>
    <t>obscurus</t>
  </si>
  <si>
    <t>Marchant1993</t>
  </si>
  <si>
    <t>pecuarius</t>
  </si>
  <si>
    <t>sanctaehelenae</t>
  </si>
  <si>
    <t>Burns2013</t>
  </si>
  <si>
    <t>semipalmatus</t>
  </si>
  <si>
    <t>Nol2014</t>
  </si>
  <si>
    <t>Badzinski2000</t>
  </si>
  <si>
    <t>thoracicus</t>
  </si>
  <si>
    <t>Tnovaeseelandiae</t>
  </si>
  <si>
    <t>Dowding1993</t>
  </si>
  <si>
    <t>Trubricollis</t>
  </si>
  <si>
    <t>Weston2000</t>
  </si>
  <si>
    <t>wilsonia</t>
  </si>
  <si>
    <t>DeRoseWilson2013</t>
  </si>
  <si>
    <t>Species</t>
  </si>
  <si>
    <t>LowerCI</t>
  </si>
  <si>
    <t>UpperCI</t>
  </si>
  <si>
    <t>Jackson, D. B. (1988). Habitat selection and breeding ecology of three species of waders in the Western Isles of Scotland. PhD Thesis, Durham University, Durham.</t>
  </si>
  <si>
    <t>Badzinski, D. S. (2001). Population dynamics of Semipalmated Plovers (Charadrius semipalmatus) breeding at Churchill, Manitoba. MSc Thesis, Trent University, Peterborough, Ontario.</t>
  </si>
  <si>
    <t>Boyd, H. (1962). Mortality and fertility of European Charadrii. Ibis, 104(3), 368–387. doi: 10.1111/j.1474-919X.1962.tb08664.x</t>
  </si>
  <si>
    <t>Bub, H. (1962). Planberingungen am Sandregenpfeifer (Charadrius hiaticula). Journal Für Ornithologie, 103(2–3), 243–249.</t>
  </si>
  <si>
    <t>Burns, F., McCulloch, N., Székely, T., &amp; Bolton, M. (2013). No overall benefit of predator exclosure cages for the endangered St. Helena Plover Charadrius sanctaehelenae. Ibis, 155(2), 397–401. doi: 10.1111/ibi.12021</t>
  </si>
  <si>
    <t>Calvert, A. M., Amirault, D. L., Shaffer, F., Elliot, R., Hanson, A., McKnight, J., &amp; Taylor, P. D. (2006). Population assessment of an endangered shorebird: the Piping Plover (Charadrius melodus melodus) in Eastern Canada. Avian Conservation and Ecology, 1(3). doi: 10.5751/ace-00091-010304</t>
  </si>
  <si>
    <t>Cohen, J. B., Fraser, J. D., &amp; Catlin, D. H. (2006). Survival and site fidelity of Piping Plovers on Long Island, New York. Journal of Field Ornithology, 77(4), 409–417. doi: 10.1111/j.1557-9263.2006.00072.x</t>
  </si>
  <si>
    <t>Cohen, J. B., &amp; Gratto-Trevor, C. (2011). Survival, site fidelity, and the population dynamics of Piping Plovers in Saskatchewan. Journal of Field Ornithology, 82(4), 379–394. doi: 10.1111/j.1557-9263.2011.00341.x</t>
  </si>
  <si>
    <t>Cruz-López, M., Eberhart-Phillips, L. J., Fernández, G., Beamonte-Barrientos, R., Székely, T., Serrano-Meneses, M. A., &amp; Küpper, C. (2017). The plight of a plover: Viability of an important Snowy Plover population with flexible brood care in Mexico. Biological Conservation, 209, 440–448. doi: 10.1016/j.biocon.2017.03.009</t>
  </si>
  <si>
    <t>DeRose-Wilson, A., Fraser, J. D., Karpanty, S. M., &amp; Catlin, D. H. (2013). Nest-site selection and demography of Wilson’s Plovers on a North Carolina barrier island. Journal of Field Ornithology, 84(4), 329–344. doi: 10.1111/jofo.12033</t>
  </si>
  <si>
    <t>Dinsmore, S. J., White, G. C., &amp; Knopf, F. L. (2003). Annual survival and population estimates of Mountain Plovers in southern Phillips County, Montana. Ecological Applications, 13(4), 1013–1026. doi: 10.1890/01-5311</t>
  </si>
  <si>
    <t>Dinsmore, S. J., Wunder, M. B., Dreitz, V. J., &amp; Knopf, F. L. (2010). An assessment of factors affecting population growth of the Mountain Plover. Avian Conservation and Ecology, 5(1). doi: 10.5751/ace-00378-050105</t>
  </si>
  <si>
    <t>Dowding, J. E., &amp; Kennedy, E. S. (1993). Size, age structure and morphometrics of the Shore Plover population on South East Island. Notornis, 40, 213–222.</t>
  </si>
  <si>
    <t>Dowding, J. E., &amp; Murphy, E. C. (2001). The impact of predation by introduced mammals on endemic shorebirds in New Zealand: A conservation perspective. Biological Conservation, 99(1), 47–64. doi: 10.1016/S0006-3207(00)00187-7</t>
  </si>
  <si>
    <t>Foppen, R. P. B., Majoor, F. A., Willems, F. J., Meininger, P. L., Van Houwelingen, G. C., &amp; Wolf, P. A. (2006). Survival and emigration rates in Kentish Charadrius alexandrinus and Ringed Plovers Ch. hiaticula in the Delta area, SW-Netherlands. Ardea, 94(2), 159.</t>
  </si>
  <si>
    <t>Garcias, P. J., &amp; Tavecchia, G. (2018). Apparent survival and long-term population growth rate of the Kentish Plover Charadrius alexandrinus in Mallorca, Archipelago, Spain. Ardeola, 65(1), 59–68. doi: 10.13157/arla.65.1.2018.sc2</t>
  </si>
  <si>
    <t>Haig, S. M., &amp; Oring, L. W. (1988). Distribution and dispersal in the Piping Plover. The Auk, 105(4), 630–638. doi: 10.1093/auk/105.4.630</t>
  </si>
  <si>
    <t>Hay, J. R. (1984). The behavioural ecology of the Wrybill Plover Anarhynchus frontalis. PhD Thesis. University of Auckland, Aukland.</t>
  </si>
  <si>
    <t>Larson, M. A., Ryan, M. R., &amp; Root, B. G. (2000). Piping plover survival in the Great Plains: An updated analysis. Journal of Field Ornithology, 721–729.</t>
  </si>
  <si>
    <t>Laven, H. (1940). Beiträge zur Biologie des Sandregenpfeifers (Charadrius hiaticula L.). Journal Für Ornithologie, 88(2), 183–287.</t>
  </si>
  <si>
    <t>Lloyd, P. (2008). Adult survival, dispersal and mate fidelity in the White-fronted Plover Charadrius marginatus. Ibis, 150(1), 182–187. doi: 10.1111/j.1474-919X.2007.00739.x</t>
  </si>
  <si>
    <t>Marchant, S., &amp; Higgins, P. J. (1993). Handbook of Australian, New Zealand and Antarctic Birds. Melbourne: Oxford University Press Australia.</t>
  </si>
  <si>
    <t>Mullin, S. M., Colwell, M. A., McAllister, S. E., &amp; Dinsmore, S. J. (2010). Apparent survival and population growth of Snowy Plovers in coastal Northern California. Journal of Wildlife Management, 74(8), 1792–1798. doi: 10.2193/2009-503</t>
  </si>
  <si>
    <t>Nol, E, &amp; Blanken, M. S. (2014). Semipalmated Plover (Charadrius semipalmatus), version 2.0. In The birds of North America. Cornell Lab of Ornithology, Ithaca, New York, USA. (Vol. 444).</t>
  </si>
  <si>
    <t>Page, G. W., Stenzel, L. E., Winkler, D. W., &amp; Swarth, C. W. (1983). Spacing out at Mono Lake: breeding success, nest density, and predation in the Snowy Plover. Auk, 100(1), 13–24. doi: 10.1093/auk/100.1.13</t>
  </si>
  <si>
    <t>Pakanen, V. M., Lampila, S., Arppe, H., &amp; Valkama, J. (2015). Estimating sex specific apparent survival and dispersal of Little Ringed Plovers (Charadrius dubius). Ornis Fennica, 92(4), 172–186. Retrieved from https://www.researchgate.net/publication/281740839</t>
  </si>
  <si>
    <t>Paton, P. W. C. (1994). Survival estimates for Snowy Plovers breeding at Great Salt Lake, Utah. Condor, 96(4), 1106–1109. doi: 10.2307/1369123</t>
  </si>
  <si>
    <t>Pienkowski, M. W. (1984). Behaviour of young Ringed Plovers Charadrius hiaticula and its relationship to growth and survival to reproductive age. Ibis, 126(2), 133–155. doi: 10.1111/j.1474-919X.1984.tb07994.x</t>
  </si>
  <si>
    <t>Roche, E. A., Cohen, J. B., Catlin, D. H., Amirault-Langlais, D. L., Cuthbert, F. J., Gratto-Trevor, C. L., … Fraser, J. D. (2010). Range-wide Piping Plover survival: Correlated patterns and temporal declines. Journal of Wildlife Management, 74(8), 1784–1791. doi: 10.2193/2009-446</t>
  </si>
  <si>
    <t>Root, B. G., Ryan, M. R., &amp; Mayer, P. M. (1992). Piping Plover survival in the Great Plains. Journal of Field Ornithology, 10–15.</t>
  </si>
  <si>
    <t>Sandercock, B. K., Székely, T., &amp; Kosztolányi, A. (2005). The effects of age and sex on the apparent survival of Kentish Plovers breeding in southern Turkey. The Condor, 107(3), 583–596. doi: 10.1093/condor/107.3.583</t>
  </si>
  <si>
    <t>Saunders, S. P., Arnold, T. W., Roche, E. A., &amp; Cuthbert, F. J. (2014). Age-specific survival and recruitment of Piping Plovers Charadrius melodus in the Great Lakes region. Journal of Avian Biology, 45(5), 437–449. doi: 10.1111/jav.00319</t>
  </si>
  <si>
    <t>Stenzel, L. E., Page, G. W., Warriner, J. C., Warriner, J. S., Neuman, K. K., George, D. E., … Bidstrup, F. C. (2011). Male-skewed adult sex ratio, survival, mating opportunity and annual productivity in the Snowy Plover Charadrius alexandrinus. Ibis, 153(2), 312–322. doi: 10.1111/j.1474-919X.2011.01118.x</t>
  </si>
  <si>
    <t>Summers, R. W., &amp; Hockey, P. A. R. (1980). Breeding biology of the White-fronted Plover (Charadrius marginatus) in the south-western cape, south africa. Journal of Natural History, 14(3), 433–445. doi: 10.1080/00222938000770371</t>
  </si>
  <si>
    <t>Warriner, J. S., Warriner, J. C., Page, G. W., &amp; Stenzel, L. E. (1986). Mating system and reproductive success of a small population of polygamous Snowy Plovers. The Wilson Bulletin, 15–37.</t>
  </si>
  <si>
    <t>Weston, M. A. (2000). The effect of disturbance on the breeding biology of Hooded Plovers. PhD Thesis, University of Melbourne, Melbourne.</t>
  </si>
  <si>
    <t>NA</t>
  </si>
  <si>
    <t>Notes</t>
  </si>
  <si>
    <t>Possibly SE, not CI</t>
  </si>
  <si>
    <t>No CI or SE published</t>
  </si>
  <si>
    <t>Averaged from male and female survival rates, so not possible to retrieve CI</t>
  </si>
  <si>
    <t>LowerSE</t>
  </si>
  <si>
    <t>UpperSE</t>
  </si>
  <si>
    <t>Combination of several years, so no CI/SE</t>
  </si>
  <si>
    <t>CI/SE unpublished</t>
  </si>
  <si>
    <t>M/F calculated seperately, so no CI/SE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</si>
</sst>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B130-055D-40C2-88BD-E1F289088592}">
  <dimension ref="A1:U51"/>
  <sheetViews>
    <sheetView tabSelected="1" workbookViewId="0"/>
  </sheetViews>
  <sheetFormatPr defaultRowHeight="14.4" x14ac:dyDescent="0.3"/>
  <cols>
    <col min="2" max="2" width="21.5546875" bestFit="1" customWidth="1"/>
    <col min="3" max="3" width="21.5546875" customWidth="1"/>
    <col min="4" max="4" width="6" bestFit="1" customWidth="1"/>
    <col min="5" max="5" width="6" customWidth="1"/>
    <col min="6" max="9" width="7.33203125" customWidth="1"/>
    <col min="10" max="10" width="7.33203125" bestFit="1" customWidth="1"/>
    <col min="11" max="14" width="7.33203125" customWidth="1"/>
    <col min="15" max="15" width="7.44140625" bestFit="1" customWidth="1"/>
    <col min="16" max="18" width="7.44140625" customWidth="1"/>
    <col min="19" max="19" width="14.44140625" bestFit="1" customWidth="1"/>
  </cols>
  <sheetData>
    <row r="1" spans="1:20" x14ac:dyDescent="0.3">
      <c r="A1" t="s">
        <v>0</v>
      </c>
      <c r="B1" t="s">
        <v>1</v>
      </c>
      <c r="C1" t="s">
        <v>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74</v>
      </c>
      <c r="L1" t="s">
        <v>75</v>
      </c>
      <c r="M1" t="s">
        <v>117</v>
      </c>
      <c r="N1" t="s">
        <v>118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113</v>
      </c>
    </row>
    <row r="2" spans="1:20" x14ac:dyDescent="0.3">
      <c r="A2">
        <v>1</v>
      </c>
      <c r="B2" t="s">
        <v>14</v>
      </c>
      <c r="C2" t="s">
        <v>14</v>
      </c>
      <c r="D2">
        <v>20.5</v>
      </c>
      <c r="E2">
        <v>55.5</v>
      </c>
      <c r="F2">
        <f>LOG(E2)</f>
        <v>1.7442929831226763</v>
      </c>
      <c r="G2">
        <f>E2/D2</f>
        <v>2.7073170731707319</v>
      </c>
      <c r="H2">
        <f>LOG(G2)</f>
        <v>0.43253912206692197</v>
      </c>
      <c r="I2">
        <v>2</v>
      </c>
      <c r="J2">
        <v>0.8</v>
      </c>
      <c r="K2" t="s">
        <v>112</v>
      </c>
      <c r="L2" t="s">
        <v>112</v>
      </c>
      <c r="M2" t="s">
        <v>112</v>
      </c>
      <c r="N2" t="s">
        <v>112</v>
      </c>
      <c r="O2" t="s">
        <v>26</v>
      </c>
      <c r="P2">
        <v>-43.38</v>
      </c>
      <c r="Q2">
        <v>43.38</v>
      </c>
      <c r="R2" t="s">
        <v>16</v>
      </c>
      <c r="S2" t="s">
        <v>18</v>
      </c>
      <c r="T2" t="s">
        <v>115</v>
      </c>
    </row>
    <row r="3" spans="1:20" x14ac:dyDescent="0.3">
      <c r="A3">
        <v>2</v>
      </c>
      <c r="B3" t="s">
        <v>14</v>
      </c>
      <c r="C3" t="s">
        <v>14</v>
      </c>
      <c r="D3">
        <v>20.5</v>
      </c>
      <c r="E3">
        <v>55.5</v>
      </c>
      <c r="F3">
        <f>LOG(E3)</f>
        <v>1.7442929831226763</v>
      </c>
      <c r="G3">
        <f>E3/D3</f>
        <v>2.7073170731707319</v>
      </c>
      <c r="H3">
        <f>LOG(G3)</f>
        <v>0.43253912206692197</v>
      </c>
      <c r="I3">
        <v>2</v>
      </c>
      <c r="J3">
        <v>0.83</v>
      </c>
      <c r="K3" t="s">
        <v>112</v>
      </c>
      <c r="L3" t="s">
        <v>112</v>
      </c>
      <c r="M3" t="s">
        <v>112</v>
      </c>
      <c r="N3" t="s">
        <v>112</v>
      </c>
      <c r="O3" t="s">
        <v>26</v>
      </c>
      <c r="P3">
        <v>-43.38</v>
      </c>
      <c r="Q3">
        <v>43.38</v>
      </c>
      <c r="R3" t="s">
        <v>16</v>
      </c>
      <c r="S3" t="s">
        <v>17</v>
      </c>
      <c r="T3" t="s">
        <v>115</v>
      </c>
    </row>
    <row r="4" spans="1:20" x14ac:dyDescent="0.3">
      <c r="A4">
        <v>3</v>
      </c>
      <c r="B4" t="s">
        <v>19</v>
      </c>
      <c r="C4" t="s">
        <v>19</v>
      </c>
      <c r="D4">
        <v>16</v>
      </c>
      <c r="E4">
        <v>44</v>
      </c>
      <c r="F4">
        <f>LOG(E4)</f>
        <v>1.6434526764861874</v>
      </c>
      <c r="G4">
        <f>E4/D4</f>
        <v>2.75</v>
      </c>
      <c r="H4">
        <f>LOG(G4)</f>
        <v>0.43933269383026263</v>
      </c>
      <c r="I4">
        <v>3</v>
      </c>
      <c r="J4">
        <v>0.6</v>
      </c>
      <c r="K4">
        <f>J4-1.96*0.103</f>
        <v>0.39812000000000003</v>
      </c>
      <c r="L4">
        <f>J4+1.96*0.103</f>
        <v>0.80187999999999993</v>
      </c>
      <c r="M4">
        <f>J4-0.103</f>
        <v>0.497</v>
      </c>
      <c r="N4">
        <f>J4+0.103</f>
        <v>0.70299999999999996</v>
      </c>
      <c r="O4" t="s">
        <v>24</v>
      </c>
      <c r="P4">
        <v>53.4</v>
      </c>
      <c r="Q4">
        <v>53.4</v>
      </c>
      <c r="R4" t="s">
        <v>20</v>
      </c>
      <c r="S4" t="s">
        <v>25</v>
      </c>
    </row>
    <row r="5" spans="1:20" x14ac:dyDescent="0.3">
      <c r="A5">
        <v>4</v>
      </c>
      <c r="B5" t="s">
        <v>19</v>
      </c>
      <c r="C5" t="s">
        <v>19</v>
      </c>
      <c r="D5">
        <v>16</v>
      </c>
      <c r="E5">
        <v>44</v>
      </c>
      <c r="F5">
        <f>LOG(E5)</f>
        <v>1.6434526764861874</v>
      </c>
      <c r="G5">
        <f>E5/D5</f>
        <v>2.75</v>
      </c>
      <c r="H5">
        <f>LOG(G5)</f>
        <v>0.43933269383026263</v>
      </c>
      <c r="I5">
        <v>3</v>
      </c>
      <c r="J5">
        <v>0.59</v>
      </c>
      <c r="K5">
        <f>J5-1.96*0.13</f>
        <v>0.33519999999999994</v>
      </c>
      <c r="L5">
        <f>J5+1.96*0.13</f>
        <v>0.8448</v>
      </c>
      <c r="M5">
        <f>J5-0.13</f>
        <v>0.45999999999999996</v>
      </c>
      <c r="N5">
        <f>J5+0.13</f>
        <v>0.72</v>
      </c>
      <c r="O5" t="s">
        <v>26</v>
      </c>
      <c r="P5">
        <v>55.6</v>
      </c>
      <c r="Q5">
        <v>55.6</v>
      </c>
      <c r="R5" t="s">
        <v>20</v>
      </c>
      <c r="S5" t="s">
        <v>25</v>
      </c>
    </row>
    <row r="6" spans="1:20" x14ac:dyDescent="0.3">
      <c r="A6">
        <v>5</v>
      </c>
      <c r="B6" t="s">
        <v>19</v>
      </c>
      <c r="C6" t="s">
        <v>19</v>
      </c>
      <c r="D6">
        <v>16</v>
      </c>
      <c r="E6">
        <v>44</v>
      </c>
      <c r="F6">
        <f>LOG(E6)</f>
        <v>1.6434526764861874</v>
      </c>
      <c r="G6">
        <f>E6/D6</f>
        <v>2.75</v>
      </c>
      <c r="H6">
        <f>LOG(G6)</f>
        <v>0.43933269383026263</v>
      </c>
      <c r="I6">
        <v>3</v>
      </c>
      <c r="J6">
        <v>0.55000000000000004</v>
      </c>
      <c r="K6" t="s">
        <v>112</v>
      </c>
      <c r="L6" t="s">
        <v>112</v>
      </c>
      <c r="M6" t="s">
        <v>112</v>
      </c>
      <c r="N6" t="s">
        <v>112</v>
      </c>
      <c r="O6" t="s">
        <v>24</v>
      </c>
      <c r="P6">
        <v>53.75</v>
      </c>
      <c r="Q6">
        <v>53.75</v>
      </c>
      <c r="R6" t="s">
        <v>20</v>
      </c>
      <c r="S6" t="s">
        <v>25</v>
      </c>
      <c r="T6" t="s">
        <v>115</v>
      </c>
    </row>
    <row r="7" spans="1:20" x14ac:dyDescent="0.3">
      <c r="A7">
        <v>6</v>
      </c>
      <c r="B7" t="s">
        <v>19</v>
      </c>
      <c r="C7" t="s">
        <v>19</v>
      </c>
      <c r="D7">
        <v>16</v>
      </c>
      <c r="E7">
        <v>44</v>
      </c>
      <c r="F7">
        <f>LOG(E7)</f>
        <v>1.6434526764861874</v>
      </c>
      <c r="G7">
        <f>E7/D7</f>
        <v>2.75</v>
      </c>
      <c r="H7">
        <f>LOG(G7)</f>
        <v>0.43933269383026263</v>
      </c>
      <c r="I7">
        <v>3</v>
      </c>
      <c r="J7">
        <v>0.64</v>
      </c>
      <c r="K7">
        <f>J7-1.96*0.063</f>
        <v>0.51651999999999998</v>
      </c>
      <c r="L7">
        <f>J7+1.96*0.063</f>
        <v>0.76348000000000005</v>
      </c>
      <c r="M7">
        <v>0.63</v>
      </c>
      <c r="N7">
        <v>0.65</v>
      </c>
      <c r="O7" t="s">
        <v>15</v>
      </c>
      <c r="P7">
        <v>36.43</v>
      </c>
      <c r="Q7">
        <v>36.43</v>
      </c>
      <c r="R7" t="s">
        <v>20</v>
      </c>
      <c r="S7" t="s">
        <v>23</v>
      </c>
    </row>
    <row r="8" spans="1:20" x14ac:dyDescent="0.3">
      <c r="A8">
        <v>7</v>
      </c>
      <c r="B8" t="s">
        <v>19</v>
      </c>
      <c r="C8" t="s">
        <v>19</v>
      </c>
      <c r="D8">
        <v>16</v>
      </c>
      <c r="E8">
        <v>44</v>
      </c>
      <c r="F8">
        <f>LOG(E8)</f>
        <v>1.6434526764861874</v>
      </c>
      <c r="G8">
        <f>E8/D8</f>
        <v>2.75</v>
      </c>
      <c r="H8">
        <f>LOG(G8)</f>
        <v>0.43933269383026263</v>
      </c>
      <c r="I8">
        <v>3</v>
      </c>
      <c r="J8">
        <v>0.76</v>
      </c>
      <c r="K8" t="s">
        <v>112</v>
      </c>
      <c r="L8" t="s">
        <v>112</v>
      </c>
      <c r="M8" t="s">
        <v>112</v>
      </c>
      <c r="N8" t="s">
        <v>112</v>
      </c>
      <c r="O8" t="s">
        <v>15</v>
      </c>
      <c r="P8">
        <v>51.52</v>
      </c>
      <c r="Q8">
        <v>51.52</v>
      </c>
      <c r="R8" t="s">
        <v>20</v>
      </c>
      <c r="S8" t="s">
        <v>22</v>
      </c>
      <c r="T8" t="s">
        <v>119</v>
      </c>
    </row>
    <row r="9" spans="1:20" x14ac:dyDescent="0.3">
      <c r="A9">
        <v>8</v>
      </c>
      <c r="B9" t="s">
        <v>19</v>
      </c>
      <c r="C9" t="s">
        <v>19</v>
      </c>
      <c r="D9">
        <v>16</v>
      </c>
      <c r="E9">
        <v>44</v>
      </c>
      <c r="F9">
        <f>LOG(E9)</f>
        <v>1.6434526764861874</v>
      </c>
      <c r="G9">
        <f>E9/D9</f>
        <v>2.75</v>
      </c>
      <c r="H9">
        <f>LOG(G9)</f>
        <v>0.43933269383026263</v>
      </c>
      <c r="I9">
        <v>3</v>
      </c>
      <c r="J9">
        <v>0.76</v>
      </c>
      <c r="K9">
        <f>J9-1.96*0.05</f>
        <v>0.66200000000000003</v>
      </c>
      <c r="L9">
        <f>J9+1.96*0.05</f>
        <v>0.85799999999999998</v>
      </c>
      <c r="M9">
        <f>J9-0.05</f>
        <v>0.71</v>
      </c>
      <c r="N9">
        <f>J9+0.05</f>
        <v>0.81</v>
      </c>
      <c r="O9" t="s">
        <v>15</v>
      </c>
      <c r="P9">
        <v>39.630000000000003</v>
      </c>
      <c r="Q9">
        <v>39.630000000000003</v>
      </c>
      <c r="R9" t="s">
        <v>20</v>
      </c>
      <c r="S9" t="s">
        <v>21</v>
      </c>
      <c r="T9" t="s">
        <v>114</v>
      </c>
    </row>
    <row r="10" spans="1:20" x14ac:dyDescent="0.3">
      <c r="A10">
        <v>9</v>
      </c>
      <c r="B10" t="s">
        <v>27</v>
      </c>
      <c r="C10" t="s">
        <v>27</v>
      </c>
      <c r="D10">
        <v>15.5</v>
      </c>
      <c r="E10">
        <v>39.5</v>
      </c>
      <c r="F10">
        <f>LOG(E10)</f>
        <v>1.5965970956264601</v>
      </c>
      <c r="G10">
        <f>E10/D10</f>
        <v>2.5483870967741935</v>
      </c>
      <c r="H10">
        <f>LOG(G10)</f>
        <v>0.40626539745616874</v>
      </c>
      <c r="I10">
        <v>4</v>
      </c>
      <c r="J10">
        <v>0.65</v>
      </c>
      <c r="K10">
        <f>J10-1.96*0.104</f>
        <v>0.44616</v>
      </c>
      <c r="L10">
        <f>J10+1.96*0.104</f>
        <v>0.85384000000000004</v>
      </c>
      <c r="M10">
        <f>J10-0.104</f>
        <v>0.54600000000000004</v>
      </c>
      <c r="N10">
        <f>J10+0.104</f>
        <v>0.754</v>
      </c>
      <c r="O10" t="s">
        <v>24</v>
      </c>
      <c r="P10">
        <v>55.6</v>
      </c>
      <c r="Q10">
        <v>52.2</v>
      </c>
      <c r="R10" t="s">
        <v>20</v>
      </c>
      <c r="S10" t="s">
        <v>25</v>
      </c>
    </row>
    <row r="11" spans="1:20" x14ac:dyDescent="0.3">
      <c r="A11">
        <v>10</v>
      </c>
      <c r="B11" t="s">
        <v>27</v>
      </c>
      <c r="C11" t="s">
        <v>27</v>
      </c>
      <c r="D11">
        <v>15.5</v>
      </c>
      <c r="E11">
        <v>39.5</v>
      </c>
      <c r="F11">
        <f>LOG(E11)</f>
        <v>1.5965970956264601</v>
      </c>
      <c r="G11">
        <f>E11/D11</f>
        <v>2.5483870967741935</v>
      </c>
      <c r="H11">
        <f>LOG(G11)</f>
        <v>0.40626539745616874</v>
      </c>
      <c r="I11">
        <v>4</v>
      </c>
      <c r="J11">
        <v>0.72</v>
      </c>
      <c r="K11" t="s">
        <v>112</v>
      </c>
      <c r="L11" t="s">
        <v>112</v>
      </c>
      <c r="M11" t="s">
        <v>112</v>
      </c>
      <c r="N11" t="s">
        <v>112</v>
      </c>
      <c r="O11" t="s">
        <v>15</v>
      </c>
      <c r="P11">
        <v>60.1</v>
      </c>
      <c r="Q11">
        <v>60.1</v>
      </c>
      <c r="R11" t="s">
        <v>20</v>
      </c>
      <c r="S11" t="s">
        <v>28</v>
      </c>
      <c r="T11" t="s">
        <v>116</v>
      </c>
    </row>
    <row r="12" spans="1:20" x14ac:dyDescent="0.3">
      <c r="A12">
        <v>11</v>
      </c>
      <c r="B12" t="s">
        <v>29</v>
      </c>
      <c r="C12" t="s">
        <v>29</v>
      </c>
      <c r="D12">
        <v>19</v>
      </c>
      <c r="E12">
        <v>60</v>
      </c>
      <c r="F12">
        <f>LOG(E12)</f>
        <v>1.7781512503836436</v>
      </c>
      <c r="G12">
        <f>E12/D12</f>
        <v>3.1578947368421053</v>
      </c>
      <c r="H12">
        <f>LOG(G12)</f>
        <v>0.49939764943081466</v>
      </c>
      <c r="I12">
        <v>4</v>
      </c>
      <c r="J12">
        <v>0.57999999999999996</v>
      </c>
      <c r="K12">
        <f>J12-1.96*0.0548</f>
        <v>0.47259199999999996</v>
      </c>
      <c r="L12">
        <f>J12+1.96*0.0548</f>
        <v>0.68740800000000002</v>
      </c>
      <c r="M12">
        <f>J12-0.0548</f>
        <v>0.5252</v>
      </c>
      <c r="N12">
        <f>J12+0.0548</f>
        <v>0.63479999999999992</v>
      </c>
      <c r="O12" t="s">
        <v>24</v>
      </c>
      <c r="P12">
        <v>57.3</v>
      </c>
      <c r="Q12">
        <v>57.3</v>
      </c>
      <c r="R12" t="s">
        <v>20</v>
      </c>
      <c r="S12" t="s">
        <v>25</v>
      </c>
    </row>
    <row r="13" spans="1:20" x14ac:dyDescent="0.3">
      <c r="A13">
        <v>12</v>
      </c>
      <c r="B13" t="s">
        <v>29</v>
      </c>
      <c r="C13" t="s">
        <v>29</v>
      </c>
      <c r="D13">
        <v>19</v>
      </c>
      <c r="E13">
        <v>60</v>
      </c>
      <c r="F13">
        <f>LOG(E13)</f>
        <v>1.7781512503836436</v>
      </c>
      <c r="G13">
        <f>E13/D13</f>
        <v>3.1578947368421053</v>
      </c>
      <c r="H13">
        <f>LOG(G13)</f>
        <v>0.49939764943081466</v>
      </c>
      <c r="I13">
        <v>4</v>
      </c>
      <c r="J13">
        <v>0.73</v>
      </c>
      <c r="K13" t="s">
        <v>112</v>
      </c>
      <c r="L13" t="s">
        <v>112</v>
      </c>
      <c r="M13" t="s">
        <v>112</v>
      </c>
      <c r="N13" t="s">
        <v>112</v>
      </c>
      <c r="O13" t="s">
        <v>15</v>
      </c>
      <c r="P13">
        <v>53.51</v>
      </c>
      <c r="Q13">
        <v>53.51</v>
      </c>
      <c r="R13" t="s">
        <v>20</v>
      </c>
      <c r="S13" t="s">
        <v>33</v>
      </c>
      <c r="T13" t="s">
        <v>115</v>
      </c>
    </row>
    <row r="14" spans="1:20" x14ac:dyDescent="0.3">
      <c r="A14">
        <v>13</v>
      </c>
      <c r="B14" t="s">
        <v>29</v>
      </c>
      <c r="C14" t="s">
        <v>29</v>
      </c>
      <c r="D14">
        <v>19</v>
      </c>
      <c r="E14">
        <v>60</v>
      </c>
      <c r="F14">
        <f>LOG(E14)</f>
        <v>1.7781512503836436</v>
      </c>
      <c r="G14">
        <f>E14/D14</f>
        <v>3.1578947368421053</v>
      </c>
      <c r="H14">
        <f>LOG(G14)</f>
        <v>0.49939764943081466</v>
      </c>
      <c r="I14">
        <v>4</v>
      </c>
      <c r="J14">
        <v>0.73</v>
      </c>
      <c r="K14">
        <f>J14-1.96*0.068</f>
        <v>0.59671999999999992</v>
      </c>
      <c r="L14">
        <f>J14+1.96*0.068</f>
        <v>0.86328000000000005</v>
      </c>
      <c r="M14">
        <f>J14-0.068</f>
        <v>0.66199999999999992</v>
      </c>
      <c r="N14">
        <f>J14+0.068</f>
        <v>0.79800000000000004</v>
      </c>
      <c r="O14" t="s">
        <v>15</v>
      </c>
      <c r="P14">
        <v>57.8</v>
      </c>
      <c r="Q14">
        <v>55.5</v>
      </c>
      <c r="R14" t="s">
        <v>20</v>
      </c>
      <c r="S14" t="s">
        <v>32</v>
      </c>
    </row>
    <row r="15" spans="1:20" x14ac:dyDescent="0.3">
      <c r="A15">
        <v>14</v>
      </c>
      <c r="B15" t="s">
        <v>29</v>
      </c>
      <c r="C15" t="s">
        <v>29</v>
      </c>
      <c r="D15">
        <v>19</v>
      </c>
      <c r="E15">
        <v>60</v>
      </c>
      <c r="F15">
        <f>LOG(E15)</f>
        <v>1.7781512503836436</v>
      </c>
      <c r="G15">
        <f>E15/D15</f>
        <v>3.1578947368421053</v>
      </c>
      <c r="H15">
        <f>LOG(G15)</f>
        <v>0.49939764943081466</v>
      </c>
      <c r="I15">
        <v>4</v>
      </c>
      <c r="J15">
        <v>0.59</v>
      </c>
      <c r="K15" t="s">
        <v>112</v>
      </c>
      <c r="L15" t="s">
        <v>112</v>
      </c>
      <c r="M15" t="s">
        <v>112</v>
      </c>
      <c r="N15" t="s">
        <v>112</v>
      </c>
      <c r="O15" t="s">
        <v>26</v>
      </c>
      <c r="P15">
        <v>53.35</v>
      </c>
      <c r="Q15">
        <v>53.35</v>
      </c>
      <c r="R15" t="s">
        <v>20</v>
      </c>
      <c r="S15" t="s">
        <v>31</v>
      </c>
      <c r="T15" t="s">
        <v>115</v>
      </c>
    </row>
    <row r="16" spans="1:20" x14ac:dyDescent="0.3">
      <c r="A16">
        <v>15</v>
      </c>
      <c r="B16" t="s">
        <v>29</v>
      </c>
      <c r="C16" t="s">
        <v>29</v>
      </c>
      <c r="D16">
        <v>19</v>
      </c>
      <c r="E16">
        <v>60</v>
      </c>
      <c r="F16">
        <f>LOG(E16)</f>
        <v>1.7781512503836436</v>
      </c>
      <c r="G16">
        <f>E16/D16</f>
        <v>3.1578947368421053</v>
      </c>
      <c r="H16">
        <f>LOG(G16)</f>
        <v>0.49939764943081466</v>
      </c>
      <c r="I16">
        <v>4</v>
      </c>
      <c r="J16">
        <v>0.8</v>
      </c>
      <c r="K16" t="s">
        <v>112</v>
      </c>
      <c r="L16" t="s">
        <v>112</v>
      </c>
      <c r="M16" t="s">
        <v>112</v>
      </c>
      <c r="N16" t="s">
        <v>112</v>
      </c>
      <c r="O16" t="s">
        <v>15</v>
      </c>
      <c r="P16">
        <v>55.68</v>
      </c>
      <c r="Q16">
        <v>55.68</v>
      </c>
      <c r="R16" t="s">
        <v>20</v>
      </c>
      <c r="S16" t="s">
        <v>30</v>
      </c>
      <c r="T16" t="s">
        <v>120</v>
      </c>
    </row>
    <row r="17" spans="1:20" x14ac:dyDescent="0.3">
      <c r="A17">
        <v>16</v>
      </c>
      <c r="B17" t="s">
        <v>29</v>
      </c>
      <c r="C17" t="s">
        <v>29</v>
      </c>
      <c r="D17">
        <v>19</v>
      </c>
      <c r="E17">
        <v>60</v>
      </c>
      <c r="F17">
        <f>LOG(E17)</f>
        <v>1.7781512503836436</v>
      </c>
      <c r="G17">
        <f>E17/D17</f>
        <v>3.1578947368421053</v>
      </c>
      <c r="H17">
        <f>LOG(G17)</f>
        <v>0.49939764943081466</v>
      </c>
      <c r="I17">
        <v>4</v>
      </c>
      <c r="J17">
        <v>0.71</v>
      </c>
      <c r="K17" t="s">
        <v>112</v>
      </c>
      <c r="L17" t="s">
        <v>112</v>
      </c>
      <c r="M17" t="s">
        <v>112</v>
      </c>
      <c r="N17" t="s">
        <v>112</v>
      </c>
      <c r="O17" t="s">
        <v>15</v>
      </c>
      <c r="P17">
        <v>51.52</v>
      </c>
      <c r="Q17">
        <v>51.52</v>
      </c>
      <c r="R17" t="s">
        <v>20</v>
      </c>
      <c r="S17" t="s">
        <v>22</v>
      </c>
      <c r="T17" t="s">
        <v>119</v>
      </c>
    </row>
    <row r="18" spans="1:20" x14ac:dyDescent="0.3">
      <c r="A18">
        <v>17</v>
      </c>
      <c r="B18" t="s">
        <v>34</v>
      </c>
      <c r="C18" t="s">
        <v>34</v>
      </c>
      <c r="D18">
        <v>18</v>
      </c>
      <c r="E18">
        <v>48.5</v>
      </c>
      <c r="F18">
        <f>LOG(E18)</f>
        <v>1.6857417386022637</v>
      </c>
      <c r="G18">
        <f>E18/D18</f>
        <v>2.6944444444444446</v>
      </c>
      <c r="H18">
        <f>LOG(G18)</f>
        <v>0.4304692334989576</v>
      </c>
      <c r="I18">
        <v>2</v>
      </c>
      <c r="J18">
        <v>0.9</v>
      </c>
      <c r="K18" t="s">
        <v>112</v>
      </c>
      <c r="L18" t="s">
        <v>112</v>
      </c>
      <c r="M18" t="s">
        <v>112</v>
      </c>
      <c r="N18" t="s">
        <v>112</v>
      </c>
      <c r="O18" t="s">
        <v>15</v>
      </c>
      <c r="P18">
        <v>-34.15</v>
      </c>
      <c r="Q18">
        <v>34.15</v>
      </c>
      <c r="R18" t="s">
        <v>16</v>
      </c>
      <c r="S18" t="s">
        <v>37</v>
      </c>
      <c r="T18" t="s">
        <v>115</v>
      </c>
    </row>
    <row r="19" spans="1:20" x14ac:dyDescent="0.3">
      <c r="A19">
        <v>18</v>
      </c>
      <c r="B19" t="s">
        <v>34</v>
      </c>
      <c r="C19" t="s">
        <v>34</v>
      </c>
      <c r="D19">
        <v>18</v>
      </c>
      <c r="E19">
        <v>48.5</v>
      </c>
      <c r="F19">
        <f>LOG(E19)</f>
        <v>1.6857417386022637</v>
      </c>
      <c r="G19">
        <f>E19/D19</f>
        <v>2.6944444444444446</v>
      </c>
      <c r="H19">
        <f>LOG(G19)</f>
        <v>0.4304692334989576</v>
      </c>
      <c r="I19">
        <v>2</v>
      </c>
      <c r="J19">
        <v>0.88</v>
      </c>
      <c r="K19" t="s">
        <v>112</v>
      </c>
      <c r="L19" t="s">
        <v>112</v>
      </c>
      <c r="M19" t="s">
        <v>112</v>
      </c>
      <c r="N19" t="s">
        <v>112</v>
      </c>
      <c r="O19" t="s">
        <v>15</v>
      </c>
      <c r="P19">
        <v>-33.15</v>
      </c>
      <c r="Q19">
        <v>33.15</v>
      </c>
      <c r="R19" t="s">
        <v>16</v>
      </c>
      <c r="S19" t="s">
        <v>36</v>
      </c>
      <c r="T19" t="s">
        <v>115</v>
      </c>
    </row>
    <row r="20" spans="1:20" x14ac:dyDescent="0.3">
      <c r="A20">
        <v>19</v>
      </c>
      <c r="B20" t="s">
        <v>34</v>
      </c>
      <c r="C20" t="s">
        <v>34</v>
      </c>
      <c r="D20">
        <v>18</v>
      </c>
      <c r="E20">
        <v>41.6</v>
      </c>
      <c r="F20">
        <f>LOG(E20)</f>
        <v>1.6190933306267428</v>
      </c>
      <c r="G20">
        <f>E20/D20</f>
        <v>2.3111111111111113</v>
      </c>
      <c r="H20">
        <f>LOG(G20)</f>
        <v>0.3638208255234367</v>
      </c>
      <c r="I20">
        <v>2</v>
      </c>
      <c r="J20">
        <v>0.92</v>
      </c>
      <c r="K20">
        <v>0.90500000000000003</v>
      </c>
      <c r="L20">
        <v>0.93700000000000006</v>
      </c>
      <c r="M20">
        <f>J20-0.008</f>
        <v>0.91200000000000003</v>
      </c>
      <c r="N20">
        <f>J20+0.008</f>
        <v>0.92800000000000005</v>
      </c>
      <c r="O20" t="s">
        <v>15</v>
      </c>
      <c r="P20">
        <v>-22.09</v>
      </c>
      <c r="Q20">
        <v>22.09</v>
      </c>
      <c r="R20" t="s">
        <v>16</v>
      </c>
      <c r="S20" t="s">
        <v>35</v>
      </c>
    </row>
    <row r="21" spans="1:20" x14ac:dyDescent="0.3">
      <c r="A21">
        <v>20</v>
      </c>
      <c r="B21" t="s">
        <v>38</v>
      </c>
      <c r="C21" t="s">
        <v>38</v>
      </c>
      <c r="D21">
        <v>17.5</v>
      </c>
      <c r="E21">
        <v>53.4</v>
      </c>
      <c r="F21">
        <f>LOG(E21)</f>
        <v>1.7275412570285564</v>
      </c>
      <c r="G21">
        <f>E21/D21</f>
        <v>3.0514285714285712</v>
      </c>
      <c r="H21">
        <f>LOG(G21)</f>
        <v>0.48450320834226196</v>
      </c>
      <c r="I21">
        <v>4</v>
      </c>
      <c r="J21">
        <v>0.71</v>
      </c>
      <c r="K21">
        <v>0.63</v>
      </c>
      <c r="L21">
        <v>0.76</v>
      </c>
      <c r="M21" t="s">
        <v>112</v>
      </c>
      <c r="N21" t="s">
        <v>112</v>
      </c>
      <c r="O21" t="s">
        <v>15</v>
      </c>
      <c r="P21">
        <v>45</v>
      </c>
      <c r="Q21">
        <v>45</v>
      </c>
      <c r="R21" t="s">
        <v>20</v>
      </c>
      <c r="S21" t="s">
        <v>39</v>
      </c>
    </row>
    <row r="22" spans="1:20" x14ac:dyDescent="0.3">
      <c r="A22">
        <v>21</v>
      </c>
      <c r="B22" t="s">
        <v>38</v>
      </c>
      <c r="C22" t="s">
        <v>38</v>
      </c>
      <c r="D22">
        <v>17.5</v>
      </c>
      <c r="E22">
        <v>55</v>
      </c>
      <c r="F22">
        <f>LOG(E22)</f>
        <v>1.7403626894942439</v>
      </c>
      <c r="G22">
        <f>E22/D22</f>
        <v>3.1428571428571428</v>
      </c>
      <c r="H22">
        <f>LOG(G22)</f>
        <v>0.49732464080794941</v>
      </c>
      <c r="I22">
        <v>4</v>
      </c>
      <c r="J22">
        <v>0.73</v>
      </c>
      <c r="K22">
        <f>J22-1.96*0.07</f>
        <v>0.59279999999999999</v>
      </c>
      <c r="L22">
        <f>J22+1.96*0.07</f>
        <v>0.86719999999999997</v>
      </c>
      <c r="M22">
        <f>J22-0.07</f>
        <v>0.65999999999999992</v>
      </c>
      <c r="N22">
        <f>J22+0.07</f>
        <v>0.8</v>
      </c>
      <c r="O22" t="s">
        <v>15</v>
      </c>
      <c r="P22">
        <v>43.5</v>
      </c>
      <c r="Q22">
        <v>43.5</v>
      </c>
      <c r="R22" t="s">
        <v>20</v>
      </c>
      <c r="S22" t="s">
        <v>47</v>
      </c>
    </row>
    <row r="23" spans="1:20" x14ac:dyDescent="0.3">
      <c r="A23">
        <v>22</v>
      </c>
      <c r="B23" t="s">
        <v>38</v>
      </c>
      <c r="C23" t="s">
        <v>38</v>
      </c>
      <c r="D23">
        <v>17.5</v>
      </c>
      <c r="E23">
        <v>55</v>
      </c>
      <c r="F23">
        <f>LOG(E23)</f>
        <v>1.7403626894942439</v>
      </c>
      <c r="G23">
        <f>E23/D23</f>
        <v>3.1428571428571428</v>
      </c>
      <c r="H23">
        <f>LOG(G23)</f>
        <v>0.49732464080794941</v>
      </c>
      <c r="I23">
        <v>4</v>
      </c>
      <c r="J23">
        <v>0.7</v>
      </c>
      <c r="K23">
        <f>J23-1.96*0.03</f>
        <v>0.64119999999999999</v>
      </c>
      <c r="L23">
        <f>J23+1.96*0.03</f>
        <v>0.75879999999999992</v>
      </c>
      <c r="M23">
        <f>J23-0.03</f>
        <v>0.66999999999999993</v>
      </c>
      <c r="N23">
        <f>J23+0.03</f>
        <v>0.73</v>
      </c>
      <c r="O23" t="s">
        <v>15</v>
      </c>
      <c r="P23">
        <v>44.5</v>
      </c>
      <c r="Q23">
        <v>44.5</v>
      </c>
      <c r="R23" t="s">
        <v>20</v>
      </c>
      <c r="S23" t="s">
        <v>46</v>
      </c>
    </row>
    <row r="24" spans="1:20" x14ac:dyDescent="0.3">
      <c r="A24">
        <v>23</v>
      </c>
      <c r="B24" t="s">
        <v>38</v>
      </c>
      <c r="C24" t="s">
        <v>38</v>
      </c>
      <c r="D24">
        <v>17.5</v>
      </c>
      <c r="E24">
        <v>55</v>
      </c>
      <c r="F24">
        <f>LOG(E24)</f>
        <v>1.7403626894942439</v>
      </c>
      <c r="G24">
        <f>E24/D24</f>
        <v>3.1428571428571428</v>
      </c>
      <c r="H24">
        <f>LOG(G24)</f>
        <v>0.49732464080794941</v>
      </c>
      <c r="I24">
        <v>4</v>
      </c>
      <c r="J24">
        <v>0.74</v>
      </c>
      <c r="K24" t="s">
        <v>112</v>
      </c>
      <c r="L24" t="s">
        <v>112</v>
      </c>
      <c r="M24" t="s">
        <v>112</v>
      </c>
      <c r="N24" t="s">
        <v>112</v>
      </c>
      <c r="O24" t="s">
        <v>26</v>
      </c>
      <c r="P24">
        <v>47</v>
      </c>
      <c r="Q24">
        <v>47</v>
      </c>
      <c r="R24" t="s">
        <v>20</v>
      </c>
      <c r="S24" t="s">
        <v>44</v>
      </c>
      <c r="T24" t="s">
        <v>120</v>
      </c>
    </row>
    <row r="25" spans="1:20" x14ac:dyDescent="0.3">
      <c r="A25">
        <v>24</v>
      </c>
      <c r="B25" t="s">
        <v>38</v>
      </c>
      <c r="C25" t="s">
        <v>38</v>
      </c>
      <c r="D25">
        <v>17.5</v>
      </c>
      <c r="E25">
        <v>55</v>
      </c>
      <c r="F25">
        <f>LOG(E25)</f>
        <v>1.7403626894942439</v>
      </c>
      <c r="G25">
        <f>E25/D25</f>
        <v>3.1428571428571428</v>
      </c>
      <c r="H25">
        <f>LOG(G25)</f>
        <v>0.49732464080794941</v>
      </c>
      <c r="I25">
        <v>4</v>
      </c>
      <c r="J25">
        <v>0.73</v>
      </c>
      <c r="K25" t="s">
        <v>112</v>
      </c>
      <c r="L25" t="s">
        <v>112</v>
      </c>
      <c r="M25" t="s">
        <v>112</v>
      </c>
      <c r="N25" t="s">
        <v>112</v>
      </c>
      <c r="O25" t="s">
        <v>15</v>
      </c>
      <c r="P25">
        <v>43</v>
      </c>
      <c r="Q25">
        <v>43</v>
      </c>
      <c r="R25" t="s">
        <v>20</v>
      </c>
      <c r="S25" t="s">
        <v>43</v>
      </c>
      <c r="T25" t="s">
        <v>121</v>
      </c>
    </row>
    <row r="26" spans="1:20" x14ac:dyDescent="0.3">
      <c r="A26">
        <v>25</v>
      </c>
      <c r="B26" t="s">
        <v>38</v>
      </c>
      <c r="C26" t="s">
        <v>38</v>
      </c>
      <c r="D26">
        <v>17.5</v>
      </c>
      <c r="E26">
        <v>55</v>
      </c>
      <c r="F26">
        <f>LOG(E26)</f>
        <v>1.7403626894942439</v>
      </c>
      <c r="G26">
        <f>E26/D26</f>
        <v>3.1428571428571428</v>
      </c>
      <c r="H26">
        <f>LOG(G26)</f>
        <v>0.49732464080794941</v>
      </c>
      <c r="I26">
        <v>4</v>
      </c>
      <c r="J26">
        <v>0.66</v>
      </c>
      <c r="K26">
        <v>0.56000000000000005</v>
      </c>
      <c r="L26">
        <v>0.75</v>
      </c>
      <c r="M26" t="s">
        <v>112</v>
      </c>
      <c r="N26" t="s">
        <v>112</v>
      </c>
      <c r="O26" t="s">
        <v>15</v>
      </c>
      <c r="P26">
        <v>46.8</v>
      </c>
      <c r="Q26">
        <v>46.8</v>
      </c>
      <c r="R26" t="s">
        <v>20</v>
      </c>
      <c r="S26" t="s">
        <v>39</v>
      </c>
    </row>
    <row r="27" spans="1:20" x14ac:dyDescent="0.3">
      <c r="A27">
        <v>26</v>
      </c>
      <c r="B27" t="s">
        <v>38</v>
      </c>
      <c r="C27" t="s">
        <v>38</v>
      </c>
      <c r="D27">
        <v>17.5</v>
      </c>
      <c r="E27">
        <v>55</v>
      </c>
      <c r="F27">
        <f>LOG(E27)</f>
        <v>1.7403626894942439</v>
      </c>
      <c r="G27">
        <f>E27/D27</f>
        <v>3.1428571428571428</v>
      </c>
      <c r="H27">
        <f>LOG(G27)</f>
        <v>0.49732464080794941</v>
      </c>
      <c r="I27">
        <v>4</v>
      </c>
      <c r="J27">
        <v>0.57999999999999996</v>
      </c>
      <c r="K27">
        <v>0.48</v>
      </c>
      <c r="L27">
        <v>0.68</v>
      </c>
      <c r="M27" t="s">
        <v>112</v>
      </c>
      <c r="N27" t="s">
        <v>112</v>
      </c>
      <c r="O27" t="s">
        <v>15</v>
      </c>
      <c r="P27">
        <v>40.799999999999997</v>
      </c>
      <c r="Q27">
        <v>40.799999999999997</v>
      </c>
      <c r="R27" t="s">
        <v>20</v>
      </c>
      <c r="S27" t="s">
        <v>39</v>
      </c>
    </row>
    <row r="28" spans="1:20" x14ac:dyDescent="0.3">
      <c r="A28">
        <v>27</v>
      </c>
      <c r="B28" t="s">
        <v>38</v>
      </c>
      <c r="C28" t="s">
        <v>38</v>
      </c>
      <c r="D28">
        <v>17.5</v>
      </c>
      <c r="E28">
        <v>53.4</v>
      </c>
      <c r="F28">
        <f>LOG(E28)</f>
        <v>1.7275412570285564</v>
      </c>
      <c r="G28">
        <f>E28/D28</f>
        <v>3.0514285714285712</v>
      </c>
      <c r="H28">
        <f>LOG(G28)</f>
        <v>0.48450320834226196</v>
      </c>
      <c r="I28">
        <v>4</v>
      </c>
      <c r="J28">
        <v>0.74</v>
      </c>
      <c r="K28">
        <f>J28-1.96*0.092</f>
        <v>0.55967999999999996</v>
      </c>
      <c r="L28">
        <f>J28+1.96*0.092</f>
        <v>0.92032000000000003</v>
      </c>
      <c r="M28">
        <f>J28-0.092</f>
        <v>0.64800000000000002</v>
      </c>
      <c r="N28">
        <f>J28+0.092</f>
        <v>0.83199999999999996</v>
      </c>
      <c r="O28" t="s">
        <v>15</v>
      </c>
      <c r="P28">
        <v>47.5</v>
      </c>
      <c r="Q28">
        <v>47.5</v>
      </c>
      <c r="R28" t="s">
        <v>20</v>
      </c>
      <c r="S28" t="s">
        <v>42</v>
      </c>
    </row>
    <row r="29" spans="1:20" x14ac:dyDescent="0.3">
      <c r="A29">
        <v>28</v>
      </c>
      <c r="B29" t="s">
        <v>38</v>
      </c>
      <c r="C29" t="s">
        <v>38</v>
      </c>
      <c r="D29">
        <v>17.5</v>
      </c>
      <c r="E29">
        <v>53.4</v>
      </c>
      <c r="F29">
        <f>LOG(E29)</f>
        <v>1.7275412570285564</v>
      </c>
      <c r="G29">
        <f>E29/D29</f>
        <v>3.0514285714285712</v>
      </c>
      <c r="H29">
        <f>LOG(G29)</f>
        <v>0.48450320834226196</v>
      </c>
      <c r="I29">
        <v>4</v>
      </c>
      <c r="J29">
        <v>0.66</v>
      </c>
      <c r="K29">
        <f>J29-1.96*0.057</f>
        <v>0.54827999999999999</v>
      </c>
      <c r="L29">
        <f>J29+1.96*0.057</f>
        <v>0.77172000000000007</v>
      </c>
      <c r="M29">
        <f>J29-0.057</f>
        <v>0.60299999999999998</v>
      </c>
      <c r="N29">
        <f>J29+0.057</f>
        <v>0.71700000000000008</v>
      </c>
      <c r="O29" t="s">
        <v>15</v>
      </c>
      <c r="P29">
        <v>47.5</v>
      </c>
      <c r="Q29">
        <v>47.5</v>
      </c>
      <c r="R29" t="s">
        <v>20</v>
      </c>
      <c r="S29" t="s">
        <v>41</v>
      </c>
    </row>
    <row r="30" spans="1:20" x14ac:dyDescent="0.3">
      <c r="A30">
        <v>29</v>
      </c>
      <c r="B30" t="s">
        <v>38</v>
      </c>
      <c r="C30" t="s">
        <v>38</v>
      </c>
      <c r="D30">
        <v>17.5</v>
      </c>
      <c r="E30">
        <v>53.4</v>
      </c>
      <c r="F30">
        <f>LOG(E30)</f>
        <v>1.7275412570285564</v>
      </c>
      <c r="G30">
        <f>E30/D30</f>
        <v>3.0514285714285712</v>
      </c>
      <c r="H30">
        <f>LOG(G30)</f>
        <v>0.48450320834226196</v>
      </c>
      <c r="I30">
        <v>4</v>
      </c>
      <c r="J30">
        <v>0.8</v>
      </c>
      <c r="K30" t="s">
        <v>112</v>
      </c>
      <c r="L30" t="s">
        <v>112</v>
      </c>
      <c r="M30" t="s">
        <v>112</v>
      </c>
      <c r="N30" t="s">
        <v>112</v>
      </c>
      <c r="O30" t="s">
        <v>15</v>
      </c>
      <c r="P30">
        <v>51.14</v>
      </c>
      <c r="Q30">
        <v>51.14</v>
      </c>
      <c r="R30" t="s">
        <v>20</v>
      </c>
      <c r="S30" t="s">
        <v>40</v>
      </c>
      <c r="T30" t="s">
        <v>119</v>
      </c>
    </row>
    <row r="31" spans="1:20" x14ac:dyDescent="0.3">
      <c r="A31">
        <v>30</v>
      </c>
      <c r="B31" t="s">
        <v>38</v>
      </c>
      <c r="C31" t="s">
        <v>38</v>
      </c>
      <c r="D31">
        <v>17.5</v>
      </c>
      <c r="E31">
        <v>53.4</v>
      </c>
      <c r="F31">
        <f>LOG(E31)</f>
        <v>1.7275412570285564</v>
      </c>
      <c r="G31">
        <f>E31/D31</f>
        <v>3.0514285714285712</v>
      </c>
      <c r="H31">
        <f>LOG(G31)</f>
        <v>0.48450320834226196</v>
      </c>
      <c r="I31">
        <v>4</v>
      </c>
      <c r="J31">
        <v>0.81</v>
      </c>
      <c r="K31">
        <v>0.72</v>
      </c>
      <c r="L31">
        <v>0.87</v>
      </c>
      <c r="M31" t="s">
        <v>112</v>
      </c>
      <c r="N31" t="s">
        <v>112</v>
      </c>
      <c r="O31" t="s">
        <v>15</v>
      </c>
      <c r="P31">
        <v>51.86</v>
      </c>
      <c r="Q31">
        <v>51.86</v>
      </c>
      <c r="R31" t="s">
        <v>20</v>
      </c>
      <c r="S31" t="s">
        <v>39</v>
      </c>
    </row>
    <row r="32" spans="1:20" x14ac:dyDescent="0.3">
      <c r="A32">
        <v>31</v>
      </c>
      <c r="B32" t="s">
        <v>38</v>
      </c>
      <c r="C32" t="s">
        <v>38</v>
      </c>
      <c r="D32">
        <v>17.5</v>
      </c>
      <c r="E32">
        <v>53.4</v>
      </c>
      <c r="F32">
        <f>LOG(E32)</f>
        <v>1.7275412570285564</v>
      </c>
      <c r="G32">
        <f>E32/D32</f>
        <v>3.0514285714285712</v>
      </c>
      <c r="H32">
        <f>LOG(G32)</f>
        <v>0.48450320834226196</v>
      </c>
      <c r="I32">
        <v>4</v>
      </c>
      <c r="J32">
        <v>0.69</v>
      </c>
      <c r="K32">
        <v>0.62</v>
      </c>
      <c r="L32">
        <v>0.75</v>
      </c>
      <c r="M32" t="s">
        <v>112</v>
      </c>
      <c r="N32" t="s">
        <v>112</v>
      </c>
      <c r="O32" t="s">
        <v>15</v>
      </c>
      <c r="P32">
        <v>50.79</v>
      </c>
      <c r="Q32">
        <v>50.79</v>
      </c>
      <c r="R32" t="s">
        <v>20</v>
      </c>
      <c r="S32" t="s">
        <v>39</v>
      </c>
    </row>
    <row r="33" spans="1:21" x14ac:dyDescent="0.3">
      <c r="A33">
        <v>32</v>
      </c>
      <c r="B33" t="s">
        <v>38</v>
      </c>
      <c r="C33" t="s">
        <v>38</v>
      </c>
      <c r="D33">
        <v>17.5</v>
      </c>
      <c r="E33">
        <v>53.4</v>
      </c>
      <c r="F33">
        <f>LOG(E33)</f>
        <v>1.7275412570285564</v>
      </c>
      <c r="G33">
        <f>E33/D33</f>
        <v>3.0514285714285712</v>
      </c>
      <c r="H33">
        <f>LOG(G33)</f>
        <v>0.48450320834226196</v>
      </c>
      <c r="I33">
        <v>4</v>
      </c>
      <c r="J33">
        <v>0.76</v>
      </c>
      <c r="K33">
        <v>0.72</v>
      </c>
      <c r="L33">
        <v>0.8</v>
      </c>
      <c r="M33" t="s">
        <v>112</v>
      </c>
      <c r="N33" t="s">
        <v>112</v>
      </c>
      <c r="O33" t="s">
        <v>15</v>
      </c>
      <c r="P33">
        <v>51.14</v>
      </c>
      <c r="Q33">
        <v>51.14</v>
      </c>
      <c r="R33" t="s">
        <v>20</v>
      </c>
      <c r="S33" t="s">
        <v>39</v>
      </c>
    </row>
    <row r="34" spans="1:21" x14ac:dyDescent="0.3">
      <c r="A34">
        <v>33</v>
      </c>
      <c r="B34" t="s">
        <v>38</v>
      </c>
      <c r="C34" t="s">
        <v>38</v>
      </c>
      <c r="D34">
        <v>17.5</v>
      </c>
      <c r="E34">
        <v>53.4</v>
      </c>
      <c r="F34">
        <f>LOG(E34)</f>
        <v>1.7275412570285564</v>
      </c>
      <c r="G34">
        <f>E34/D34</f>
        <v>3.0514285714285712</v>
      </c>
      <c r="H34">
        <f>LOG(G34)</f>
        <v>0.48450320834226196</v>
      </c>
      <c r="I34">
        <v>4</v>
      </c>
      <c r="J34">
        <v>0.8</v>
      </c>
      <c r="K34">
        <v>0.74</v>
      </c>
      <c r="L34">
        <v>0.84</v>
      </c>
      <c r="M34" t="s">
        <v>112</v>
      </c>
      <c r="N34" t="s">
        <v>112</v>
      </c>
      <c r="O34" t="s">
        <v>15</v>
      </c>
      <c r="P34">
        <v>44.5</v>
      </c>
      <c r="Q34">
        <v>44.5</v>
      </c>
      <c r="R34" t="s">
        <v>20</v>
      </c>
      <c r="S34" t="s">
        <v>39</v>
      </c>
    </row>
    <row r="35" spans="1:21" x14ac:dyDescent="0.3">
      <c r="A35">
        <v>34</v>
      </c>
      <c r="B35" t="s">
        <v>48</v>
      </c>
      <c r="C35" t="s">
        <v>48</v>
      </c>
      <c r="D35">
        <v>22</v>
      </c>
      <c r="E35">
        <v>100.7</v>
      </c>
      <c r="F35">
        <f>LOG(E35)</f>
        <v>2.003029470553618</v>
      </c>
      <c r="G35">
        <f>E35/D35</f>
        <v>4.5772727272727272</v>
      </c>
      <c r="H35">
        <f>LOG(G35)</f>
        <v>0.66060678973141174</v>
      </c>
      <c r="I35">
        <v>3</v>
      </c>
      <c r="J35">
        <v>0.87</v>
      </c>
      <c r="K35">
        <f>J35-1.96*0.05</f>
        <v>0.77200000000000002</v>
      </c>
      <c r="L35">
        <f>J35+1.96*0.05</f>
        <v>0.96799999999999997</v>
      </c>
      <c r="M35">
        <f>J35-0.05</f>
        <v>0.82</v>
      </c>
      <c r="N35">
        <f>J35+0.05</f>
        <v>0.92</v>
      </c>
      <c r="O35" t="s">
        <v>15</v>
      </c>
      <c r="P35">
        <v>47.8</v>
      </c>
      <c r="Q35">
        <v>47.8</v>
      </c>
      <c r="R35" t="s">
        <v>20</v>
      </c>
      <c r="S35" t="s">
        <v>50</v>
      </c>
    </row>
    <row r="36" spans="1:21" x14ac:dyDescent="0.3">
      <c r="A36">
        <v>35</v>
      </c>
      <c r="B36" t="s">
        <v>48</v>
      </c>
      <c r="C36" t="s">
        <v>48</v>
      </c>
      <c r="D36">
        <v>22</v>
      </c>
      <c r="E36">
        <v>100.7</v>
      </c>
      <c r="F36">
        <f>LOG(E36)</f>
        <v>2.003029470553618</v>
      </c>
      <c r="G36">
        <f>E36/D36</f>
        <v>4.5772727272727272</v>
      </c>
      <c r="H36">
        <f>LOG(G36)</f>
        <v>0.66060678973141174</v>
      </c>
      <c r="I36">
        <v>3</v>
      </c>
      <c r="J36">
        <v>0.68</v>
      </c>
      <c r="K36" t="s">
        <v>112</v>
      </c>
      <c r="L36" t="s">
        <v>112</v>
      </c>
      <c r="M36" t="s">
        <v>112</v>
      </c>
      <c r="N36" t="s">
        <v>112</v>
      </c>
      <c r="O36" t="s">
        <v>15</v>
      </c>
      <c r="P36">
        <v>47.8</v>
      </c>
      <c r="Q36">
        <v>47.8</v>
      </c>
      <c r="R36" t="s">
        <v>20</v>
      </c>
      <c r="S36" t="s">
        <v>49</v>
      </c>
      <c r="T36" t="s">
        <v>120</v>
      </c>
    </row>
    <row r="37" spans="1:21" x14ac:dyDescent="0.3">
      <c r="A37">
        <v>36</v>
      </c>
      <c r="B37" t="s">
        <v>51</v>
      </c>
      <c r="C37" t="s">
        <v>51</v>
      </c>
      <c r="D37">
        <v>16</v>
      </c>
      <c r="E37">
        <v>42</v>
      </c>
      <c r="F37">
        <f>LOG(E37)</f>
        <v>1.6232492903979006</v>
      </c>
      <c r="G37">
        <f>E37/D37</f>
        <v>2.625</v>
      </c>
      <c r="H37">
        <f>LOG(G37)</f>
        <v>0.41912930774197571</v>
      </c>
      <c r="I37">
        <v>3</v>
      </c>
      <c r="J37">
        <v>0.74</v>
      </c>
      <c r="K37" t="s">
        <v>112</v>
      </c>
      <c r="L37" t="s">
        <v>112</v>
      </c>
      <c r="M37" t="s">
        <v>112</v>
      </c>
      <c r="N37" t="s">
        <v>112</v>
      </c>
      <c r="O37" t="s">
        <v>26</v>
      </c>
      <c r="P37">
        <v>38</v>
      </c>
      <c r="Q37">
        <v>38</v>
      </c>
      <c r="R37" t="s">
        <v>20</v>
      </c>
      <c r="S37" t="s">
        <v>57</v>
      </c>
      <c r="T37" t="s">
        <v>120</v>
      </c>
    </row>
    <row r="38" spans="1:21" x14ac:dyDescent="0.3">
      <c r="A38">
        <v>37</v>
      </c>
      <c r="B38" t="s">
        <v>51</v>
      </c>
      <c r="C38" t="s">
        <v>51</v>
      </c>
      <c r="D38">
        <v>16</v>
      </c>
      <c r="E38">
        <v>42</v>
      </c>
      <c r="F38">
        <f>LOG(E38)</f>
        <v>1.6232492903979006</v>
      </c>
      <c r="G38">
        <f>E38/D38</f>
        <v>2.625</v>
      </c>
      <c r="H38">
        <f>LOG(G38)</f>
        <v>0.41912930774197571</v>
      </c>
      <c r="I38">
        <v>3</v>
      </c>
      <c r="J38">
        <v>0.71</v>
      </c>
      <c r="K38" t="s">
        <v>112</v>
      </c>
      <c r="L38" t="s">
        <v>112</v>
      </c>
      <c r="M38" t="s">
        <v>112</v>
      </c>
      <c r="N38" t="s">
        <v>112</v>
      </c>
      <c r="O38" t="s">
        <v>15</v>
      </c>
      <c r="P38">
        <v>36.799999999999997</v>
      </c>
      <c r="Q38">
        <v>36.799999999999997</v>
      </c>
      <c r="R38" t="s">
        <v>20</v>
      </c>
      <c r="S38" t="s">
        <v>56</v>
      </c>
      <c r="T38" t="s">
        <v>121</v>
      </c>
    </row>
    <row r="39" spans="1:21" x14ac:dyDescent="0.3">
      <c r="A39">
        <v>38</v>
      </c>
      <c r="B39" t="s">
        <v>51</v>
      </c>
      <c r="C39" t="s">
        <v>51</v>
      </c>
      <c r="D39">
        <v>16</v>
      </c>
      <c r="E39">
        <v>42</v>
      </c>
      <c r="F39">
        <f>LOG(E39)</f>
        <v>1.6232492903979006</v>
      </c>
      <c r="G39">
        <f>E39/D39</f>
        <v>2.625</v>
      </c>
      <c r="H39">
        <f>LOG(G39)</f>
        <v>0.41912930774197571</v>
      </c>
      <c r="I39">
        <v>3</v>
      </c>
      <c r="J39">
        <v>0.76</v>
      </c>
      <c r="K39" t="s">
        <v>112</v>
      </c>
      <c r="L39" t="s">
        <v>112</v>
      </c>
      <c r="M39" t="s">
        <v>112</v>
      </c>
      <c r="N39" t="s">
        <v>112</v>
      </c>
      <c r="O39" t="s">
        <v>26</v>
      </c>
      <c r="P39">
        <v>36.799999999999997</v>
      </c>
      <c r="Q39">
        <v>36.799999999999997</v>
      </c>
      <c r="R39" t="s">
        <v>20</v>
      </c>
      <c r="S39" t="s">
        <v>55</v>
      </c>
      <c r="T39" t="s">
        <v>120</v>
      </c>
    </row>
    <row r="40" spans="1:21" x14ac:dyDescent="0.3">
      <c r="A40">
        <v>39</v>
      </c>
      <c r="B40" t="s">
        <v>51</v>
      </c>
      <c r="C40" t="s">
        <v>51</v>
      </c>
      <c r="D40">
        <v>16</v>
      </c>
      <c r="E40">
        <v>42</v>
      </c>
      <c r="F40">
        <f>LOG(E40)</f>
        <v>1.6232492903979006</v>
      </c>
      <c r="G40">
        <f>E40/D40</f>
        <v>2.625</v>
      </c>
      <c r="H40">
        <f>LOG(G40)</f>
        <v>0.41912930774197571</v>
      </c>
      <c r="I40">
        <v>3</v>
      </c>
      <c r="J40">
        <v>0.69</v>
      </c>
      <c r="K40" t="s">
        <v>112</v>
      </c>
      <c r="L40" t="s">
        <v>112</v>
      </c>
      <c r="M40" t="s">
        <v>112</v>
      </c>
      <c r="N40" t="s">
        <v>112</v>
      </c>
      <c r="O40" t="s">
        <v>15</v>
      </c>
      <c r="P40">
        <v>41.11</v>
      </c>
      <c r="Q40">
        <v>41.11</v>
      </c>
      <c r="R40" t="s">
        <v>20</v>
      </c>
      <c r="S40" t="s">
        <v>54</v>
      </c>
      <c r="T40" t="s">
        <v>119</v>
      </c>
    </row>
    <row r="41" spans="1:21" x14ac:dyDescent="0.3">
      <c r="A41">
        <v>40</v>
      </c>
      <c r="B41" t="s">
        <v>51</v>
      </c>
      <c r="C41" t="s">
        <v>51</v>
      </c>
      <c r="D41">
        <v>16</v>
      </c>
      <c r="E41">
        <v>42</v>
      </c>
      <c r="F41">
        <f>LOG(E41)</f>
        <v>1.6232492903979006</v>
      </c>
      <c r="G41">
        <f>E41/D41</f>
        <v>2.625</v>
      </c>
      <c r="H41">
        <f>LOG(G41)</f>
        <v>0.41912930774197571</v>
      </c>
      <c r="I41">
        <v>3</v>
      </c>
      <c r="J41">
        <v>0.56000000000000005</v>
      </c>
      <c r="K41" t="s">
        <v>112</v>
      </c>
      <c r="L41" t="s">
        <v>112</v>
      </c>
      <c r="M41" t="s">
        <v>112</v>
      </c>
      <c r="N41" t="s">
        <v>112</v>
      </c>
      <c r="O41" t="s">
        <v>15</v>
      </c>
      <c r="P41">
        <v>40.86</v>
      </c>
      <c r="Q41">
        <v>40.86</v>
      </c>
      <c r="R41" t="s">
        <v>20</v>
      </c>
      <c r="S41" t="s">
        <v>53</v>
      </c>
      <c r="T41" t="s">
        <v>119</v>
      </c>
    </row>
    <row r="42" spans="1:21" x14ac:dyDescent="0.3">
      <c r="A42">
        <v>42</v>
      </c>
      <c r="B42" t="s">
        <v>51</v>
      </c>
      <c r="C42" t="s">
        <v>51</v>
      </c>
      <c r="D42">
        <v>16</v>
      </c>
      <c r="E42">
        <v>42</v>
      </c>
      <c r="F42">
        <f>LOG(E42)</f>
        <v>1.6232492903979006</v>
      </c>
      <c r="G42">
        <f>E42/D42</f>
        <v>2.625</v>
      </c>
      <c r="H42">
        <f>LOG(G42)</f>
        <v>0.41912930774197571</v>
      </c>
      <c r="I42">
        <v>3</v>
      </c>
      <c r="J42">
        <v>0.6</v>
      </c>
      <c r="K42">
        <f>J42-1.96*0.073</f>
        <v>0.45691999999999999</v>
      </c>
      <c r="L42">
        <f>J42+1.96*0.073</f>
        <v>0.74307999999999996</v>
      </c>
      <c r="M42">
        <f>J42-0.073</f>
        <v>0.52700000000000002</v>
      </c>
      <c r="N42">
        <f>J42+0.073</f>
        <v>0.67299999999999993</v>
      </c>
      <c r="O42" t="s">
        <v>15</v>
      </c>
      <c r="P42">
        <v>23.54</v>
      </c>
      <c r="Q42">
        <v>23.54</v>
      </c>
      <c r="R42" t="s">
        <v>20</v>
      </c>
      <c r="S42" t="s">
        <v>52</v>
      </c>
    </row>
    <row r="43" spans="1:21" x14ac:dyDescent="0.3">
      <c r="A43">
        <v>43</v>
      </c>
      <c r="B43" t="s">
        <v>58</v>
      </c>
      <c r="C43" t="s">
        <v>58</v>
      </c>
      <c r="D43">
        <v>27</v>
      </c>
      <c r="E43">
        <v>162</v>
      </c>
      <c r="F43">
        <f>LOG(E43)</f>
        <v>2.2095150145426308</v>
      </c>
      <c r="G43">
        <f>E43/D43</f>
        <v>6</v>
      </c>
      <c r="H43">
        <f>LOG(G43)</f>
        <v>0.77815125038364363</v>
      </c>
      <c r="I43">
        <v>3</v>
      </c>
      <c r="J43">
        <v>0.92</v>
      </c>
      <c r="K43" t="s">
        <v>112</v>
      </c>
      <c r="L43" t="s">
        <v>112</v>
      </c>
      <c r="M43" t="s">
        <v>112</v>
      </c>
      <c r="N43" t="s">
        <v>112</v>
      </c>
      <c r="O43" t="s">
        <v>15</v>
      </c>
      <c r="P43">
        <v>-37.590000000000003</v>
      </c>
      <c r="Q43">
        <v>37.590000000000003</v>
      </c>
      <c r="R43" t="s">
        <v>16</v>
      </c>
      <c r="S43" t="s">
        <v>59</v>
      </c>
      <c r="T43" t="s">
        <v>120</v>
      </c>
    </row>
    <row r="44" spans="1:21" x14ac:dyDescent="0.3">
      <c r="A44">
        <v>44</v>
      </c>
      <c r="B44" t="s">
        <v>60</v>
      </c>
      <c r="C44" t="s">
        <v>60</v>
      </c>
      <c r="D44">
        <v>13</v>
      </c>
      <c r="E44">
        <v>33.700000000000003</v>
      </c>
      <c r="F44">
        <f>LOG(E44)</f>
        <v>1.5276299008713388</v>
      </c>
      <c r="G44">
        <f>E44/D44</f>
        <v>2.5923076923076924</v>
      </c>
      <c r="H44">
        <f>LOG(G44)</f>
        <v>0.41368654856450188</v>
      </c>
      <c r="I44">
        <v>2</v>
      </c>
      <c r="J44">
        <v>0.89</v>
      </c>
      <c r="K44">
        <v>0.86299999999999999</v>
      </c>
      <c r="L44">
        <v>0.91600000000000004</v>
      </c>
      <c r="M44">
        <f>K44-0.03</f>
        <v>0.83299999999999996</v>
      </c>
      <c r="N44">
        <f>K44+0.03</f>
        <v>0.89300000000000002</v>
      </c>
      <c r="O44" t="s">
        <v>15</v>
      </c>
      <c r="P44">
        <v>-22.09</v>
      </c>
      <c r="Q44">
        <v>22.09</v>
      </c>
      <c r="R44" t="s">
        <v>16</v>
      </c>
      <c r="S44" t="s">
        <v>35</v>
      </c>
    </row>
    <row r="45" spans="1:21" x14ac:dyDescent="0.3">
      <c r="A45">
        <v>45</v>
      </c>
      <c r="B45" t="s">
        <v>61</v>
      </c>
      <c r="C45" t="s">
        <v>61</v>
      </c>
      <c r="D45">
        <v>15</v>
      </c>
      <c r="E45">
        <v>48.3</v>
      </c>
      <c r="F45">
        <f>LOG(E45)</f>
        <v>1.6839471307515121</v>
      </c>
      <c r="G45">
        <f>E45/D45</f>
        <v>3.2199999999999998</v>
      </c>
      <c r="H45">
        <f>LOG(G45)</f>
        <v>0.50785587169583091</v>
      </c>
      <c r="I45">
        <v>2</v>
      </c>
      <c r="J45">
        <v>0.83</v>
      </c>
      <c r="K45" t="s">
        <v>112</v>
      </c>
      <c r="L45" t="s">
        <v>112</v>
      </c>
      <c r="M45" t="s">
        <v>112</v>
      </c>
      <c r="N45" t="s">
        <v>112</v>
      </c>
      <c r="O45" t="s">
        <v>15</v>
      </c>
      <c r="P45">
        <v>-15.97</v>
      </c>
      <c r="Q45">
        <v>15.97</v>
      </c>
      <c r="R45" t="s">
        <v>16</v>
      </c>
      <c r="S45" t="s">
        <v>62</v>
      </c>
      <c r="T45" t="s">
        <v>120</v>
      </c>
    </row>
    <row r="46" spans="1:21" x14ac:dyDescent="0.3">
      <c r="A46">
        <v>46</v>
      </c>
      <c r="B46" t="s">
        <v>63</v>
      </c>
      <c r="C46" t="s">
        <v>63</v>
      </c>
      <c r="D46">
        <v>18</v>
      </c>
      <c r="E46">
        <v>46</v>
      </c>
      <c r="F46">
        <f>LOG(E46)</f>
        <v>1.6627578316815741</v>
      </c>
      <c r="G46">
        <f>E46/D46</f>
        <v>2.5555555555555554</v>
      </c>
      <c r="H46">
        <f>LOG(G46)</f>
        <v>0.40748532657826797</v>
      </c>
      <c r="I46">
        <v>4</v>
      </c>
      <c r="J46">
        <v>0.77</v>
      </c>
      <c r="K46" t="s">
        <v>112</v>
      </c>
      <c r="L46" t="s">
        <v>112</v>
      </c>
      <c r="M46" t="s">
        <v>112</v>
      </c>
      <c r="N46" t="s">
        <v>112</v>
      </c>
      <c r="O46" t="s">
        <v>15</v>
      </c>
      <c r="P46">
        <v>58.45</v>
      </c>
      <c r="Q46">
        <v>58.45</v>
      </c>
      <c r="R46" t="s">
        <v>20</v>
      </c>
      <c r="S46" t="s">
        <v>65</v>
      </c>
      <c r="T46" t="s">
        <v>120</v>
      </c>
    </row>
    <row r="47" spans="1:21" x14ac:dyDescent="0.3">
      <c r="A47">
        <v>47</v>
      </c>
      <c r="B47" t="s">
        <v>63</v>
      </c>
      <c r="C47" t="s">
        <v>63</v>
      </c>
      <c r="D47">
        <v>18</v>
      </c>
      <c r="E47">
        <v>46</v>
      </c>
      <c r="F47">
        <f>LOG(E47)</f>
        <v>1.6627578316815741</v>
      </c>
      <c r="G47">
        <f>E47/D47</f>
        <v>2.5555555555555554</v>
      </c>
      <c r="H47">
        <f>LOG(G47)</f>
        <v>0.40748532657826797</v>
      </c>
      <c r="I47">
        <v>4</v>
      </c>
      <c r="J47">
        <v>0.71</v>
      </c>
      <c r="K47">
        <v>0.64</v>
      </c>
      <c r="L47">
        <v>0.78</v>
      </c>
      <c r="M47" t="s">
        <v>112</v>
      </c>
      <c r="N47" t="s">
        <v>112</v>
      </c>
      <c r="O47" t="s">
        <v>15</v>
      </c>
      <c r="P47">
        <v>58.45</v>
      </c>
      <c r="Q47">
        <v>58.45</v>
      </c>
      <c r="R47" t="s">
        <v>20</v>
      </c>
      <c r="S47" t="s">
        <v>64</v>
      </c>
    </row>
    <row r="48" spans="1:21" x14ac:dyDescent="0.3">
      <c r="A48">
        <v>48</v>
      </c>
      <c r="B48" t="s">
        <v>66</v>
      </c>
      <c r="C48" t="s">
        <v>66</v>
      </c>
      <c r="D48">
        <v>13.5</v>
      </c>
      <c r="E48">
        <v>36.9</v>
      </c>
      <c r="F48">
        <f>LOG(E48)</f>
        <v>1.5670263661590604</v>
      </c>
      <c r="G48">
        <f>E48/D48</f>
        <v>2.7333333333333334</v>
      </c>
      <c r="H48">
        <f>LOG(G48)</f>
        <v>0.43669259766405427</v>
      </c>
      <c r="I48">
        <v>2</v>
      </c>
      <c r="J48">
        <v>0.9</v>
      </c>
      <c r="K48">
        <v>0.877</v>
      </c>
      <c r="L48">
        <v>0.91600000000000004</v>
      </c>
      <c r="M48">
        <f>J48-0.01</f>
        <v>0.89</v>
      </c>
      <c r="N48">
        <f>J48+0.01</f>
        <v>0.91</v>
      </c>
      <c r="O48" t="s">
        <v>15</v>
      </c>
      <c r="P48">
        <v>-22.09</v>
      </c>
      <c r="Q48">
        <v>22.09</v>
      </c>
      <c r="R48" t="s">
        <v>16</v>
      </c>
      <c r="S48" t="s">
        <v>35</v>
      </c>
      <c r="U48" s="2"/>
    </row>
    <row r="49" spans="1:20" x14ac:dyDescent="0.3">
      <c r="A49">
        <v>49</v>
      </c>
      <c r="B49" s="1" t="s">
        <v>67</v>
      </c>
      <c r="C49" s="1" t="s">
        <v>67</v>
      </c>
      <c r="D49">
        <v>20</v>
      </c>
      <c r="E49">
        <v>61</v>
      </c>
      <c r="F49">
        <f>LOG(E49)</f>
        <v>1.7853298350107671</v>
      </c>
      <c r="G49">
        <f>E49/D49</f>
        <v>3.05</v>
      </c>
      <c r="H49">
        <f>LOG(G49)</f>
        <v>0.48429983934678583</v>
      </c>
      <c r="I49">
        <v>3</v>
      </c>
      <c r="J49">
        <v>0.76</v>
      </c>
      <c r="K49" t="s">
        <v>112</v>
      </c>
      <c r="L49" t="s">
        <v>112</v>
      </c>
      <c r="M49" t="s">
        <v>112</v>
      </c>
      <c r="N49" t="s">
        <v>112</v>
      </c>
      <c r="O49" t="s">
        <v>45</v>
      </c>
      <c r="P49">
        <v>-44.34</v>
      </c>
      <c r="Q49">
        <v>44.34</v>
      </c>
      <c r="R49" t="s">
        <v>16</v>
      </c>
      <c r="S49" t="s">
        <v>68</v>
      </c>
      <c r="T49" t="s">
        <v>120</v>
      </c>
    </row>
    <row r="50" spans="1:20" x14ac:dyDescent="0.3">
      <c r="A50">
        <v>50</v>
      </c>
      <c r="B50" s="1" t="s">
        <v>69</v>
      </c>
      <c r="C50" s="1" t="s">
        <v>69</v>
      </c>
      <c r="D50">
        <v>20</v>
      </c>
      <c r="E50">
        <v>100</v>
      </c>
      <c r="F50">
        <f>LOG(E50)</f>
        <v>2</v>
      </c>
      <c r="G50">
        <f>E50/D50</f>
        <v>5</v>
      </c>
      <c r="H50">
        <f>LOG(G50)</f>
        <v>0.69897000433601886</v>
      </c>
      <c r="I50">
        <v>3</v>
      </c>
      <c r="J50">
        <v>0.91</v>
      </c>
      <c r="K50" t="s">
        <v>112</v>
      </c>
      <c r="L50" t="s">
        <v>112</v>
      </c>
      <c r="M50" t="s">
        <v>112</v>
      </c>
      <c r="N50" t="s">
        <v>112</v>
      </c>
      <c r="O50" t="s">
        <v>15</v>
      </c>
      <c r="P50">
        <v>-38.700000000000003</v>
      </c>
      <c r="Q50">
        <v>38.700000000000003</v>
      </c>
      <c r="R50" t="s">
        <v>16</v>
      </c>
      <c r="S50" t="s">
        <v>70</v>
      </c>
      <c r="T50" t="s">
        <v>120</v>
      </c>
    </row>
    <row r="51" spans="1:20" x14ac:dyDescent="0.3">
      <c r="A51">
        <v>51</v>
      </c>
      <c r="B51" t="s">
        <v>71</v>
      </c>
      <c r="C51" t="s">
        <v>71</v>
      </c>
      <c r="D51">
        <v>18</v>
      </c>
      <c r="E51">
        <v>68.099999999999994</v>
      </c>
      <c r="F51">
        <f>LOG(E51)</f>
        <v>1.8331471119127851</v>
      </c>
      <c r="G51">
        <f>E51/D51</f>
        <v>3.7833333333333332</v>
      </c>
      <c r="H51">
        <f>LOG(G51)</f>
        <v>0.57787460680947911</v>
      </c>
      <c r="I51">
        <v>3</v>
      </c>
      <c r="J51">
        <v>0.77</v>
      </c>
      <c r="K51">
        <f>J51-1.96*0.06</f>
        <v>0.65239999999999998</v>
      </c>
      <c r="L51">
        <f>J51+1.96*0.06</f>
        <v>0.88760000000000006</v>
      </c>
      <c r="M51">
        <f>J51-0.06</f>
        <v>0.71</v>
      </c>
      <c r="N51">
        <f>J51+0.06</f>
        <v>0.83000000000000007</v>
      </c>
      <c r="O51" t="s">
        <v>15</v>
      </c>
      <c r="P51">
        <v>34.5</v>
      </c>
      <c r="Q51">
        <v>34.5</v>
      </c>
      <c r="R51" t="s">
        <v>20</v>
      </c>
      <c r="S51" t="s">
        <v>72</v>
      </c>
    </row>
  </sheetData>
  <sortState xmlns:xlrd2="http://schemas.microsoft.com/office/spreadsheetml/2017/richdata2" ref="A2:T52">
    <sortCondition ref="A1:A52"/>
  </sortState>
  <conditionalFormatting sqref="B49">
    <cfRule type="duplicateValues" dxfId="3" priority="4"/>
  </conditionalFormatting>
  <conditionalFormatting sqref="B45">
    <cfRule type="duplicateValues" dxfId="2" priority="3"/>
  </conditionalFormatting>
  <conditionalFormatting sqref="C49">
    <cfRule type="duplicateValues" dxfId="1" priority="2"/>
  </conditionalFormatting>
  <conditionalFormatting sqref="C45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E12D-86B8-4527-BF07-AB6A6D5F0C77}">
  <dimension ref="A1:A36"/>
  <sheetViews>
    <sheetView workbookViewId="0">
      <selection activeCell="A23" sqref="A23"/>
    </sheetView>
  </sheetViews>
  <sheetFormatPr defaultRowHeight="14.4" x14ac:dyDescent="0.3"/>
  <cols>
    <col min="1" max="1" width="255.77734375" bestFit="1" customWidth="1"/>
  </cols>
  <sheetData>
    <row r="1" spans="1:1" x14ac:dyDescent="0.3">
      <c r="A1" t="s">
        <v>77</v>
      </c>
    </row>
    <row r="2" spans="1:1" x14ac:dyDescent="0.3">
      <c r="A2" t="s">
        <v>78</v>
      </c>
    </row>
    <row r="3" spans="1:1" x14ac:dyDescent="0.3">
      <c r="A3" t="s">
        <v>79</v>
      </c>
    </row>
    <row r="4" spans="1:1" x14ac:dyDescent="0.3">
      <c r="A4" t="s">
        <v>80</v>
      </c>
    </row>
    <row r="5" spans="1:1" x14ac:dyDescent="0.3">
      <c r="A5" t="s">
        <v>81</v>
      </c>
    </row>
    <row r="6" spans="1:1" x14ac:dyDescent="0.3">
      <c r="A6" t="s">
        <v>82</v>
      </c>
    </row>
    <row r="7" spans="1:1" x14ac:dyDescent="0.3">
      <c r="A7" t="s">
        <v>83</v>
      </c>
    </row>
    <row r="8" spans="1:1" x14ac:dyDescent="0.3">
      <c r="A8" t="s">
        <v>84</v>
      </c>
    </row>
    <row r="9" spans="1:1" x14ac:dyDescent="0.3">
      <c r="A9" t="s">
        <v>85</v>
      </c>
    </row>
    <row r="10" spans="1:1" x14ac:dyDescent="0.3">
      <c r="A10" t="s">
        <v>86</v>
      </c>
    </row>
    <row r="11" spans="1:1" x14ac:dyDescent="0.3">
      <c r="A11" t="s">
        <v>87</v>
      </c>
    </row>
    <row r="12" spans="1:1" x14ac:dyDescent="0.3">
      <c r="A12" t="s">
        <v>88</v>
      </c>
    </row>
    <row r="13" spans="1:1" x14ac:dyDescent="0.3">
      <c r="A13" t="s">
        <v>89</v>
      </c>
    </row>
    <row r="14" spans="1:1" x14ac:dyDescent="0.3">
      <c r="A14" t="s">
        <v>90</v>
      </c>
    </row>
    <row r="15" spans="1:1" x14ac:dyDescent="0.3">
      <c r="A15" t="s">
        <v>91</v>
      </c>
    </row>
    <row r="16" spans="1:1" x14ac:dyDescent="0.3">
      <c r="A16" t="s">
        <v>92</v>
      </c>
    </row>
    <row r="17" spans="1:1" x14ac:dyDescent="0.3">
      <c r="A17" t="s">
        <v>93</v>
      </c>
    </row>
    <row r="18" spans="1:1" x14ac:dyDescent="0.3">
      <c r="A18" t="s">
        <v>76</v>
      </c>
    </row>
    <row r="19" spans="1:1" x14ac:dyDescent="0.3">
      <c r="A19" t="s">
        <v>94</v>
      </c>
    </row>
    <row r="20" spans="1:1" x14ac:dyDescent="0.3">
      <c r="A20" t="s">
        <v>95</v>
      </c>
    </row>
    <row r="21" spans="1:1" x14ac:dyDescent="0.3">
      <c r="A21" t="s">
        <v>96</v>
      </c>
    </row>
    <row r="22" spans="1:1" x14ac:dyDescent="0.3">
      <c r="A22" t="s">
        <v>97</v>
      </c>
    </row>
    <row r="23" spans="1:1" x14ac:dyDescent="0.3">
      <c r="A23" t="s">
        <v>98</v>
      </c>
    </row>
    <row r="24" spans="1:1" x14ac:dyDescent="0.3">
      <c r="A24" t="s">
        <v>99</v>
      </c>
    </row>
    <row r="25" spans="1:1" x14ac:dyDescent="0.3">
      <c r="A25" t="s">
        <v>100</v>
      </c>
    </row>
    <row r="26" spans="1:1" x14ac:dyDescent="0.3">
      <c r="A26" t="s">
        <v>101</v>
      </c>
    </row>
    <row r="27" spans="1:1" x14ac:dyDescent="0.3">
      <c r="A27" t="s">
        <v>102</v>
      </c>
    </row>
    <row r="28" spans="1:1" x14ac:dyDescent="0.3">
      <c r="A28" t="s">
        <v>103</v>
      </c>
    </row>
    <row r="29" spans="1:1" x14ac:dyDescent="0.3">
      <c r="A29" t="s">
        <v>104</v>
      </c>
    </row>
    <row r="30" spans="1:1" x14ac:dyDescent="0.3">
      <c r="A30" t="s">
        <v>105</v>
      </c>
    </row>
    <row r="31" spans="1:1" x14ac:dyDescent="0.3">
      <c r="A31" t="s">
        <v>106</v>
      </c>
    </row>
    <row r="32" spans="1:1" x14ac:dyDescent="0.3">
      <c r="A32" t="s">
        <v>107</v>
      </c>
    </row>
    <row r="33" spans="1:1" x14ac:dyDescent="0.3">
      <c r="A33" t="s">
        <v>108</v>
      </c>
    </row>
    <row r="34" spans="1:1" x14ac:dyDescent="0.3">
      <c r="A34" t="s">
        <v>109</v>
      </c>
    </row>
    <row r="35" spans="1:1" x14ac:dyDescent="0.3">
      <c r="A35" t="s">
        <v>110</v>
      </c>
    </row>
    <row r="36" spans="1:1" x14ac:dyDescent="0.3">
      <c r="A36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mcmcglmm</vt:lpstr>
      <vt:lpstr>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Jones</dc:creator>
  <cp:lastModifiedBy>William Jones</cp:lastModifiedBy>
  <dcterms:created xsi:type="dcterms:W3CDTF">2021-05-20T11:02:32Z</dcterms:created>
  <dcterms:modified xsi:type="dcterms:W3CDTF">2021-05-21T13:33:40Z</dcterms:modified>
</cp:coreProperties>
</file>