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D6A47F7-218C-4812-BC6C-D5DD2B333B2F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K14" i="1"/>
  <c r="H14" i="1"/>
  <c r="H13" i="1"/>
  <c r="H12" i="1"/>
  <c r="K11" i="1"/>
  <c r="H11" i="1"/>
  <c r="G8" i="1"/>
  <c r="K10" i="1"/>
  <c r="G7" i="1"/>
  <c r="I8" i="1"/>
  <c r="I7" i="1"/>
  <c r="I6" i="1"/>
  <c r="G9" i="1" l="1"/>
  <c r="D25" i="1"/>
  <c r="H3" i="1"/>
  <c r="H4" i="1"/>
  <c r="H5" i="1"/>
  <c r="H6" i="1"/>
  <c r="H2" i="1"/>
  <c r="G3" i="1"/>
  <c r="G4" i="1"/>
  <c r="G5" i="1"/>
  <c r="G6" i="1"/>
  <c r="G2" i="1"/>
  <c r="H15" i="1"/>
  <c r="I5" i="1"/>
  <c r="I4" i="1"/>
  <c r="I3" i="1"/>
  <c r="I2" i="1"/>
  <c r="I14" i="1"/>
  <c r="F14" i="1"/>
  <c r="F13" i="1"/>
  <c r="F12" i="1"/>
  <c r="F11" i="1"/>
  <c r="F3" i="1"/>
  <c r="F4" i="1"/>
  <c r="F5" i="1"/>
  <c r="F2" i="1"/>
  <c r="K3" i="1" l="1"/>
  <c r="K4" i="1"/>
  <c r="K5" i="1"/>
  <c r="F7" i="1"/>
  <c r="F8" i="1"/>
  <c r="F6" i="1"/>
  <c r="F9" i="1" s="1"/>
  <c r="K6" i="1" l="1"/>
</calcChain>
</file>

<file path=xl/sharedStrings.xml><?xml version="1.0" encoding="utf-8"?>
<sst xmlns="http://schemas.openxmlformats.org/spreadsheetml/2006/main" count="8" uniqueCount="8">
  <si>
    <r>
      <rPr>
        <sz val="11"/>
        <color theme="1"/>
        <rFont val="Calibri"/>
        <family val="2"/>
      </rPr>
      <t>λ</t>
    </r>
    <r>
      <rPr>
        <sz val="11"/>
        <color theme="1"/>
        <rFont val="等线"/>
        <family val="3"/>
        <charset val="134"/>
      </rPr>
      <t>/nm</t>
    </r>
    <phoneticPr fontId="1" type="noConversion"/>
  </si>
  <si>
    <t>R1</t>
    <phoneticPr fontId="1" type="noConversion"/>
  </si>
  <si>
    <t>R1'</t>
    <phoneticPr fontId="1" type="noConversion"/>
  </si>
  <si>
    <t>R0</t>
    <phoneticPr fontId="1" type="noConversion"/>
  </si>
  <si>
    <t>R0'</t>
    <phoneticPr fontId="1" type="noConversion"/>
  </si>
  <si>
    <t>序号</t>
    <phoneticPr fontId="1" type="noConversion"/>
  </si>
  <si>
    <r>
      <rPr>
        <sz val="11"/>
        <color theme="1"/>
        <rFont val="等线"/>
        <family val="2"/>
      </rPr>
      <t>顶角</t>
    </r>
    <r>
      <rPr>
        <sz val="11"/>
        <color theme="1"/>
        <rFont val="Calibri"/>
        <family val="2"/>
      </rPr>
      <t>α</t>
    </r>
    <phoneticPr fontId="1" type="noConversion"/>
  </si>
  <si>
    <t>折射率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</si>
</sst>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h]\°mm\‘"/>
    <numFmt numFmtId="177" formatCode="0.0"/>
    <numFmt numFmtId="178" formatCode="[h]\°mm\'"/>
    <numFmt numFmtId="180" formatCode="0.00000_);[Red]\(0.00000\)"/>
    <numFmt numFmtId="181" formatCode="0.0000_);[Red]\(0.0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2"/>
    </font>
    <font>
      <sz val="10.5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78" fontId="0" fillId="0" borderId="0" xfId="0" applyNumberFormat="1"/>
    <xf numFmtId="0" fontId="4" fillId="0" borderId="0" xfId="0" applyFont="1"/>
    <xf numFmtId="180" fontId="0" fillId="0" borderId="0" xfId="0" applyNumberFormat="1"/>
    <xf numFmtId="176" fontId="4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81" fontId="0" fillId="0" borderId="0" xfId="0" applyNumberFormat="1"/>
    <xf numFmtId="18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n-</a:t>
            </a:r>
            <a:r>
              <a:rPr lang="el-GR" altLang="zh-CN">
                <a:latin typeface="Calibri" panose="020F0502020204030204" pitchFamily="34" charset="0"/>
                <a:cs typeface="Calibri" panose="020F0502020204030204" pitchFamily="34" charset="0"/>
              </a:rPr>
              <a:t>λ</a:t>
            </a:r>
            <a:r>
              <a:rPr lang="zh-CN" altLang="en-US">
                <a:latin typeface="Calibri" panose="020F0502020204030204" pitchFamily="34" charset="0"/>
                <a:cs typeface="Calibri" panose="020F0502020204030204" pitchFamily="34" charset="0"/>
              </a:rPr>
              <a:t>曲线</a:t>
            </a:r>
            <a:endParaRPr lang="zh-CN" altLang="en-US"/>
          </a:p>
        </c:rich>
      </c:tx>
      <c:layout>
        <c:manualLayout>
          <c:xMode val="edge"/>
          <c:yMode val="edge"/>
          <c:x val="0.444277777777777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折射率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0888013998250219E-2"/>
                  <c:y val="-0.298381816856226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900" b="0" i="0" u="none" strike="noStrike" baseline="0">
                        <a:effectLst/>
                      </a:rPr>
                      <a:t>n</a:t>
                    </a:r>
                    <a:r>
                      <a:rPr lang="en-US" altLang="zh-CN" baseline="0"/>
                      <a:t> = 5E-07</a:t>
                    </a:r>
                    <a:r>
                      <a:rPr lang="el-GR" altLang="zh-CN" sz="900" b="0" i="0" u="none" strike="noStrike" baseline="0">
                        <a:effectLst/>
                      </a:rPr>
                      <a:t>λ</a:t>
                    </a:r>
                    <a:r>
                      <a:rPr lang="en-US" altLang="zh-CN" baseline="30000"/>
                      <a:t>2</a:t>
                    </a:r>
                    <a:r>
                      <a:rPr lang="en-US" altLang="zh-CN" baseline="0"/>
                      <a:t> - 0.0005</a:t>
                    </a:r>
                    <a:r>
                      <a:rPr lang="el-GR" altLang="zh-CN" sz="900" b="0" i="0" u="none" strike="noStrike" baseline="0">
                        <a:effectLst/>
                      </a:rPr>
                      <a:t>λ</a:t>
                    </a:r>
                    <a:r>
                      <a:rPr lang="en-US" altLang="zh-CN" baseline="0"/>
                      <a:t> + 1.6685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0.981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</c:f>
              <c:numCache>
                <c:formatCode>0.0</c:formatCode>
                <c:ptCount val="5"/>
                <c:pt idx="0">
                  <c:v>404.7</c:v>
                </c:pt>
                <c:pt idx="1">
                  <c:v>435.8</c:v>
                </c:pt>
                <c:pt idx="2">
                  <c:v>491.6</c:v>
                </c:pt>
                <c:pt idx="3">
                  <c:v>579</c:v>
                </c:pt>
                <c:pt idx="4">
                  <c:v>546.1</c:v>
                </c:pt>
              </c:numCache>
            </c:numRef>
          </c:xVal>
          <c:yVal>
            <c:numRef>
              <c:f>Sheet1!$G$2:$G$6</c:f>
              <c:numCache>
                <c:formatCode>0.0000_);[Red]\(0.0000\)</c:formatCode>
                <c:ptCount val="5"/>
                <c:pt idx="0">
                  <c:v>1.5298428018368637</c:v>
                </c:pt>
                <c:pt idx="1">
                  <c:v>1.5262769735732959</c:v>
                </c:pt>
                <c:pt idx="2">
                  <c:v>1.519110377736121</c:v>
                </c:pt>
                <c:pt idx="3">
                  <c:v>1.5166479837128257</c:v>
                </c:pt>
                <c:pt idx="4">
                  <c:v>1.5185426146697616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6-47C9-A64B-96FFC90A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65800"/>
        <c:axId val="547965472"/>
      </c:scatterChart>
      <c:valAx>
        <c:axId val="54796580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0" i="0" u="none" strike="noStrike" baseline="0">
                    <a:effectLst/>
                  </a:rPr>
                  <a:t>λ</a:t>
                </a:r>
                <a:r>
                  <a:rPr lang="en-US" altLang="zh-CN" sz="1000" b="0" i="0" u="none" strike="noStrike" baseline="0">
                    <a:effectLst/>
                  </a:rPr>
                  <a:t>/nm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65472"/>
        <c:crosses val="autoZero"/>
        <c:crossBetween val="midCat"/>
      </c:valAx>
      <c:valAx>
        <c:axId val="5479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n-1/</a:t>
            </a:r>
            <a:r>
              <a:rPr lang="el-GR" altLang="zh-CN" sz="1400" b="0" i="0" u="none" strike="noStrike" baseline="0">
                <a:effectLst/>
              </a:rPr>
              <a:t>λ</a:t>
            </a:r>
            <a:r>
              <a:rPr lang="en-US" altLang="zh-CN" sz="1400" b="0" i="0" u="none" strike="noStrike" baseline="0">
                <a:effectLst/>
              </a:rPr>
              <a:t>^2</a:t>
            </a:r>
            <a:r>
              <a:rPr lang="zh-CN" altLang="en-US" sz="1400" b="0" i="0" u="none" strike="noStrike" baseline="0">
                <a:effectLst/>
              </a:rPr>
              <a:t>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Sheet1!$H$2:$H$6</c:f>
              <c:numCache>
                <c:formatCode>General</c:formatCode>
                <c:ptCount val="5"/>
                <c:pt idx="0">
                  <c:v>6.1056737033945537E-6</c:v>
                </c:pt>
                <c:pt idx="1">
                  <c:v>5.2653294274417585E-6</c:v>
                </c:pt>
                <c:pt idx="2">
                  <c:v>4.1378643720608751E-6</c:v>
                </c:pt>
                <c:pt idx="3">
                  <c:v>2.982928699055306E-6</c:v>
                </c:pt>
                <c:pt idx="4">
                  <c:v>3.3531705787045969E-6</c:v>
                </c:pt>
              </c:numCache>
            </c:numRef>
          </c:xVal>
          <c:yVal>
            <c:numRef>
              <c:f>Sheet1!$G$2:$G$6</c:f>
              <c:numCache>
                <c:formatCode>0.0000_);[Red]\(0.0000\)</c:formatCode>
                <c:ptCount val="5"/>
                <c:pt idx="0">
                  <c:v>1.5298428018368637</c:v>
                </c:pt>
                <c:pt idx="1">
                  <c:v>1.5262769735732959</c:v>
                </c:pt>
                <c:pt idx="2">
                  <c:v>1.519110377736121</c:v>
                </c:pt>
                <c:pt idx="3">
                  <c:v>1.5166479837128257</c:v>
                </c:pt>
                <c:pt idx="4">
                  <c:v>1.5185426146697616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2-4B47-B5D8-B2DE7641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73272"/>
        <c:axId val="303675240"/>
      </c:scatterChart>
      <c:valAx>
        <c:axId val="303673272"/>
        <c:scaling>
          <c:orientation val="minMax"/>
          <c:min val="2.8000000000000007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1/</a:t>
                </a:r>
                <a:r>
                  <a:rPr lang="el-GR" altLang="zh-CN" sz="1000" b="0" i="0" u="none" strike="noStrike" baseline="0">
                    <a:effectLst/>
                  </a:rPr>
                  <a:t>λ</a:t>
                </a:r>
                <a:r>
                  <a:rPr lang="en-US" altLang="zh-CN" sz="1000" b="0" i="0" u="none" strike="noStrike" baseline="0">
                    <a:effectLst/>
                  </a:rPr>
                  <a:t>^2(nm^-2)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75240"/>
        <c:crosses val="autoZero"/>
        <c:crossBetween val="midCat"/>
      </c:valAx>
      <c:valAx>
        <c:axId val="3036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67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177800</xdr:colOff>
      <xdr:row>9</xdr:row>
      <xdr:rowOff>9525</xdr:rowOff>
    </xdr:from>
    <xdr:ext cx="1743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44988F8-7C4B-4E57-A609-370DDCF91564}"/>
                </a:ext>
              </a:extLst>
            </xdr:cNvPr>
            <xdr:cNvSpPr txBox="1"/>
          </xdr:nvSpPr>
          <xdr:spPr>
            <a:xfrm>
              <a:off x="571500" y="1616075"/>
              <a:ext cx="174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44988F8-7C4B-4E57-A609-370DDCF91564}"/>
                </a:ext>
              </a:extLst>
            </xdr:cNvPr>
            <xdr:cNvSpPr txBox="1"/>
          </xdr:nvSpPr>
          <xdr:spPr>
            <a:xfrm>
              <a:off x="571500" y="1616075"/>
              <a:ext cx="174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𝜃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𝐴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171450</xdr:colOff>
      <xdr:row>9</xdr:row>
      <xdr:rowOff>9525</xdr:rowOff>
    </xdr:from>
    <xdr:ext cx="1847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EF75B11-6DD1-43C8-B50D-CD5119E2E43E}"/>
                </a:ext>
              </a:extLst>
            </xdr:cNvPr>
            <xdr:cNvSpPr txBox="1"/>
          </xdr:nvSpPr>
          <xdr:spPr>
            <a:xfrm>
              <a:off x="2146300" y="1616075"/>
              <a:ext cx="1847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EF75B11-6DD1-43C8-B50D-CD5119E2E43E}"/>
                </a:ext>
              </a:extLst>
            </xdr:cNvPr>
            <xdr:cNvSpPr txBox="1"/>
          </xdr:nvSpPr>
          <xdr:spPr>
            <a:xfrm>
              <a:off x="2146300" y="1616075"/>
              <a:ext cx="1847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𝜃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𝐵^′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184150</xdr:colOff>
      <xdr:row>9</xdr:row>
      <xdr:rowOff>6350</xdr:rowOff>
    </xdr:from>
    <xdr:ext cx="1847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17356B0-AC21-4BA6-AA52-4BEB105D1536}"/>
                </a:ext>
              </a:extLst>
            </xdr:cNvPr>
            <xdr:cNvSpPr txBox="1"/>
          </xdr:nvSpPr>
          <xdr:spPr>
            <a:xfrm>
              <a:off x="1104900" y="1612900"/>
              <a:ext cx="184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17356B0-AC21-4BA6-AA52-4BEB105D1536}"/>
                </a:ext>
              </a:extLst>
            </xdr:cNvPr>
            <xdr:cNvSpPr txBox="1"/>
          </xdr:nvSpPr>
          <xdr:spPr>
            <a:xfrm>
              <a:off x="1104900" y="1612900"/>
              <a:ext cx="184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𝜃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𝐵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9</xdr:row>
      <xdr:rowOff>9525</xdr:rowOff>
    </xdr:from>
    <xdr:ext cx="1743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31C6197-057A-4337-B5E9-90BA8483D129}"/>
                </a:ext>
              </a:extLst>
            </xdr:cNvPr>
            <xdr:cNvSpPr txBox="1"/>
          </xdr:nvSpPr>
          <xdr:spPr>
            <a:xfrm>
              <a:off x="1600200" y="1616075"/>
              <a:ext cx="174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31C6197-057A-4337-B5E9-90BA8483D129}"/>
                </a:ext>
              </a:extLst>
            </xdr:cNvPr>
            <xdr:cNvSpPr txBox="1"/>
          </xdr:nvSpPr>
          <xdr:spPr>
            <a:xfrm>
              <a:off x="1600200" y="1616075"/>
              <a:ext cx="174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𝜃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𝐴^′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5</xdr:col>
      <xdr:colOff>114300</xdr:colOff>
      <xdr:row>0</xdr:row>
      <xdr:rowOff>6350</xdr:rowOff>
    </xdr:from>
    <xdr:to>
      <xdr:col>5</xdr:col>
      <xdr:colOff>374650</xdr:colOff>
      <xdr:row>0</xdr:row>
      <xdr:rowOff>165100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7B5AED1-E05D-4B55-B8CD-C029B843E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200" y="6350"/>
          <a:ext cx="2603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177800</xdr:colOff>
      <xdr:row>13</xdr:row>
      <xdr:rowOff>142875</xdr:rowOff>
    </xdr:from>
    <xdr:to>
      <xdr:col>17</xdr:col>
      <xdr:colOff>177800</xdr:colOff>
      <xdr:row>29</xdr:row>
      <xdr:rowOff>41275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6430545-C04D-403E-BA30-166957062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14</xdr:row>
      <xdr:rowOff>136525</xdr:rowOff>
    </xdr:from>
    <xdr:to>
      <xdr:col>11</xdr:col>
      <xdr:colOff>654050</xdr:colOff>
      <xdr:row>30</xdr:row>
      <xdr:rowOff>34925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B00C657-1A96-4D41-BA6E-EA6D5C9BE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B16" workbookViewId="0">
      <selection activeCell="D28" sqref="D28"/>
    </sheetView>
  </sheetViews>
  <sheetFormatPr defaultRowHeight="14" x14ac:dyDescent="0.3"/>
  <cols>
    <col min="1" max="1" width="5.1640625" customWidth="1"/>
    <col min="2" max="3" width="6.9140625" customWidth="1"/>
    <col min="4" max="4" width="9.5" customWidth="1"/>
    <col min="5" max="5" width="6.9140625" customWidth="1"/>
    <col min="6" max="6" width="5.9140625" customWidth="1"/>
    <col min="7" max="7" width="6.6640625" customWidth="1"/>
    <col min="8" max="8" width="12.5" bestFit="1" customWidth="1"/>
    <col min="11" max="11" width="12.5" bestFit="1" customWidth="1"/>
  </cols>
  <sheetData>
    <row r="1" spans="1:11" ht="14.5" x14ac:dyDescent="0.3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/>
      <c r="G1" s="8" t="s">
        <v>7</v>
      </c>
    </row>
    <row r="2" spans="1:11" x14ac:dyDescent="0.3">
      <c r="A2" s="9">
        <v>404.7</v>
      </c>
      <c r="B2" s="10">
        <v>6.0701388888888888</v>
      </c>
      <c r="C2" s="10">
        <v>13.568055555555555</v>
      </c>
      <c r="D2" s="11">
        <v>4.4118055555555555</v>
      </c>
      <c r="E2" s="11">
        <v>11.909027777777778</v>
      </c>
      <c r="F2" s="10">
        <f>(B2+C2-$D$2-$E$2)/2</f>
        <v>1.6586805555555548</v>
      </c>
      <c r="G2" s="14">
        <f>SIN((I2+$I$14)/2)/SIN($I$14/2)</f>
        <v>1.5298428018368637</v>
      </c>
      <c r="H2">
        <f>(1/A2)^2</f>
        <v>6.1056737033945537E-6</v>
      </c>
      <c r="I2">
        <f>(48/60+39)/180*PI()</f>
        <v>0.69464104229374313</v>
      </c>
    </row>
    <row r="3" spans="1:11" x14ac:dyDescent="0.3">
      <c r="A3" s="9">
        <v>435.8</v>
      </c>
      <c r="B3" s="10">
        <v>6.0569444444444445</v>
      </c>
      <c r="C3" s="10">
        <v>13.55486111111111</v>
      </c>
      <c r="D3" s="11"/>
      <c r="E3" s="11"/>
      <c r="F3" s="10">
        <f>(B3+C3-$D$2-$E$2)/2</f>
        <v>1.6454861111111105</v>
      </c>
      <c r="G3" s="14">
        <f t="shared" ref="G3:G8" si="0">SIN((I3+$I$14)/2)/SIN($I$14/2)</f>
        <v>1.5262769735732959</v>
      </c>
      <c r="H3">
        <f t="shared" ref="H3:H6" si="1">(1/A3)^2</f>
        <v>5.2653294274417585E-6</v>
      </c>
      <c r="I3">
        <f>(29/60+39)/180*PI()</f>
        <v>0.68911416632909439</v>
      </c>
      <c r="K3">
        <f>(G6-G$9)^2</f>
        <v>1.5932273812394178E-8</v>
      </c>
    </row>
    <row r="4" spans="1:11" x14ac:dyDescent="0.3">
      <c r="A4" s="9">
        <v>491.6</v>
      </c>
      <c r="B4" s="10">
        <v>6.040972222222222</v>
      </c>
      <c r="C4" s="10">
        <v>13.517361111111112</v>
      </c>
      <c r="D4" s="11"/>
      <c r="E4" s="11"/>
      <c r="F4" s="10">
        <f>(B4+C4-$D$2-$E$2)/2</f>
        <v>1.6187499999999995</v>
      </c>
      <c r="G4" s="14">
        <f t="shared" si="0"/>
        <v>1.519110377736121</v>
      </c>
      <c r="H4">
        <f t="shared" si="1"/>
        <v>4.1378643720608751E-6</v>
      </c>
      <c r="I4">
        <f>(51/60+38)/180*PI()</f>
        <v>0.67806041439979703</v>
      </c>
      <c r="K4">
        <f t="shared" ref="K4:K5" si="2">(G7-G$9)^2</f>
        <v>1.5932273812394178E-8</v>
      </c>
    </row>
    <row r="5" spans="1:11" x14ac:dyDescent="0.3">
      <c r="A5" s="9">
        <v>579</v>
      </c>
      <c r="B5" s="10">
        <v>6.021527777777778</v>
      </c>
      <c r="C5" s="10">
        <v>13.519444444444444</v>
      </c>
      <c r="D5" s="11"/>
      <c r="E5" s="11"/>
      <c r="F5" s="10">
        <f>(B5+C5-$D$2-$E$2)/2</f>
        <v>1.6100694444444441</v>
      </c>
      <c r="G5" s="14">
        <f t="shared" si="0"/>
        <v>1.5166479837128257</v>
      </c>
      <c r="H5">
        <f t="shared" si="1"/>
        <v>2.982928699055306E-6</v>
      </c>
      <c r="I5">
        <f>(38/60+38)/180*PI()</f>
        <v>0.67427886768714262</v>
      </c>
      <c r="K5">
        <f t="shared" si="2"/>
        <v>6.3729095249688824E-8</v>
      </c>
    </row>
    <row r="6" spans="1:11" x14ac:dyDescent="0.3">
      <c r="A6" s="12">
        <v>546.1</v>
      </c>
      <c r="B6" s="10">
        <v>6.0284722222222227</v>
      </c>
      <c r="C6" s="10">
        <v>13.526388888888889</v>
      </c>
      <c r="D6" s="11"/>
      <c r="E6" s="11"/>
      <c r="F6" s="10">
        <f>(B6+C6-D2-E2)/2</f>
        <v>1.6170138888888888</v>
      </c>
      <c r="G6" s="14">
        <f t="shared" si="0"/>
        <v>1.5185426146697616</v>
      </c>
      <c r="H6">
        <f t="shared" si="1"/>
        <v>3.3531705787045969E-6</v>
      </c>
      <c r="I6">
        <f>(48/60+38)/180*PI()</f>
        <v>0.67718774977379981</v>
      </c>
      <c r="K6">
        <f>(SUM(K3:K5)/6)^0.5</f>
        <v>1.2622311124517913E-4</v>
      </c>
    </row>
    <row r="7" spans="1:11" x14ac:dyDescent="0.3">
      <c r="A7" s="12"/>
      <c r="B7" s="10">
        <v>6.0159722222222216</v>
      </c>
      <c r="C7" s="10">
        <v>13.513888888888888</v>
      </c>
      <c r="D7" s="10">
        <v>4.3993055555555554</v>
      </c>
      <c r="E7" s="10">
        <v>11.896527777777777</v>
      </c>
      <c r="F7" s="10">
        <f t="shared" ref="F7:F8" si="3">(B7+C7-D7-E7)/2</f>
        <v>1.6170138888888888</v>
      </c>
      <c r="G7" s="14">
        <f t="shared" si="0"/>
        <v>1.5185426146697616</v>
      </c>
      <c r="I7">
        <f>(48/60+38)/180*PI()</f>
        <v>0.67718774977379981</v>
      </c>
    </row>
    <row r="8" spans="1:11" x14ac:dyDescent="0.3">
      <c r="A8" s="12"/>
      <c r="B8" s="10">
        <v>6.0298611111111109</v>
      </c>
      <c r="C8" s="10">
        <v>13.527083333333332</v>
      </c>
      <c r="D8" s="10">
        <v>4.4152777777777779</v>
      </c>
      <c r="E8" s="10">
        <v>11.911111111111111</v>
      </c>
      <c r="F8" s="10">
        <f t="shared" si="3"/>
        <v>1.6152777777777771</v>
      </c>
      <c r="G8" s="14">
        <f>SIN((I8+$I$14)/2)/SIN($I$14/2)</f>
        <v>1.5181639453360261</v>
      </c>
      <c r="I8">
        <f>(46/60+38)/180*PI()</f>
        <v>0.67660597335646844</v>
      </c>
    </row>
    <row r="9" spans="1:11" x14ac:dyDescent="0.3">
      <c r="F9" s="1">
        <f>AVERAGE(F6:F8)</f>
        <v>1.6164351851851848</v>
      </c>
      <c r="G9" s="13">
        <f>AVERAGE(G6:G8)</f>
        <v>1.5184163915585165</v>
      </c>
      <c r="K9" s="1"/>
    </row>
    <row r="10" spans="1:11" ht="14.5" x14ac:dyDescent="0.35">
      <c r="A10" t="s">
        <v>5</v>
      </c>
      <c r="F10" s="2" t="s">
        <v>6</v>
      </c>
      <c r="K10">
        <f>1*PI()/(60*180)</f>
        <v>2.9088820866572158E-4</v>
      </c>
    </row>
    <row r="11" spans="1:11" x14ac:dyDescent="0.3">
      <c r="A11">
        <v>1</v>
      </c>
      <c r="B11" s="1">
        <v>6.989583333333333</v>
      </c>
      <c r="C11" s="1">
        <v>14.489583333333334</v>
      </c>
      <c r="D11" s="1">
        <v>1.9965277777777777</v>
      </c>
      <c r="E11" s="1">
        <v>9.4854166666666675</v>
      </c>
      <c r="F11" s="1">
        <f>(B11-D11+C11-E11)/4</f>
        <v>2.4993055555555554</v>
      </c>
      <c r="H11">
        <f>SIN((K10+$I$14)/2)/SIN($I$14/2)</f>
        <v>1.000251906000484</v>
      </c>
      <c r="K11">
        <f>2*PI()/(60*180)</f>
        <v>5.8177641733144316E-4</v>
      </c>
    </row>
    <row r="12" spans="1:11" x14ac:dyDescent="0.3">
      <c r="A12">
        <v>2</v>
      </c>
      <c r="B12" s="1">
        <v>7.4104166666666664</v>
      </c>
      <c r="C12" s="1">
        <v>14.909027777777778</v>
      </c>
      <c r="D12" s="1">
        <v>2.3763888888888887</v>
      </c>
      <c r="E12" s="1">
        <v>9.9131944444444446</v>
      </c>
      <c r="F12" s="1">
        <f t="shared" ref="F12" si="4">(B12-D12+C12-E12)/4</f>
        <v>2.5074652777777779</v>
      </c>
      <c r="H12">
        <f>SIN((K11+$I$14)/2)/SIN($I$14/2)</f>
        <v>1.0005037908416519</v>
      </c>
    </row>
    <row r="13" spans="1:11" x14ac:dyDescent="0.3">
      <c r="A13">
        <v>3</v>
      </c>
      <c r="B13" s="1">
        <v>7.7854166666666664</v>
      </c>
      <c r="C13" s="1">
        <v>0.28541666666666665</v>
      </c>
      <c r="D13" s="1">
        <v>2.7951388888888888</v>
      </c>
      <c r="E13" s="1">
        <v>10.291666666666666</v>
      </c>
      <c r="F13" s="1">
        <f>(B13-D13+C13+E15-E13)/4</f>
        <v>2.4960069444444444</v>
      </c>
      <c r="H13">
        <f>H12-H11</f>
        <v>2.5188484116789311E-4</v>
      </c>
    </row>
    <row r="14" spans="1:11" x14ac:dyDescent="0.3">
      <c r="F14" s="1">
        <f>AVERAGE(F11:F13)</f>
        <v>2.5009259259259262</v>
      </c>
      <c r="H14">
        <f>H13/(3)^0.5</f>
        <v>1.4542578085306924E-4</v>
      </c>
      <c r="I14">
        <f>60/180*PI()</f>
        <v>1.0471975511965976</v>
      </c>
      <c r="K14">
        <f>(H14^2+K6^2)^0.5</f>
        <v>1.9256409724852084E-4</v>
      </c>
    </row>
    <row r="15" spans="1:11" x14ac:dyDescent="0.3">
      <c r="E15" s="1">
        <v>15</v>
      </c>
      <c r="H15">
        <f>COS(I14)</f>
        <v>0.50000000000000011</v>
      </c>
    </row>
    <row r="24" spans="4:4" x14ac:dyDescent="0.3">
      <c r="D24">
        <v>589.29999999999995</v>
      </c>
    </row>
    <row r="25" spans="4:4" x14ac:dyDescent="0.3">
      <c r="D25" s="3">
        <f>1/D24^2</f>
        <v>2.879566535393948E-6</v>
      </c>
    </row>
    <row r="26" spans="4:4" x14ac:dyDescent="0.3">
      <c r="D26">
        <f>1/D24^4</f>
        <v>8.2919034317607045E-12</v>
      </c>
    </row>
    <row r="27" spans="4:4" x14ac:dyDescent="0.3">
      <c r="D27">
        <f>1.5162-1829.2*D25+7*(10^8)*D26</f>
        <v>1.5167370292956899</v>
      </c>
    </row>
  </sheetData>
  <mergeCells count="3">
    <mergeCell ref="D2:D6"/>
    <mergeCell ref="E2:E6"/>
    <mergeCell ref="A6:A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2018-11-19T03:06:48Z</dcterms:modified>
</cp:coreProperties>
</file>