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e6f6154abacb4a/Documents/Game Plan/Portfolio/Staging/"/>
    </mc:Choice>
  </mc:AlternateContent>
  <xr:revisionPtr revIDLastSave="765" documentId="13_ncr:1_{8A6EF007-3CA2-4D08-A991-7D8627CF275B}" xr6:coauthVersionLast="47" xr6:coauthVersionMax="47" xr10:uidLastSave="{C9A0978D-D43B-4AC6-9A3E-9D62C270ED45}"/>
  <bookViews>
    <workbookView xWindow="-20520" yWindow="1830" windowWidth="20640" windowHeight="11160" tabRatio="588" xr2:uid="{00000000-000D-0000-FFFF-FFFF00000000}"/>
  </bookViews>
  <sheets>
    <sheet name="Log" sheetId="20" r:id="rId1"/>
    <sheet name="Measurements" sheetId="19" r:id="rId2"/>
    <sheet name="Differences" sheetId="21" r:id="rId3"/>
    <sheet name="Nutrition Records" sheetId="23" r:id="rId4"/>
  </sheets>
  <definedNames>
    <definedName name="Waist" localSheetId="1">#REF!</definedName>
    <definedName name="Waist">#REF!</definedName>
    <definedName name="Weight" localSheetId="1">#REF!</definedName>
    <definedName name="Weigh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21" l="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2" i="21"/>
  <c r="C53" i="21"/>
  <c r="C54" i="21"/>
  <c r="C55" i="21"/>
  <c r="C56" i="21"/>
  <c r="C57" i="21"/>
  <c r="C58" i="21"/>
  <c r="C59" i="21"/>
  <c r="C60" i="21"/>
  <c r="C61" i="21"/>
  <c r="C62" i="21"/>
  <c r="C63" i="21"/>
  <c r="C64" i="21"/>
  <c r="C65" i="21"/>
  <c r="C66" i="21"/>
  <c r="C67" i="21"/>
  <c r="C68" i="21"/>
  <c r="C69" i="21"/>
  <c r="C70" i="21"/>
  <c r="C71" i="21"/>
  <c r="C72" i="21"/>
  <c r="C73" i="21"/>
  <c r="C74" i="21"/>
  <c r="C75" i="21"/>
  <c r="C76" i="21"/>
  <c r="C77" i="21"/>
  <c r="C78" i="21"/>
  <c r="C79" i="21"/>
  <c r="C80" i="21"/>
  <c r="C81" i="21"/>
  <c r="C82" i="21"/>
  <c r="C83" i="21"/>
  <c r="C84" i="21"/>
  <c r="C85" i="21"/>
  <c r="C86" i="21"/>
  <c r="C87" i="21"/>
  <c r="C88" i="21"/>
  <c r="C89" i="21"/>
  <c r="C90" i="21"/>
  <c r="C91" i="21"/>
  <c r="C92" i="21"/>
  <c r="C93" i="21"/>
  <c r="C94" i="21"/>
  <c r="C95" i="21"/>
  <c r="C96" i="21"/>
  <c r="C97" i="21"/>
  <c r="C98" i="21"/>
  <c r="C99" i="21"/>
  <c r="C100" i="21"/>
  <c r="C101" i="21"/>
  <c r="C102" i="21"/>
  <c r="C103" i="21"/>
  <c r="C104" i="21"/>
  <c r="C105" i="21"/>
  <c r="C106" i="21"/>
  <c r="C107" i="21"/>
  <c r="C108" i="21"/>
  <c r="C109" i="21"/>
  <c r="C110" i="21"/>
  <c r="C111" i="21"/>
  <c r="C112" i="21"/>
  <c r="C113" i="21"/>
  <c r="C114" i="21"/>
  <c r="C115" i="21"/>
  <c r="C116" i="21"/>
  <c r="C117" i="21"/>
  <c r="C118" i="21"/>
  <c r="C119" i="21"/>
  <c r="C120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G39" i="21"/>
  <c r="G40" i="21"/>
  <c r="G41" i="21"/>
  <c r="G42" i="21"/>
  <c r="G43" i="21"/>
  <c r="G44" i="21"/>
  <c r="G45" i="21"/>
  <c r="G46" i="2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M39" i="21"/>
  <c r="M40" i="21"/>
  <c r="M41" i="21"/>
  <c r="M42" i="21"/>
  <c r="M43" i="21"/>
  <c r="M44" i="21"/>
  <c r="M45" i="21"/>
  <c r="M46" i="21"/>
  <c r="M47" i="21"/>
  <c r="M48" i="21"/>
  <c r="M49" i="21"/>
  <c r="M50" i="21"/>
  <c r="M51" i="21"/>
  <c r="M52" i="21"/>
  <c r="M53" i="21"/>
  <c r="M54" i="21"/>
  <c r="M55" i="21"/>
  <c r="M56" i="21"/>
  <c r="M57" i="21"/>
  <c r="M58" i="21"/>
  <c r="M59" i="21"/>
  <c r="M60" i="21"/>
  <c r="M61" i="21"/>
  <c r="M62" i="21"/>
  <c r="M63" i="21"/>
  <c r="M64" i="21"/>
  <c r="M65" i="21"/>
  <c r="M66" i="21"/>
  <c r="M67" i="21"/>
  <c r="M68" i="21"/>
  <c r="M69" i="21"/>
  <c r="M70" i="21"/>
  <c r="M71" i="21"/>
  <c r="M72" i="21"/>
  <c r="M73" i="21"/>
  <c r="M74" i="21"/>
  <c r="M75" i="21"/>
  <c r="M76" i="21"/>
  <c r="M77" i="21"/>
  <c r="M78" i="21"/>
  <c r="M79" i="21"/>
  <c r="M80" i="21"/>
  <c r="M81" i="21"/>
  <c r="M82" i="21"/>
  <c r="M83" i="21"/>
  <c r="M84" i="21"/>
  <c r="M85" i="21"/>
  <c r="M86" i="21"/>
  <c r="M87" i="21"/>
  <c r="M88" i="21"/>
  <c r="M89" i="21"/>
  <c r="M90" i="21"/>
  <c r="M91" i="21"/>
  <c r="M92" i="21"/>
  <c r="M93" i="21"/>
  <c r="M94" i="21"/>
  <c r="M95" i="21"/>
  <c r="M96" i="21"/>
  <c r="M97" i="21"/>
  <c r="M98" i="21"/>
  <c r="M99" i="21"/>
  <c r="M100" i="21"/>
  <c r="M101" i="21"/>
  <c r="M102" i="21"/>
  <c r="M103" i="21"/>
  <c r="M104" i="21"/>
  <c r="M105" i="21"/>
  <c r="M106" i="21"/>
  <c r="M107" i="21"/>
  <c r="M108" i="21"/>
  <c r="M109" i="21"/>
  <c r="M110" i="21"/>
  <c r="M111" i="21"/>
  <c r="M112" i="21"/>
  <c r="M113" i="21"/>
  <c r="M114" i="21"/>
  <c r="M115" i="21"/>
  <c r="M116" i="21"/>
  <c r="M117" i="21"/>
  <c r="M118" i="21"/>
  <c r="M119" i="21"/>
  <c r="M120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I5" i="19"/>
  <c r="I4" i="19"/>
  <c r="I3" i="19"/>
  <c r="I2" i="19"/>
  <c r="H5" i="19"/>
  <c r="H4" i="19"/>
  <c r="H3" i="19"/>
  <c r="H2" i="19"/>
  <c r="F5" i="19"/>
  <c r="F4" i="19"/>
  <c r="F3" i="19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3" i="21" s="1"/>
  <c r="N75" i="20"/>
  <c r="N76" i="20"/>
  <c r="N77" i="20"/>
  <c r="N78" i="20"/>
  <c r="N78" i="21" s="1"/>
  <c r="N79" i="20"/>
  <c r="N80" i="20"/>
  <c r="N81" i="20"/>
  <c r="N82" i="20"/>
  <c r="N83" i="20"/>
  <c r="N84" i="20"/>
  <c r="N85" i="20"/>
  <c r="N86" i="20"/>
  <c r="N85" i="21" s="1"/>
  <c r="N87" i="20"/>
  <c r="N88" i="20"/>
  <c r="N89" i="20"/>
  <c r="N90" i="20"/>
  <c r="N91" i="20"/>
  <c r="N92" i="20"/>
  <c r="N91" i="21" s="1"/>
  <c r="N93" i="20"/>
  <c r="N94" i="20"/>
  <c r="N95" i="20"/>
  <c r="N96" i="20"/>
  <c r="N95" i="21" s="1"/>
  <c r="N97" i="20"/>
  <c r="N98" i="20"/>
  <c r="N99" i="20"/>
  <c r="N100" i="20"/>
  <c r="N99" i="21" s="1"/>
  <c r="N101" i="20"/>
  <c r="N102" i="20"/>
  <c r="N103" i="20"/>
  <c r="N104" i="20"/>
  <c r="N103" i="21" s="1"/>
  <c r="N105" i="20"/>
  <c r="N106" i="20"/>
  <c r="N107" i="20"/>
  <c r="N108" i="20"/>
  <c r="N107" i="21" s="1"/>
  <c r="N109" i="20"/>
  <c r="N110" i="20"/>
  <c r="N111" i="20"/>
  <c r="N112" i="20"/>
  <c r="N111" i="21" s="1"/>
  <c r="N113" i="20"/>
  <c r="N114" i="20"/>
  <c r="N115" i="20"/>
  <c r="N116" i="20"/>
  <c r="N115" i="21" s="1"/>
  <c r="N117" i="20"/>
  <c r="N118" i="20"/>
  <c r="N119" i="20"/>
  <c r="N120" i="20"/>
  <c r="N119" i="21" s="1"/>
  <c r="N121" i="20"/>
  <c r="O40" i="20"/>
  <c r="O41" i="20"/>
  <c r="O42" i="20"/>
  <c r="O41" i="21" s="1"/>
  <c r="O43" i="20"/>
  <c r="O44" i="20"/>
  <c r="O45" i="20"/>
  <c r="O46" i="20"/>
  <c r="O45" i="21" s="1"/>
  <c r="O47" i="20"/>
  <c r="O48" i="20"/>
  <c r="O49" i="20"/>
  <c r="O50" i="20"/>
  <c r="O49" i="21" s="1"/>
  <c r="O51" i="20"/>
  <c r="O52" i="20"/>
  <c r="O53" i="20"/>
  <c r="O54" i="20"/>
  <c r="O53" i="21" s="1"/>
  <c r="O55" i="20"/>
  <c r="O56" i="20"/>
  <c r="O57" i="20"/>
  <c r="O58" i="20"/>
  <c r="O57" i="21" s="1"/>
  <c r="O59" i="20"/>
  <c r="O60" i="20"/>
  <c r="O61" i="20"/>
  <c r="O62" i="20"/>
  <c r="O61" i="21" s="1"/>
  <c r="O63" i="20"/>
  <c r="O64" i="20"/>
  <c r="O65" i="20"/>
  <c r="O66" i="20"/>
  <c r="O67" i="20"/>
  <c r="O68" i="20"/>
  <c r="O68" i="21" s="1"/>
  <c r="O69" i="20"/>
  <c r="O70" i="20"/>
  <c r="O69" i="21" s="1"/>
  <c r="O71" i="20"/>
  <c r="O72" i="20"/>
  <c r="O73" i="20"/>
  <c r="O74" i="20"/>
  <c r="O73" i="21" s="1"/>
  <c r="O75" i="20"/>
  <c r="O76" i="20"/>
  <c r="O77" i="20"/>
  <c r="O78" i="20"/>
  <c r="O77" i="21" s="1"/>
  <c r="O79" i="20"/>
  <c r="O80" i="20"/>
  <c r="O80" i="21" s="1"/>
  <c r="O81" i="20"/>
  <c r="O82" i="20"/>
  <c r="O81" i="21" s="1"/>
  <c r="O83" i="20"/>
  <c r="O84" i="20"/>
  <c r="O85" i="20"/>
  <c r="O86" i="20"/>
  <c r="O85" i="21" s="1"/>
  <c r="O87" i="20"/>
  <c r="O88" i="20"/>
  <c r="O89" i="20"/>
  <c r="O88" i="21" s="1"/>
  <c r="O90" i="20"/>
  <c r="O91" i="20"/>
  <c r="O92" i="20"/>
  <c r="O93" i="20"/>
  <c r="O94" i="20"/>
  <c r="O95" i="20"/>
  <c r="O96" i="20"/>
  <c r="O97" i="20"/>
  <c r="O96" i="21" s="1"/>
  <c r="O98" i="20"/>
  <c r="O99" i="20"/>
  <c r="O100" i="20"/>
  <c r="O101" i="20"/>
  <c r="O100" i="21" s="1"/>
  <c r="O102" i="20"/>
  <c r="O103" i="20"/>
  <c r="O104" i="20"/>
  <c r="O105" i="20"/>
  <c r="O104" i="21" s="1"/>
  <c r="O106" i="20"/>
  <c r="O107" i="20"/>
  <c r="O108" i="20"/>
  <c r="O109" i="20"/>
  <c r="O108" i="21" s="1"/>
  <c r="O110" i="20"/>
  <c r="O111" i="20"/>
  <c r="O112" i="20"/>
  <c r="O113" i="20"/>
  <c r="O112" i="21" s="1"/>
  <c r="O114" i="20"/>
  <c r="O115" i="20"/>
  <c r="O116" i="20"/>
  <c r="O117" i="20"/>
  <c r="O116" i="21" s="1"/>
  <c r="O118" i="20"/>
  <c r="O119" i="20"/>
  <c r="O120" i="20"/>
  <c r="O121" i="20"/>
  <c r="O120" i="21" s="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K2" i="21"/>
  <c r="J2" i="21"/>
  <c r="G3" i="21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G31" i="21"/>
  <c r="G32" i="21"/>
  <c r="G33" i="21"/>
  <c r="G34" i="21"/>
  <c r="G35" i="21"/>
  <c r="G36" i="21"/>
  <c r="G37" i="21"/>
  <c r="G38" i="21"/>
  <c r="G2" i="21"/>
  <c r="B85" i="19"/>
  <c r="B89" i="19"/>
  <c r="B29" i="19"/>
  <c r="B30" i="19"/>
  <c r="B18" i="19"/>
  <c r="B17" i="19"/>
  <c r="E13" i="19"/>
  <c r="E12" i="19"/>
  <c r="E11" i="19"/>
  <c r="E10" i="19"/>
  <c r="E9" i="19"/>
  <c r="E8" i="19"/>
  <c r="E7" i="19"/>
  <c r="E6" i="19"/>
  <c r="E5" i="19"/>
  <c r="E4" i="19"/>
  <c r="E3" i="19"/>
  <c r="E2" i="19"/>
  <c r="E1" i="19"/>
  <c r="E28" i="19"/>
  <c r="E27" i="19"/>
  <c r="E26" i="19"/>
  <c r="E25" i="19"/>
  <c r="E24" i="19"/>
  <c r="E23" i="19"/>
  <c r="E22" i="19"/>
  <c r="E21" i="19"/>
  <c r="H44" i="19"/>
  <c r="H45" i="19"/>
  <c r="H33" i="19"/>
  <c r="H34" i="19"/>
  <c r="H35" i="19"/>
  <c r="H36" i="19"/>
  <c r="H37" i="19"/>
  <c r="H38" i="19"/>
  <c r="H39" i="19"/>
  <c r="H40" i="19"/>
  <c r="H41" i="19"/>
  <c r="H42" i="19"/>
  <c r="H43" i="19"/>
  <c r="E20" i="19"/>
  <c r="E19" i="19"/>
  <c r="E18" i="19"/>
  <c r="E17" i="19"/>
  <c r="E16" i="19"/>
  <c r="N3" i="20"/>
  <c r="N4" i="20"/>
  <c r="N4" i="21" s="1"/>
  <c r="N5" i="20"/>
  <c r="N6" i="20"/>
  <c r="N7" i="20"/>
  <c r="N8" i="20"/>
  <c r="N9" i="20"/>
  <c r="N10" i="20"/>
  <c r="N11" i="20"/>
  <c r="N12" i="20"/>
  <c r="N12" i="21" s="1"/>
  <c r="N13" i="20"/>
  <c r="N14" i="20"/>
  <c r="N13" i="21" s="1"/>
  <c r="N15" i="20"/>
  <c r="N16" i="20"/>
  <c r="N16" i="21" s="1"/>
  <c r="N17" i="20"/>
  <c r="N18" i="20"/>
  <c r="N19" i="20"/>
  <c r="N20" i="20"/>
  <c r="N21" i="20"/>
  <c r="N22" i="20"/>
  <c r="N23" i="20"/>
  <c r="N24" i="20"/>
  <c r="N24" i="21" s="1"/>
  <c r="N25" i="20"/>
  <c r="N26" i="20"/>
  <c r="N25" i="21" s="1"/>
  <c r="N27" i="20"/>
  <c r="N28" i="20"/>
  <c r="N28" i="21" s="1"/>
  <c r="N29" i="20"/>
  <c r="N30" i="20"/>
  <c r="N29" i="21" s="1"/>
  <c r="N31" i="20"/>
  <c r="N32" i="20"/>
  <c r="N32" i="21" s="1"/>
  <c r="N33" i="20"/>
  <c r="N34" i="20"/>
  <c r="N35" i="20"/>
  <c r="N36" i="20"/>
  <c r="N36" i="21" s="1"/>
  <c r="N37" i="20"/>
  <c r="N38" i="20"/>
  <c r="N39" i="20"/>
  <c r="O3" i="20"/>
  <c r="O2" i="21" s="1"/>
  <c r="O4" i="20"/>
  <c r="O5" i="20"/>
  <c r="O4" i="21" s="1"/>
  <c r="O6" i="20"/>
  <c r="O7" i="20"/>
  <c r="O7" i="21" s="1"/>
  <c r="O8" i="20"/>
  <c r="O9" i="20"/>
  <c r="O10" i="20"/>
  <c r="O11" i="20"/>
  <c r="O11" i="21" s="1"/>
  <c r="O12" i="20"/>
  <c r="O13" i="20"/>
  <c r="O12" i="21" s="1"/>
  <c r="O14" i="20"/>
  <c r="O15" i="20"/>
  <c r="O15" i="21" s="1"/>
  <c r="O16" i="20"/>
  <c r="O17" i="20"/>
  <c r="O16" i="21" s="1"/>
  <c r="O18" i="20"/>
  <c r="O19" i="20"/>
  <c r="O20" i="20"/>
  <c r="O21" i="20"/>
  <c r="O22" i="20"/>
  <c r="O23" i="20"/>
  <c r="O23" i="21" s="1"/>
  <c r="O24" i="20"/>
  <c r="O25" i="20"/>
  <c r="O26" i="20"/>
  <c r="O27" i="20"/>
  <c r="O27" i="21" s="1"/>
  <c r="O28" i="20"/>
  <c r="O29" i="20"/>
  <c r="O28" i="21" s="1"/>
  <c r="O30" i="20"/>
  <c r="O31" i="20"/>
  <c r="O31" i="21" s="1"/>
  <c r="O32" i="20"/>
  <c r="O33" i="20"/>
  <c r="O32" i="21" s="1"/>
  <c r="O34" i="20"/>
  <c r="O35" i="20"/>
  <c r="O36" i="20"/>
  <c r="O37" i="20"/>
  <c r="O38" i="20"/>
  <c r="O39" i="20"/>
  <c r="O2" i="20"/>
  <c r="B91" i="19"/>
  <c r="N2" i="20"/>
  <c r="M5" i="21"/>
  <c r="M6" i="21"/>
  <c r="M7" i="21"/>
  <c r="M8" i="21"/>
  <c r="M9" i="21"/>
  <c r="M10" i="21"/>
  <c r="M11" i="21"/>
  <c r="M12" i="21"/>
  <c r="M13" i="21"/>
  <c r="M14" i="21"/>
  <c r="M15" i="21"/>
  <c r="M16" i="21"/>
  <c r="M17" i="21"/>
  <c r="M18" i="21"/>
  <c r="M19" i="21"/>
  <c r="M20" i="21"/>
  <c r="M21" i="21"/>
  <c r="M22" i="21"/>
  <c r="M23" i="21"/>
  <c r="M24" i="21"/>
  <c r="M25" i="21"/>
  <c r="M26" i="21"/>
  <c r="M27" i="21"/>
  <c r="M28" i="21"/>
  <c r="M29" i="21"/>
  <c r="M30" i="21"/>
  <c r="M31" i="21"/>
  <c r="M32" i="21"/>
  <c r="M33" i="21"/>
  <c r="M34" i="21"/>
  <c r="M35" i="21"/>
  <c r="M36" i="21"/>
  <c r="M37" i="21"/>
  <c r="M38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27" i="21"/>
  <c r="H28" i="21"/>
  <c r="H29" i="21"/>
  <c r="H30" i="21"/>
  <c r="H31" i="21"/>
  <c r="H32" i="21"/>
  <c r="H33" i="21"/>
  <c r="H34" i="21"/>
  <c r="H35" i="21"/>
  <c r="H36" i="21"/>
  <c r="H37" i="21"/>
  <c r="H38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29" i="21"/>
  <c r="D30" i="21"/>
  <c r="D31" i="21"/>
  <c r="D32" i="21"/>
  <c r="D33" i="21"/>
  <c r="D34" i="21"/>
  <c r="D35" i="21"/>
  <c r="D36" i="21"/>
  <c r="D37" i="21"/>
  <c r="D38" i="21"/>
  <c r="C5" i="21"/>
  <c r="C6" i="21"/>
  <c r="C7" i="21"/>
  <c r="C8" i="21"/>
  <c r="C9" i="21"/>
  <c r="C10" i="21"/>
  <c r="C11" i="21"/>
  <c r="C12" i="21"/>
  <c r="C13" i="21"/>
  <c r="C14" i="21"/>
  <c r="C15" i="21"/>
  <c r="C16" i="21"/>
  <c r="C17" i="21"/>
  <c r="C18" i="21"/>
  <c r="C19" i="21"/>
  <c r="C20" i="21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B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M3" i="21"/>
  <c r="M2" i="21"/>
  <c r="H32" i="19"/>
  <c r="L2" i="21"/>
  <c r="B2" i="21"/>
  <c r="C2" i="21"/>
  <c r="D2" i="21"/>
  <c r="E2" i="21"/>
  <c r="F2" i="21"/>
  <c r="H2" i="21"/>
  <c r="I2" i="21"/>
  <c r="A38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2" i="21"/>
  <c r="A4" i="21"/>
  <c r="A5" i="21"/>
  <c r="A6" i="21"/>
  <c r="A7" i="21"/>
  <c r="A8" i="21"/>
  <c r="A9" i="21"/>
  <c r="A10" i="21"/>
  <c r="A11" i="21"/>
  <c r="A3" i="21"/>
  <c r="F2" i="19"/>
  <c r="N8" i="21"/>
  <c r="O8" i="21"/>
  <c r="N5" i="21"/>
  <c r="O36" i="21"/>
  <c r="O24" i="21"/>
  <c r="O20" i="21"/>
  <c r="N37" i="21"/>
  <c r="N33" i="21"/>
  <c r="N17" i="21"/>
  <c r="N9" i="21"/>
  <c r="N20" i="21"/>
  <c r="N21" i="21"/>
  <c r="O35" i="21"/>
  <c r="O19" i="21"/>
  <c r="O3" i="21"/>
  <c r="C4" i="21"/>
  <c r="D4" i="21"/>
  <c r="E4" i="21"/>
  <c r="F4" i="21"/>
  <c r="H4" i="21"/>
  <c r="I4" i="21"/>
  <c r="L4" i="21"/>
  <c r="M4" i="21"/>
  <c r="C3" i="21"/>
  <c r="D3" i="21"/>
  <c r="E3" i="21"/>
  <c r="F3" i="21"/>
  <c r="H3" i="21"/>
  <c r="I3" i="21"/>
  <c r="L3" i="21"/>
  <c r="B6" i="19"/>
  <c r="H15" i="19" s="1"/>
  <c r="G15" i="19" s="1"/>
  <c r="B81" i="19"/>
  <c r="B5" i="19"/>
  <c r="B3" i="19"/>
  <c r="H14" i="19" s="1"/>
  <c r="G14" i="19" s="1"/>
  <c r="B80" i="19"/>
  <c r="B137" i="19"/>
  <c r="B136" i="19" s="1"/>
  <c r="B2" i="19"/>
  <c r="B8" i="19"/>
  <c r="B82" i="19"/>
  <c r="B9" i="19"/>
  <c r="B14" i="19"/>
  <c r="B12" i="19"/>
  <c r="B83" i="19"/>
  <c r="B11" i="19"/>
  <c r="B84" i="19"/>
  <c r="B15" i="19"/>
  <c r="B20" i="19"/>
  <c r="B86" i="19"/>
  <c r="B21" i="19"/>
  <c r="B24" i="19"/>
  <c r="B87" i="19"/>
  <c r="B23" i="19"/>
  <c r="B33" i="19"/>
  <c r="B88" i="19"/>
  <c r="B26" i="19"/>
  <c r="B27" i="19"/>
  <c r="B90" i="19"/>
  <c r="B32" i="19"/>
  <c r="B36" i="19"/>
  <c r="B35" i="19"/>
  <c r="O65" i="21"/>
  <c r="N83" i="21"/>
  <c r="N79" i="21"/>
  <c r="O78" i="21"/>
  <c r="O76" i="21"/>
  <c r="Q2" i="21"/>
  <c r="Q18" i="21"/>
  <c r="T20" i="20"/>
  <c r="Q19" i="21"/>
  <c r="Q35" i="21"/>
  <c r="T2" i="20" a="1"/>
  <c r="T9" i="20" a="1"/>
  <c r="Q31" i="21"/>
  <c r="Q33" i="21"/>
  <c r="Q17" i="21"/>
  <c r="T7" i="20" a="1"/>
  <c r="T30" i="20"/>
  <c r="Q6" i="21"/>
  <c r="T25" i="20"/>
  <c r="T5" i="20" a="1"/>
  <c r="Q4" i="21"/>
  <c r="T14" i="20" a="1"/>
  <c r="T4" i="20" a="1"/>
  <c r="Q12" i="21"/>
  <c r="T6" i="20" a="1"/>
  <c r="T27" i="20"/>
  <c r="Q40" i="21"/>
  <c r="T28" i="20"/>
  <c r="Q36" i="21"/>
  <c r="T13" i="20" a="1"/>
  <c r="Q9" i="21"/>
  <c r="T18" i="20"/>
  <c r="Q10" i="21"/>
  <c r="Q8" i="21"/>
  <c r="Q34" i="21"/>
  <c r="Q41" i="21"/>
  <c r="Q37" i="21"/>
  <c r="Q5" i="21"/>
  <c r="Q3" i="21"/>
  <c r="T8" i="20" a="1"/>
  <c r="Q39" i="21"/>
  <c r="T24" i="20"/>
  <c r="Q24" i="21"/>
  <c r="T3" i="20" a="1"/>
  <c r="Q32" i="21"/>
  <c r="T23" i="20"/>
  <c r="T21" i="20"/>
  <c r="Q7" i="21"/>
  <c r="Q20" i="21"/>
  <c r="T12" i="20" a="1"/>
  <c r="Q21" i="21"/>
  <c r="Q13" i="21"/>
  <c r="T29" i="20"/>
  <c r="Q25" i="21"/>
  <c r="Q38" i="21"/>
  <c r="Q11" i="21"/>
  <c r="Q15" i="21"/>
  <c r="T11" i="20" a="1"/>
  <c r="T26" i="20"/>
  <c r="Q16" i="21"/>
  <c r="Q14" i="21"/>
  <c r="Q22" i="21"/>
  <c r="T22" i="20"/>
  <c r="T10" i="20" a="1"/>
  <c r="Q30" i="21"/>
  <c r="T19" i="20"/>
  <c r="Q23" i="21"/>
  <c r="N53" i="21" l="1"/>
  <c r="O71" i="21"/>
  <c r="O63" i="21"/>
  <c r="O59" i="21"/>
  <c r="O55" i="21"/>
  <c r="O51" i="21"/>
  <c r="O47" i="21"/>
  <c r="O43" i="21"/>
  <c r="N117" i="21"/>
  <c r="N113" i="21"/>
  <c r="N109" i="21"/>
  <c r="N105" i="21"/>
  <c r="N101" i="21"/>
  <c r="N97" i="21"/>
  <c r="N81" i="21"/>
  <c r="O37" i="21"/>
  <c r="O33" i="21"/>
  <c r="O25" i="21"/>
  <c r="O21" i="21"/>
  <c r="O9" i="21"/>
  <c r="N38" i="21"/>
  <c r="N34" i="21"/>
  <c r="N22" i="21"/>
  <c r="N10" i="21"/>
  <c r="O117" i="21"/>
  <c r="O113" i="21"/>
  <c r="O109" i="21"/>
  <c r="O105" i="21"/>
  <c r="O101" i="21"/>
  <c r="O97" i="21"/>
  <c r="O82" i="21"/>
  <c r="O70" i="21"/>
  <c r="O66" i="21"/>
  <c r="O62" i="21"/>
  <c r="O58" i="21"/>
  <c r="O54" i="21"/>
  <c r="O50" i="21"/>
  <c r="O46" i="21"/>
  <c r="O42" i="21"/>
  <c r="N120" i="21"/>
  <c r="N116" i="21"/>
  <c r="N112" i="21"/>
  <c r="N108" i="21"/>
  <c r="N104" i="21"/>
  <c r="N100" i="21"/>
  <c r="N96" i="21"/>
  <c r="N92" i="21"/>
  <c r="N88" i="21"/>
  <c r="N84" i="21"/>
  <c r="N80" i="21"/>
  <c r="N76" i="21"/>
  <c r="O10" i="21"/>
  <c r="O30" i="21"/>
  <c r="O18" i="21"/>
  <c r="O6" i="21"/>
  <c r="N19" i="21"/>
  <c r="N7" i="21"/>
  <c r="O75" i="21"/>
  <c r="N27" i="21"/>
  <c r="N15" i="21"/>
  <c r="O79" i="21"/>
  <c r="O39" i="21"/>
  <c r="O14" i="21"/>
  <c r="N31" i="21"/>
  <c r="N3" i="21"/>
  <c r="O119" i="21"/>
  <c r="O115" i="21"/>
  <c r="O111" i="21"/>
  <c r="O107" i="21"/>
  <c r="O103" i="21"/>
  <c r="O99" i="21"/>
  <c r="O84" i="21"/>
  <c r="O72" i="21"/>
  <c r="O83" i="21"/>
  <c r="O64" i="21"/>
  <c r="N2" i="21"/>
  <c r="N18" i="21"/>
  <c r="O29" i="21"/>
  <c r="N72" i="21"/>
  <c r="O38" i="21"/>
  <c r="N6" i="21"/>
  <c r="O5" i="21"/>
  <c r="N77" i="21"/>
  <c r="N35" i="21"/>
  <c r="O118" i="21"/>
  <c r="O114" i="21"/>
  <c r="O110" i="21"/>
  <c r="O106" i="21"/>
  <c r="O102" i="21"/>
  <c r="O98" i="21"/>
  <c r="O67" i="21"/>
  <c r="O60" i="21"/>
  <c r="O56" i="21"/>
  <c r="O52" i="21"/>
  <c r="O48" i="21"/>
  <c r="O44" i="21"/>
  <c r="O40" i="21"/>
  <c r="N118" i="21"/>
  <c r="N114" i="21"/>
  <c r="N110" i="21"/>
  <c r="N106" i="21"/>
  <c r="N102" i="21"/>
  <c r="N98" i="21"/>
  <c r="N94" i="21"/>
  <c r="N82" i="21"/>
  <c r="N74" i="21"/>
  <c r="N39" i="21"/>
  <c r="N26" i="21"/>
  <c r="O34" i="21"/>
  <c r="N14" i="21"/>
  <c r="O17" i="21"/>
  <c r="N23" i="21"/>
  <c r="O74" i="21"/>
  <c r="N75" i="21"/>
  <c r="N71" i="21"/>
  <c r="O22" i="21"/>
  <c r="N11" i="21"/>
  <c r="O26" i="21"/>
  <c r="O13" i="21"/>
  <c r="N30" i="21"/>
  <c r="O95" i="21"/>
  <c r="O86" i="21"/>
  <c r="O94" i="21"/>
  <c r="N62" i="21"/>
  <c r="N55" i="21"/>
  <c r="N43" i="21"/>
  <c r="N60" i="21"/>
  <c r="N52" i="21"/>
  <c r="N48" i="21"/>
  <c r="O93" i="21"/>
  <c r="B28" i="19"/>
  <c r="B10" i="19"/>
  <c r="O92" i="21"/>
  <c r="N93" i="21"/>
  <c r="N54" i="21"/>
  <c r="N42" i="21"/>
  <c r="B19" i="19"/>
  <c r="O91" i="21"/>
  <c r="B13" i="19"/>
  <c r="O90" i="21"/>
  <c r="B7" i="19"/>
  <c r="N90" i="21"/>
  <c r="B34" i="19"/>
  <c r="N69" i="21"/>
  <c r="N65" i="21"/>
  <c r="N57" i="21"/>
  <c r="N45" i="21"/>
  <c r="N41" i="21"/>
  <c r="O89" i="21"/>
  <c r="N49" i="21"/>
  <c r="N61" i="21"/>
  <c r="N70" i="21"/>
  <c r="N66" i="21"/>
  <c r="N58" i="21"/>
  <c r="N50" i="21"/>
  <c r="N46" i="21"/>
  <c r="N67" i="21"/>
  <c r="N63" i="21"/>
  <c r="N59" i="21"/>
  <c r="N51" i="21"/>
  <c r="N47" i="21"/>
  <c r="B37" i="19"/>
  <c r="B31" i="19"/>
  <c r="B25" i="19"/>
  <c r="B22" i="19"/>
  <c r="B16" i="19"/>
  <c r="N89" i="21"/>
  <c r="B4" i="19"/>
  <c r="N87" i="21"/>
  <c r="N68" i="21"/>
  <c r="N44" i="21"/>
  <c r="B93" i="19"/>
  <c r="E29" i="19"/>
  <c r="O87" i="21"/>
  <c r="E14" i="19"/>
  <c r="N86" i="21"/>
  <c r="B100" i="19"/>
  <c r="B113" i="19"/>
  <c r="B57" i="19"/>
  <c r="B42" i="19"/>
  <c r="B71" i="19"/>
  <c r="B98" i="19"/>
  <c r="T10" i="20"/>
  <c r="B130" i="19" s="1"/>
  <c r="T9" i="20"/>
  <c r="B129" i="19" s="1"/>
  <c r="T12" i="20"/>
  <c r="B132" i="19" s="1"/>
  <c r="B53" i="19"/>
  <c r="B114" i="19"/>
  <c r="B50" i="19"/>
  <c r="B101" i="19"/>
  <c r="B97" i="19"/>
  <c r="B65" i="19"/>
  <c r="B38" i="19"/>
  <c r="B63" i="19"/>
  <c r="T7" i="20"/>
  <c r="B127" i="19" s="1"/>
  <c r="B105" i="19"/>
  <c r="B117" i="19"/>
  <c r="B111" i="19"/>
  <c r="B41" i="19"/>
  <c r="B60" i="19"/>
  <c r="T2" i="20"/>
  <c r="B122" i="19" s="1"/>
  <c r="B110" i="19"/>
  <c r="T8" i="20"/>
  <c r="B128" i="19" s="1"/>
  <c r="B66" i="19"/>
  <c r="B68" i="19"/>
  <c r="B54" i="19"/>
  <c r="T4" i="20"/>
  <c r="B124" i="19" s="1"/>
  <c r="B102" i="19"/>
  <c r="B112" i="19"/>
  <c r="B39" i="19"/>
  <c r="B108" i="19"/>
  <c r="T5" i="20"/>
  <c r="B125" i="19" s="1"/>
  <c r="B119" i="19"/>
  <c r="T11" i="20"/>
  <c r="B131" i="19" s="1"/>
  <c r="B115" i="19"/>
  <c r="B103" i="19"/>
  <c r="B47" i="19"/>
  <c r="B72" i="19"/>
  <c r="B73" i="19" s="1"/>
  <c r="T6" i="20"/>
  <c r="B126" i="19" s="1"/>
  <c r="B45" i="19"/>
  <c r="B106" i="19"/>
  <c r="B51" i="19"/>
  <c r="B118" i="19"/>
  <c r="T14" i="20"/>
  <c r="B134" i="19" s="1"/>
  <c r="B96" i="19"/>
  <c r="B59" i="19"/>
  <c r="B99" i="19"/>
  <c r="B56" i="19"/>
  <c r="B109" i="19"/>
  <c r="B116" i="19"/>
  <c r="B62" i="19"/>
  <c r="T13" i="20"/>
  <c r="B133" i="19" s="1"/>
  <c r="B44" i="19"/>
  <c r="B48" i="19"/>
  <c r="B104" i="19"/>
  <c r="T3" i="20"/>
  <c r="B123" i="19" s="1"/>
  <c r="B69" i="19"/>
  <c r="B94" i="19"/>
  <c r="B95" i="19"/>
  <c r="B92" i="19"/>
  <c r="N64" i="21"/>
  <c r="N56" i="21"/>
  <c r="N40" i="21"/>
  <c r="T31" i="20"/>
  <c r="Q27" i="21"/>
  <c r="Q28" i="21"/>
  <c r="Q42" i="21"/>
  <c r="T15" i="20" a="1"/>
  <c r="Q43" i="21"/>
  <c r="Q29" i="21"/>
  <c r="Q26" i="21"/>
  <c r="B52" i="19" l="1"/>
  <c r="B67" i="19"/>
  <c r="B46" i="19"/>
  <c r="B70" i="19"/>
  <c r="B55" i="19"/>
  <c r="B77" i="19"/>
  <c r="B78" i="19"/>
  <c r="B121" i="19"/>
  <c r="T15" i="20"/>
  <c r="B135" i="19" s="1"/>
  <c r="B107" i="19"/>
  <c r="B64" i="19"/>
  <c r="B58" i="19"/>
  <c r="B74" i="19"/>
  <c r="B120" i="19"/>
  <c r="B75" i="19"/>
  <c r="B49" i="19"/>
  <c r="B61" i="19"/>
  <c r="B40" i="19"/>
  <c r="B43" i="19"/>
  <c r="B79" i="19" l="1"/>
  <c r="B76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<sst xmlns="http://schemas.openxmlformats.org/spreadsheetml/2006/main" count="537" uniqueCount="216">
  <si>
    <t>Date</t>
  </si>
  <si>
    <t>Weight (Pounds)</t>
  </si>
  <si>
    <t>Waist (Inches)</t>
  </si>
  <si>
    <t>Weight Diff</t>
  </si>
  <si>
    <t>Waist Diff</t>
  </si>
  <si>
    <t>Max Weight</t>
  </si>
  <si>
    <t>Min Weight</t>
  </si>
  <si>
    <t>Max Waist</t>
  </si>
  <si>
    <t>Min Waist</t>
  </si>
  <si>
    <t>Total Weight Lost</t>
  </si>
  <si>
    <t>Total Weight Gain</t>
  </si>
  <si>
    <t>Total Weight Net</t>
  </si>
  <si>
    <t>Total Waist Lost</t>
  </si>
  <si>
    <t>Total Waist Gain</t>
  </si>
  <si>
    <t>AVG Weight</t>
  </si>
  <si>
    <t>AVG Waist</t>
  </si>
  <si>
    <t>Number of weeks on this journey</t>
  </si>
  <si>
    <t>Total Days</t>
  </si>
  <si>
    <t>Day</t>
  </si>
  <si>
    <t>Weight</t>
  </si>
  <si>
    <t>Waist</t>
  </si>
  <si>
    <t>Morning Body Temp</t>
  </si>
  <si>
    <t>Night Body Temp</t>
  </si>
  <si>
    <t>Morning Pulse</t>
  </si>
  <si>
    <t>Night Pulse</t>
  </si>
  <si>
    <t>Morning Body Temp Diff</t>
  </si>
  <si>
    <t>Night Body Temp Diff</t>
  </si>
  <si>
    <t>Morning Pulse Diff</t>
  </si>
  <si>
    <t>Night Pulse Diff</t>
  </si>
  <si>
    <t>Neck</t>
  </si>
  <si>
    <t>Neck (Inches)</t>
  </si>
  <si>
    <t>Progress Refs</t>
  </si>
  <si>
    <t>Median Weight</t>
  </si>
  <si>
    <t>Median Waist</t>
  </si>
  <si>
    <t>Waist Loss</t>
  </si>
  <si>
    <t>Waist Gain</t>
  </si>
  <si>
    <t>Weight Loss</t>
  </si>
  <si>
    <t>Weight Gain</t>
  </si>
  <si>
    <t>Neck Loss</t>
  </si>
  <si>
    <t>Neck Gain</t>
  </si>
  <si>
    <t>Morning Body Temp Loss</t>
  </si>
  <si>
    <t>Morning Body Temp Gain</t>
  </si>
  <si>
    <t>Night Body Temp Loss</t>
  </si>
  <si>
    <t>Night Body Temp Gain</t>
  </si>
  <si>
    <t>Morning Pulse Loss</t>
  </si>
  <si>
    <t>Morning Pulse Gain</t>
  </si>
  <si>
    <t>Night Pulse Loss</t>
  </si>
  <si>
    <t>Night Pulse Gain</t>
  </si>
  <si>
    <t>Max Neck</t>
  </si>
  <si>
    <t>Min Neck</t>
  </si>
  <si>
    <t>Neck Diff</t>
  </si>
  <si>
    <t>Max Morning Body Temp</t>
  </si>
  <si>
    <t>Min Morning Body Temp</t>
  </si>
  <si>
    <t>Max Morning Pulse</t>
  </si>
  <si>
    <t>Min Morning Pulse</t>
  </si>
  <si>
    <t>Max Night Body Temp</t>
  </si>
  <si>
    <t>Min Night Body Temp</t>
  </si>
  <si>
    <t>Max Night Pulse</t>
  </si>
  <si>
    <t>Min Night Pulse</t>
  </si>
  <si>
    <t>Sleep</t>
  </si>
  <si>
    <t>Min Sleep</t>
  </si>
  <si>
    <t>Sleep Diff</t>
  </si>
  <si>
    <t>Max Sleep</t>
  </si>
  <si>
    <t>Total Waist Net</t>
  </si>
  <si>
    <t>Total Neck Lost</t>
  </si>
  <si>
    <t>Total Neck Gain</t>
  </si>
  <si>
    <t>Total Neck Net</t>
  </si>
  <si>
    <t>Total Morning Body Temp Lost</t>
  </si>
  <si>
    <t>Total Morning Body Temp Gain</t>
  </si>
  <si>
    <t>Total Morning Body Temp Net</t>
  </si>
  <si>
    <t>Total Morning Pulse Lost</t>
  </si>
  <si>
    <t>Total Morning Pulse Gain</t>
  </si>
  <si>
    <t>Total Morning Pulse Net</t>
  </si>
  <si>
    <t>Total Night Body Temp Lost</t>
  </si>
  <si>
    <t>Total Night Body Temp Gain</t>
  </si>
  <si>
    <t>Total Night Body Temp Net</t>
  </si>
  <si>
    <t>Total Night Pulse Lost</t>
  </si>
  <si>
    <t>Total Night Pulse Gain</t>
  </si>
  <si>
    <t>Total Night Pulse Net</t>
  </si>
  <si>
    <t>Total Sleep Lost</t>
  </si>
  <si>
    <t>Total Sleep Gain</t>
  </si>
  <si>
    <t>Total Sleep Net</t>
  </si>
  <si>
    <t>AVG Neck</t>
  </si>
  <si>
    <t>AVG Morning Body Temp</t>
  </si>
  <si>
    <t>AVG Morning Pulse</t>
  </si>
  <si>
    <t>AVG Night Body Temp</t>
  </si>
  <si>
    <t>AVG Night Pulse</t>
  </si>
  <si>
    <t>AVG Sleep</t>
  </si>
  <si>
    <t>=</t>
  </si>
  <si>
    <t>+</t>
  </si>
  <si>
    <t>Median Neck</t>
  </si>
  <si>
    <t>Median Morning Body Temp</t>
  </si>
  <si>
    <t>Median Morning Pulse</t>
  </si>
  <si>
    <t>Median Night Body Temp</t>
  </si>
  <si>
    <t>Median Night Pulse</t>
  </si>
  <si>
    <t>Median Sleep</t>
  </si>
  <si>
    <t>Weight Start VS Current</t>
  </si>
  <si>
    <t>Waist Start VS Current</t>
  </si>
  <si>
    <t>Neck Start VS Current</t>
  </si>
  <si>
    <t>Morning Body Temp Start VS Current</t>
  </si>
  <si>
    <t>Morning Pulse Start VS Current</t>
  </si>
  <si>
    <t>Night Body Temp Start VS Current</t>
  </si>
  <si>
    <t>Night Pulse Start VS Current</t>
  </si>
  <si>
    <t>Sleep Start VS Current</t>
  </si>
  <si>
    <t>Measure Name</t>
  </si>
  <si>
    <t>Measurement</t>
  </si>
  <si>
    <t>Sleep Loss</t>
  </si>
  <si>
    <t>Sleep Gain</t>
  </si>
  <si>
    <t>BMI</t>
  </si>
  <si>
    <t>Navy CBF</t>
  </si>
  <si>
    <t>BMI Loss</t>
  </si>
  <si>
    <t>BMI Gain</t>
  </si>
  <si>
    <t>CBF Loss</t>
  </si>
  <si>
    <t>CBF Gain</t>
  </si>
  <si>
    <t>CBF</t>
  </si>
  <si>
    <t>Median Refs</t>
  </si>
  <si>
    <t>Median BMI</t>
  </si>
  <si>
    <t>Median CBF</t>
  </si>
  <si>
    <t>AVG BMI</t>
  </si>
  <si>
    <t>AVG CBF</t>
  </si>
  <si>
    <t>Total BMI Lost</t>
  </si>
  <si>
    <t>Total BMI Gain</t>
  </si>
  <si>
    <t>Total BMI Net</t>
  </si>
  <si>
    <t>Total CBF Lost</t>
  </si>
  <si>
    <t>Total CBF Gain</t>
  </si>
  <si>
    <t>Total CBF Net</t>
  </si>
  <si>
    <t>Milestone Date</t>
  </si>
  <si>
    <t>Number of Days</t>
  </si>
  <si>
    <t>BMI Start VS Current</t>
  </si>
  <si>
    <t>CBF Start VS Current</t>
  </si>
  <si>
    <t>Morning Systolic Pressure</t>
  </si>
  <si>
    <t>Morning Diastolic Pressure</t>
  </si>
  <si>
    <t>Night Systolic Pressure</t>
  </si>
  <si>
    <t>Night Diastolic Pressure</t>
  </si>
  <si>
    <t>Max Morning Systolic Pressure</t>
  </si>
  <si>
    <t>Min Morning Systolic Pressure</t>
  </si>
  <si>
    <t>Morning Systolic Pressure Diff</t>
  </si>
  <si>
    <t>Max Night Systolic Pressure</t>
  </si>
  <si>
    <t>Min Night Systolic Pressure</t>
  </si>
  <si>
    <t>Night Systolic Pressure Diff</t>
  </si>
  <si>
    <t>Total Morning Systolic Pressure Lost</t>
  </si>
  <si>
    <t>Total Morning Systolic Pressure Gain</t>
  </si>
  <si>
    <t>Total Morning Systolic Pressure Net</t>
  </si>
  <si>
    <t>Total Night Systolic Pressure Lost</t>
  </si>
  <si>
    <t>Total Night Systolic Pressure Gain</t>
  </si>
  <si>
    <t>Total Night Systolic Pressure Net</t>
  </si>
  <si>
    <t>AVG Morning Systolic Pressure</t>
  </si>
  <si>
    <t>AVG Night Systolic Pressure</t>
  </si>
  <si>
    <t>Median Morning Systolic Pressure</t>
  </si>
  <si>
    <t>Median Night Systolic Pressure</t>
  </si>
  <si>
    <t>Morning Systolic Pressure Start VS Current</t>
  </si>
  <si>
    <t>Night Systolic Pressure Start VS Current</t>
  </si>
  <si>
    <t>Morning Systolic Pressure Loss</t>
  </si>
  <si>
    <t>Morning Systolic Pressure Gain</t>
  </si>
  <si>
    <t>Night Systolic Pressure Loss</t>
  </si>
  <si>
    <t>Night Systolic Pressure Gain</t>
  </si>
  <si>
    <t>Min Morning Diastolic Pressure</t>
  </si>
  <si>
    <t>Max Morning Diastolic Pressure</t>
  </si>
  <si>
    <t>Morning Diastolic Pressure Diff</t>
  </si>
  <si>
    <t>Max Night Diastolic Pressure</t>
  </si>
  <si>
    <t>Min Night Diastolic Pressure</t>
  </si>
  <si>
    <t>Night Diastolic Pressure Diff</t>
  </si>
  <si>
    <t>Morning Diastolic Pressure Start VS Current</t>
  </si>
  <si>
    <t>Night Diastolic Pressure Start VS Current</t>
  </si>
  <si>
    <t>Median Night Diastolic Pressure</t>
  </si>
  <si>
    <t>Median Morning Diastolic Pressure</t>
  </si>
  <si>
    <t>AVG Night Diastolic Pressure</t>
  </si>
  <si>
    <t>AVG Morning Diastolic Pressure</t>
  </si>
  <si>
    <t>Total Night Diastolic Pressure Net</t>
  </si>
  <si>
    <t>Total Night Diastolic Pressure Gain</t>
  </si>
  <si>
    <t>Total Night Diastolic Pressure Lost</t>
  </si>
  <si>
    <t>Night Diastolic Pressure Loss</t>
  </si>
  <si>
    <t>Night Diastolic Pressure Gain</t>
  </si>
  <si>
    <t>Morning Diastolic Pressure Gain</t>
  </si>
  <si>
    <t>Morning Diastolic Pressure Loss</t>
  </si>
  <si>
    <t>Gym</t>
  </si>
  <si>
    <t>Yes</t>
  </si>
  <si>
    <t>Cardio</t>
  </si>
  <si>
    <t>No</t>
  </si>
  <si>
    <t>AVG Weight Diff</t>
  </si>
  <si>
    <t>Diff</t>
  </si>
  <si>
    <t>AVG Waist Diff</t>
  </si>
  <si>
    <t>AVG Neck Diff</t>
  </si>
  <si>
    <t>AVG Morning Body Temp Diff</t>
  </si>
  <si>
    <t>AVG Morning Systolic Pressure Diff</t>
  </si>
  <si>
    <t>AVG Morning Diastolic Pressure Diff</t>
  </si>
  <si>
    <t>AVG Morning Pulse Diff</t>
  </si>
  <si>
    <t>AVG Night Body Temp Diff</t>
  </si>
  <si>
    <t>AVG Night Systolic Pressure Diff</t>
  </si>
  <si>
    <t>AVG Night Diastolic Pressure Diff</t>
  </si>
  <si>
    <t>AVG Night Pulse Diff</t>
  </si>
  <si>
    <t>AVG Sleep Diff</t>
  </si>
  <si>
    <t>AVG BMI Diff</t>
  </si>
  <si>
    <t>AVG CBF Diff</t>
  </si>
  <si>
    <t>CTRL+SHIFT+B</t>
  </si>
  <si>
    <t>Total Morning Diastolic Pressure Lost</t>
  </si>
  <si>
    <t>Total Morning Diastolic Pressure Gain</t>
  </si>
  <si>
    <t>Total Morning Diastolic Pressure Net</t>
  </si>
  <si>
    <t>Record</t>
  </si>
  <si>
    <t>Unofficial Record</t>
  </si>
  <si>
    <t>Unknown</t>
  </si>
  <si>
    <t>Tied Record</t>
  </si>
  <si>
    <t>Broke Official and Unofficial Records</t>
  </si>
  <si>
    <t>Current Weight Record</t>
  </si>
  <si>
    <t>Current Waist Record</t>
  </si>
  <si>
    <t>Fat Calories</t>
  </si>
  <si>
    <t>Calorie Prediction</t>
  </si>
  <si>
    <t>Fat Removed</t>
  </si>
  <si>
    <t>Daily Water Intake (liters)</t>
  </si>
  <si>
    <t>Servings</t>
  </si>
  <si>
    <t>Sugar</t>
  </si>
  <si>
    <t>Fiber</t>
  </si>
  <si>
    <t>Protein</t>
  </si>
  <si>
    <t xml:space="preserve">Fat </t>
  </si>
  <si>
    <t>Carbs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</si>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</sst>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0.0"/>
    <numFmt numFmtId="167" formatCode="0.0000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Garamond"/>
      <family val="1"/>
    </font>
    <font>
      <sz val="14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4"/>
      <color theme="1"/>
      <name val="Garamond"/>
      <family val="1"/>
    </font>
    <font>
      <sz val="12"/>
      <color theme="1"/>
      <name val="Garamond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2" fontId="3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5" fillId="0" borderId="0" xfId="0" applyFont="1"/>
    <xf numFmtId="14" fontId="3" fillId="0" borderId="0" xfId="0" applyNumberFormat="1" applyFont="1"/>
    <xf numFmtId="0" fontId="3" fillId="0" borderId="0" xfId="1" applyNumberFormat="1" applyFont="1"/>
    <xf numFmtId="0" fontId="3" fillId="0" borderId="1" xfId="0" applyFont="1" applyBorder="1"/>
    <xf numFmtId="0" fontId="3" fillId="2" borderId="1" xfId="0" applyFont="1" applyFill="1" applyBorder="1"/>
    <xf numFmtId="2" fontId="6" fillId="0" borderId="0" xfId="0" applyNumberFormat="1" applyFont="1"/>
    <xf numFmtId="165" fontId="6" fillId="0" borderId="0" xfId="0" applyNumberFormat="1" applyFont="1"/>
    <xf numFmtId="14" fontId="5" fillId="0" borderId="0" xfId="0" applyNumberFormat="1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  <xf numFmtId="1" fontId="6" fillId="0" borderId="0" xfId="0" applyNumberFormat="1" applyFont="1"/>
    <xf numFmtId="167" fontId="3" fillId="0" borderId="0" xfId="0" applyNumberFormat="1" applyFont="1"/>
    <xf numFmtId="0" fontId="2" fillId="0" borderId="0" xfId="0" applyFont="1" applyAlignment="1">
      <alignment horizontal="left" vertical="top" wrapText="1"/>
    </xf>
    <xf numFmtId="167" fontId="2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54"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7" formatCode="0.00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9" formatCode="m/d/yy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6"/>
        <color theme="1"/>
        <name val="Garamond"/>
        <family val="1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5" formatCode="0.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5" formatCode="0.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5" formatCode="0.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5" formatCode="0.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5" formatCode="0.0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  <numFmt numFmtId="164" formatCode="[$-F800]dddd\,\ mmmm\ dd\,\ yyyy"/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Garamond"/>
        <family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08C65AB-F79D-4212-B710-27805BBF5797}" name="Log" displayName="Log" ref="A1:Q121" totalsRowShown="0" headerRowDxfId="53" dataDxfId="52">
  <autoFilter ref="A1:Q121" xr:uid="{208C65AB-F79D-4212-B710-27805BBF5797}"/>
  <tableColumns count="17">
    <tableColumn id="1" xr3:uid="{BDCCCD6E-039C-47BF-A71A-D8438480D0FB}" name="Date" dataDxfId="51"/>
    <tableColumn id="2" xr3:uid="{484C5A12-3E86-4020-9135-EC543D515B03}" name="Weight (Pounds)" dataDxfId="50"/>
    <tableColumn id="3" xr3:uid="{3B3594B7-3E5F-4AD8-BC13-A3BE1B926C32}" name="Waist (Inches)" dataDxfId="49"/>
    <tableColumn id="4" xr3:uid="{B1742F44-7B96-45E0-8FD8-92250EEF5ED7}" name="Neck (Inches)" dataDxfId="48"/>
    <tableColumn id="5" xr3:uid="{CBA8B5CD-6191-41BF-9D90-3BDCECB19290}" name="Morning Body Temp" dataDxfId="47"/>
    <tableColumn id="6" xr3:uid="{A6865D7C-8613-48F1-8DA3-161FF4B7959E}" name="Morning Systolic Pressure" dataDxfId="46"/>
    <tableColumn id="12" xr3:uid="{D67C5880-24A7-4267-851B-EDC215DD91C2}" name="Morning Diastolic Pressure" dataDxfId="45"/>
    <tableColumn id="7" xr3:uid="{A101AF6B-DC1D-442B-BAC9-DDD8A594712B}" name="Morning Pulse" dataDxfId="44"/>
    <tableColumn id="8" xr3:uid="{E6B38609-053F-4ABB-85FC-40B86D62AEF5}" name="Night Body Temp" dataDxfId="43"/>
    <tableColumn id="9" xr3:uid="{F6C0889B-6260-40C9-A50E-4DC18B2D4207}" name="Night Systolic Pressure" dataDxfId="42"/>
    <tableColumn id="14" xr3:uid="{1BAA43D7-29CF-43F1-8C87-5DA7D092DE6E}" name="Night Diastolic Pressure" dataDxfId="41"/>
    <tableColumn id="10" xr3:uid="{0644E680-D640-4381-B2F1-D71AF968E2F1}" name="Night Pulse" dataDxfId="40"/>
    <tableColumn id="13" xr3:uid="{E89D2BEB-F2FC-430B-B36F-08B06B45BF05}" name="Sleep" dataDxfId="39"/>
    <tableColumn id="16" xr3:uid="{1BD1E017-6EC0-4C09-999E-8F2B448B74EF}" name="BMI" dataDxfId="38">
      <calculatedColumnFormula>(B2/4900)*703</calculatedColumnFormula>
    </tableColumn>
    <tableColumn id="17" xr3:uid="{8DDEB880-1E96-47C9-BBDE-29116EBFD997}" name="CBF" dataDxfId="37">
      <calculatedColumnFormula>(86.01*LOG10(C2-D2))-(70.041*LOG10(70))+36.76</calculatedColumnFormula>
    </tableColumn>
    <tableColumn id="15" xr3:uid="{A4FF3AFF-46FA-4A7D-8827-6B5990EB5F9A}" name="Gym" dataDxfId="36"/>
    <tableColumn id="18" xr3:uid="{147D4AE8-3ED9-4D4B-B51F-0CB23BB2E34B}" name="Cardio" dataDxfId="3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C6C2959-BEF1-4403-BFE2-4DA9C54B9538}" name="Table16" displayName="Table16" ref="A1:B137" totalsRowShown="0" headerRowDxfId="34" dataDxfId="33">
  <autoFilter ref="A1:B137" xr:uid="{AC6C2959-BEF1-4403-BFE2-4DA9C54B9538}"/>
  <tableColumns count="2">
    <tableColumn id="1" xr3:uid="{ED391918-7244-41E3-B454-3B8EEEFAD09B}" name="Measure Name" dataDxfId="32"/>
    <tableColumn id="2" xr3:uid="{30F82417-F9DE-432C-89EC-49182ABFC303}" name="Measurement" dataDxfId="3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B25902F-F256-4FA3-8739-57E4FF0C4475}" name="Table15" displayName="Table15" ref="A1:O120" totalsRowShown="0" headerRowDxfId="30" dataDxfId="29">
  <autoFilter ref="A1:O120" xr:uid="{FB25902F-F256-4FA3-8739-57E4FF0C4475}"/>
  <tableColumns count="15">
    <tableColumn id="1" xr3:uid="{092A02B6-F2F6-4D24-A853-BB44465C10A8}" name="Date" dataDxfId="28">
      <calculatedColumnFormula>_xlfn.CONCAT(TEXT(Log!A3, "MM/DD/YY")," - ",TEXT(Log!A2, "MM/DD/YY"))</calculatedColumnFormula>
    </tableColumn>
    <tableColumn id="2" xr3:uid="{261A4DEA-8268-4D19-B19A-F6B52BC79C3A}" name="Weight (Pounds)" dataDxfId="27">
      <calculatedColumnFormula>Log!B3-Log[[#This Row],[Weight (Pounds)]]</calculatedColumnFormula>
    </tableColumn>
    <tableColumn id="3" xr3:uid="{73E8FC34-DF59-4B28-9A14-33CEDA9010AB}" name="Waist (Inches)" dataDxfId="26">
      <calculatedColumnFormula>Log!C3-Log[[#This Row],[Waist (Inches)]]</calculatedColumnFormula>
    </tableColumn>
    <tableColumn id="4" xr3:uid="{8C24D972-691B-4F04-81BE-B0E44C9F31EA}" name="Neck (Inches)" dataDxfId="25">
      <calculatedColumnFormula>Log!D3-Log[[#This Row],[Neck (Inches)]]</calculatedColumnFormula>
    </tableColumn>
    <tableColumn id="5" xr3:uid="{0857F5C3-A94C-41A2-80F8-5D66FA3F6CBA}" name="Morning Body Temp" dataDxfId="24">
      <calculatedColumnFormula>Log!E3-Log[[#This Row],[Morning Body Temp]]</calculatedColumnFormula>
    </tableColumn>
    <tableColumn id="6" xr3:uid="{8B963C46-E473-4A5B-A66A-8C8BAE1F87AD}" name="Morning Systolic Pressure" dataDxfId="23">
      <calculatedColumnFormula>Log!F3-Log[[#This Row],[Morning Systolic Pressure]]</calculatedColumnFormula>
    </tableColumn>
    <tableColumn id="14" xr3:uid="{C2B0A641-519F-4869-9DDB-6B8F10CE607A}" name="Morning Diastolic Pressure" dataDxfId="22">
      <calculatedColumnFormula>Log!G3-Log[[#This Row],[Morning Diastolic Pressure]]</calculatedColumnFormula>
    </tableColumn>
    <tableColumn id="7" xr3:uid="{7B200732-91D3-4461-BE25-4C89B195CBF9}" name="Morning Pulse" dataDxfId="21">
      <calculatedColumnFormula>Log!H3-Log[[#This Row],[Morning Pulse]]</calculatedColumnFormula>
    </tableColumn>
    <tableColumn id="8" xr3:uid="{C4A0F21C-BA1C-4326-89EC-DA1AC9C7C5B1}" name="Night Body Temp" dataDxfId="20">
      <calculatedColumnFormula>Log!I3-Log[[#This Row],[Night Body Temp]]</calculatedColumnFormula>
    </tableColumn>
    <tableColumn id="9" xr3:uid="{55F19023-4EDD-42C4-ACF0-2360397C60DA}" name="Night Systolic Pressure" dataDxfId="19">
      <calculatedColumnFormula>Log!J3-Log[[#This Row],[Night Systolic Pressure]]</calculatedColumnFormula>
    </tableColumn>
    <tableColumn id="16" xr3:uid="{F98B78B6-35C2-4B1C-ACD0-55871E54D2ED}" name="Night Diastolic Pressure" dataDxfId="18">
      <calculatedColumnFormula>Log!K3-Log[[#This Row],[Night Diastolic Pressure]]</calculatedColumnFormula>
    </tableColumn>
    <tableColumn id="10" xr3:uid="{CA57F0C9-8A1F-4529-8718-AF21EFFF1414}" name="Night Pulse" dataDxfId="17">
      <calculatedColumnFormula>Log!L3-Log[[#This Row],[Night Pulse]]</calculatedColumnFormula>
    </tableColumn>
    <tableColumn id="11" xr3:uid="{BC2F4738-6880-4A6E-8CD5-DED7E3AEF297}" name="Sleep" dataDxfId="16">
      <calculatedColumnFormula>Log!M3-Log[[#This Row],[Sleep]]</calculatedColumnFormula>
    </tableColumn>
    <tableColumn id="12" xr3:uid="{A81CE84C-F2CE-4D2C-901F-E92649F18A54}" name="BMI" dataDxfId="15">
      <calculatedColumnFormula>Log!N3-Log[[#This Row],[BMI]]</calculatedColumnFormula>
    </tableColumn>
    <tableColumn id="13" xr3:uid="{39D91283-D0AA-424D-8FA3-CDEE4C9B090D}" name="Navy CBF" dataDxfId="14">
      <calculatedColumnFormula>Log!O3-Log[[#This Row],[CBF]]</calculatedColumnFormula>
    </tableColumn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34E166A-C9D7-417E-9F84-C35597B3C628}" name="Intake" displayName="Intake" ref="A1:L160" totalsRowShown="0" headerRowDxfId="13" dataDxfId="12">
  <autoFilter ref="A1:L160" xr:uid="{BCF21BCA-2871-458B-8B78-65A3D68B2D48}"/>
  <tableColumns count="12">
    <tableColumn id="1" xr3:uid="{2722F28C-7851-47EC-A8C5-6268F4DCF513}" name="Day" dataDxfId="11"/>
    <tableColumn id="2" xr3:uid="{55305F11-64FF-40FE-920D-588F292243B7}" name="Calories" dataDxfId="10"/>
    <tableColumn id="3" xr3:uid="{9C0E6872-04A5-4623-8275-9FE382E83CD5}" name="Carbs" dataDxfId="9"/>
    <tableColumn id="4" xr3:uid="{EF009D76-78EE-4E68-A8E4-07221B2521D7}" name="Fat " dataDxfId="8"/>
    <tableColumn id="5" xr3:uid="{657C1C42-17D6-4A08-BA06-4F910479BFF5}" name="Protein" dataDxfId="7"/>
    <tableColumn id="6" xr3:uid="{CD9B4C07-5532-4A87-8069-9D87DF262914}" name="Fiber" dataDxfId="6"/>
    <tableColumn id="7" xr3:uid="{C4C2D851-647B-4D63-9320-4EB477F7CF09}" name="Sugar" dataDxfId="5"/>
    <tableColumn id="8" xr3:uid="{468EEDFD-538A-4503-A7DB-2428858FE9C8}" name="Servings" dataDxfId="4"/>
    <tableColumn id="9" xr3:uid="{513D6324-A900-419A-AA7E-7BB15CA32EAA}" name="Daily Water Intake (liters)" dataDxfId="3"/>
    <tableColumn id="19" xr3:uid="{4E7C3120-DAE3-4C34-AE8A-1BDAC1492D43}" name="Fat Removed" dataDxfId="2"/>
    <tableColumn id="20" xr3:uid="{175769A1-9355-4A75-A579-970A4BDC734F}" name="Calorie Prediction" dataDxfId="1"/>
    <tableColumn id="21" xr3:uid="{8F56D835-4C61-4177-B73D-DED4BE4713E1}" name="Fat Calori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BE50-AF26-4D05-8A12-FCA42B80C69D}">
  <sheetPr codeName="Sheet3"/>
  <dimension ref="A1:T121"/>
  <sheetViews>
    <sheetView tabSelected="1" topLeftCell="A85" workbookViewId="0">
      <selection activeCell="B96" sqref="B96"/>
    </sheetView>
  </sheetViews>
  <sheetFormatPr defaultColWidth="29" defaultRowHeight="15.75" x14ac:dyDescent="0.25"/>
  <cols>
    <col min="1" max="1" width="29" style="3"/>
    <col min="2" max="2" width="20.85546875" style="3" customWidth="1"/>
    <col min="3" max="3" width="18.42578125" style="3" customWidth="1"/>
    <col min="4" max="4" width="18" style="3" customWidth="1"/>
    <col min="5" max="5" width="25.140625" style="3" customWidth="1"/>
    <col min="6" max="6" width="30.42578125" style="3" customWidth="1"/>
    <col min="7" max="7" width="32" style="3" customWidth="1"/>
    <col min="8" max="8" width="18.140625" style="3" customWidth="1"/>
    <col min="9" max="9" width="21.28515625" style="3" customWidth="1"/>
    <col min="10" max="10" width="24.85546875" style="3" customWidth="1"/>
    <col min="11" max="11" width="28.7109375" style="3" customWidth="1"/>
    <col min="12" max="12" width="15.28515625" style="3" customWidth="1"/>
    <col min="13" max="13" width="19.28515625" style="3" customWidth="1"/>
    <col min="14" max="14" width="10.7109375" style="11" customWidth="1"/>
    <col min="15" max="15" width="12.7109375" style="11" customWidth="1"/>
    <col min="16" max="17" width="9.7109375" style="3" customWidth="1"/>
    <col min="18" max="18" width="19.28515625" style="3" customWidth="1"/>
    <col min="19" max="19" width="29" style="3"/>
    <col min="20" max="20" width="15.42578125" style="3" customWidth="1"/>
    <col min="21" max="16384" width="29" style="3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30</v>
      </c>
      <c r="E1" s="3" t="s">
        <v>21</v>
      </c>
      <c r="F1" s="3" t="s">
        <v>130</v>
      </c>
      <c r="G1" s="3" t="s">
        <v>131</v>
      </c>
      <c r="H1" s="3" t="s">
        <v>23</v>
      </c>
      <c r="I1" s="3" t="s">
        <v>22</v>
      </c>
      <c r="J1" s="3" t="s">
        <v>132</v>
      </c>
      <c r="K1" s="3" t="s">
        <v>133</v>
      </c>
      <c r="L1" s="3" t="s">
        <v>24</v>
      </c>
      <c r="M1" s="3" t="s">
        <v>59</v>
      </c>
      <c r="N1" s="3" t="s">
        <v>108</v>
      </c>
      <c r="O1" s="3" t="s">
        <v>114</v>
      </c>
      <c r="P1" s="3" t="s">
        <v>175</v>
      </c>
      <c r="Q1" s="3" t="s">
        <v>177</v>
      </c>
      <c r="S1" s="3" t="s">
        <v>31</v>
      </c>
    </row>
    <row r="2" spans="1:20" x14ac:dyDescent="0.25">
      <c r="A2" s="4">
        <v>45317</v>
      </c>
      <c r="B2" s="12">
        <v>275.60000000000002</v>
      </c>
      <c r="C2" s="12">
        <v>47.5</v>
      </c>
      <c r="D2" s="3">
        <v>17</v>
      </c>
      <c r="E2" s="12">
        <v>95.7</v>
      </c>
      <c r="F2" s="3">
        <v>113</v>
      </c>
      <c r="G2" s="3">
        <v>73</v>
      </c>
      <c r="H2" s="3">
        <v>74</v>
      </c>
      <c r="I2" s="12">
        <v>97.4</v>
      </c>
      <c r="J2" s="3">
        <v>128</v>
      </c>
      <c r="K2" s="3">
        <v>79</v>
      </c>
      <c r="L2" s="3">
        <v>73</v>
      </c>
      <c r="M2" s="12">
        <v>11.5</v>
      </c>
      <c r="N2" s="11">
        <f>(B2/4900)*703</f>
        <v>39.540163265306127</v>
      </c>
      <c r="O2" s="11">
        <f t="shared" ref="O2:O39" si="0">(86.01*LOG10(C2-D2))-(70.041*LOG10(70))+36.76</f>
        <v>35.192117361578489</v>
      </c>
      <c r="P2" s="3" t="s">
        <v>176</v>
      </c>
      <c r="Q2" s="3" t="s">
        <v>176</v>
      </c>
      <c r="S2" s="3" t="s">
        <v>19</v>
      </c>
      <c r="T2" s="3" cm="1">
        <f t="array" aca="1" ref="T2" ca="1">INDIRECT(Measurements!$E16)-Log!B$2</f>
        <v>-20.000000000000028</v>
      </c>
    </row>
    <row r="3" spans="1:20" x14ac:dyDescent="0.25">
      <c r="A3" s="4">
        <v>45318</v>
      </c>
      <c r="B3" s="12">
        <v>271.8</v>
      </c>
      <c r="C3" s="12">
        <v>47</v>
      </c>
      <c r="D3" s="3">
        <v>17</v>
      </c>
      <c r="E3" s="12">
        <v>96.2</v>
      </c>
      <c r="F3" s="3">
        <v>114</v>
      </c>
      <c r="G3" s="3">
        <v>75</v>
      </c>
      <c r="H3" s="3">
        <v>67</v>
      </c>
      <c r="I3" s="12">
        <v>97.8</v>
      </c>
      <c r="J3" s="3">
        <v>108</v>
      </c>
      <c r="K3" s="3">
        <v>75</v>
      </c>
      <c r="L3" s="3">
        <v>82</v>
      </c>
      <c r="M3" s="12">
        <v>5.5</v>
      </c>
      <c r="N3" s="11">
        <f t="shared" ref="N3:N39" si="1">(B3/4900)*703</f>
        <v>38.994979591836739</v>
      </c>
      <c r="O3" s="11">
        <f t="shared" si="0"/>
        <v>34.574687297799606</v>
      </c>
      <c r="P3" s="3" t="s">
        <v>176</v>
      </c>
      <c r="Q3" s="3" t="s">
        <v>178</v>
      </c>
      <c r="S3" s="3" t="s">
        <v>20</v>
      </c>
      <c r="T3" s="3" cm="1">
        <f t="array" aca="1" ref="T3" ca="1">INDIRECT(Measurements!$E17)-Log!C$2</f>
        <v>-3</v>
      </c>
    </row>
    <row r="4" spans="1:20" x14ac:dyDescent="0.25">
      <c r="A4" s="4">
        <v>45319</v>
      </c>
      <c r="B4" s="12">
        <v>271.8</v>
      </c>
      <c r="C4" s="12">
        <v>47</v>
      </c>
      <c r="D4" s="3">
        <v>17</v>
      </c>
      <c r="E4" s="12">
        <v>96.7</v>
      </c>
      <c r="F4" s="3">
        <v>136</v>
      </c>
      <c r="G4" s="3">
        <v>76</v>
      </c>
      <c r="H4" s="3">
        <v>71</v>
      </c>
      <c r="I4" s="12">
        <v>96.1</v>
      </c>
      <c r="J4" s="3">
        <v>112</v>
      </c>
      <c r="K4" s="3">
        <v>63</v>
      </c>
      <c r="L4" s="3">
        <v>70</v>
      </c>
      <c r="M4" s="12">
        <v>8</v>
      </c>
      <c r="N4" s="11">
        <f t="shared" si="1"/>
        <v>38.994979591836739</v>
      </c>
      <c r="O4" s="11">
        <f t="shared" si="0"/>
        <v>34.574687297799606</v>
      </c>
      <c r="P4" s="3" t="s">
        <v>178</v>
      </c>
      <c r="Q4" s="3" t="s">
        <v>178</v>
      </c>
      <c r="S4" s="3" t="s">
        <v>29</v>
      </c>
      <c r="T4" s="3" cm="1">
        <f t="array" aca="1" ref="T4" ca="1">INDIRECT(Measurements!$E18)-Log!D$2</f>
        <v>-0.5</v>
      </c>
    </row>
    <row r="5" spans="1:20" x14ac:dyDescent="0.25">
      <c r="A5" s="4">
        <v>45320</v>
      </c>
      <c r="B5" s="12">
        <v>272.8</v>
      </c>
      <c r="C5" s="12">
        <v>47</v>
      </c>
      <c r="D5" s="3">
        <v>17</v>
      </c>
      <c r="E5" s="12">
        <v>97.5</v>
      </c>
      <c r="F5" s="3">
        <v>131</v>
      </c>
      <c r="G5" s="3">
        <v>85</v>
      </c>
      <c r="H5" s="3">
        <v>76</v>
      </c>
      <c r="I5" s="12">
        <v>97.1</v>
      </c>
      <c r="J5" s="3">
        <v>158</v>
      </c>
      <c r="K5" s="3">
        <v>88</v>
      </c>
      <c r="L5" s="3">
        <v>86</v>
      </c>
      <c r="M5" s="12">
        <v>8</v>
      </c>
      <c r="N5" s="11">
        <f t="shared" si="1"/>
        <v>39.138448979591836</v>
      </c>
      <c r="O5" s="11">
        <f t="shared" si="0"/>
        <v>34.574687297799606</v>
      </c>
      <c r="P5" s="3" t="s">
        <v>176</v>
      </c>
      <c r="Q5" s="3" t="s">
        <v>178</v>
      </c>
      <c r="S5" s="3" t="s">
        <v>21</v>
      </c>
      <c r="T5" s="3" cm="1">
        <f t="array" aca="1" ref="T5" ca="1">INDIRECT(Measurements!$E19)-Log!E$2</f>
        <v>0.70000000000000284</v>
      </c>
    </row>
    <row r="6" spans="1:20" x14ac:dyDescent="0.25">
      <c r="A6" s="4">
        <v>45321</v>
      </c>
      <c r="B6" s="12">
        <v>269.60000000000002</v>
      </c>
      <c r="C6" s="12">
        <v>46.5</v>
      </c>
      <c r="D6" s="3">
        <v>17</v>
      </c>
      <c r="E6" s="12">
        <v>97.7</v>
      </c>
      <c r="F6" s="3">
        <v>123</v>
      </c>
      <c r="G6" s="3">
        <v>79</v>
      </c>
      <c r="H6" s="3">
        <v>84</v>
      </c>
      <c r="I6" s="12">
        <v>98.6</v>
      </c>
      <c r="J6" s="3">
        <v>120</v>
      </c>
      <c r="K6" s="3">
        <v>71</v>
      </c>
      <c r="L6" s="3">
        <v>81</v>
      </c>
      <c r="M6" s="12">
        <v>10</v>
      </c>
      <c r="N6" s="11">
        <f t="shared" si="1"/>
        <v>38.679346938775517</v>
      </c>
      <c r="O6" s="11">
        <f t="shared" si="0"/>
        <v>33.946879773643239</v>
      </c>
      <c r="P6" s="3" t="s">
        <v>176</v>
      </c>
      <c r="Q6" s="3" t="s">
        <v>176</v>
      </c>
      <c r="S6" s="3" t="s">
        <v>130</v>
      </c>
      <c r="T6" s="3" cm="1">
        <f t="array" aca="1" ref="T6" ca="1">INDIRECT(Measurements!$E20)-Log!F$2</f>
        <v>19</v>
      </c>
    </row>
    <row r="7" spans="1:20" x14ac:dyDescent="0.25">
      <c r="A7" s="4">
        <v>45322</v>
      </c>
      <c r="B7" s="12">
        <v>268.60000000000002</v>
      </c>
      <c r="C7" s="12">
        <v>47</v>
      </c>
      <c r="D7" s="3">
        <v>17</v>
      </c>
      <c r="E7" s="12">
        <v>96.1</v>
      </c>
      <c r="F7" s="3">
        <v>132</v>
      </c>
      <c r="G7" s="3">
        <v>75</v>
      </c>
      <c r="H7" s="3">
        <v>62</v>
      </c>
      <c r="I7" s="12">
        <v>96.5</v>
      </c>
      <c r="J7" s="3">
        <v>156</v>
      </c>
      <c r="K7" s="3">
        <v>83</v>
      </c>
      <c r="L7" s="3">
        <v>73</v>
      </c>
      <c r="M7" s="12">
        <v>9</v>
      </c>
      <c r="N7" s="11">
        <f t="shared" si="1"/>
        <v>38.535877551020413</v>
      </c>
      <c r="O7" s="11">
        <f t="shared" si="0"/>
        <v>34.574687297799606</v>
      </c>
      <c r="P7" s="3" t="s">
        <v>176</v>
      </c>
      <c r="Q7" s="3" t="s">
        <v>178</v>
      </c>
      <c r="S7" s="3" t="s">
        <v>131</v>
      </c>
      <c r="T7" s="3" cm="1">
        <f t="array" aca="1" ref="T7" ca="1">INDIRECT(Measurements!$E21)-Log!G$2</f>
        <v>8</v>
      </c>
    </row>
    <row r="8" spans="1:20" x14ac:dyDescent="0.25">
      <c r="A8" s="4">
        <v>45323</v>
      </c>
      <c r="B8" s="12">
        <v>268.8</v>
      </c>
      <c r="C8" s="12">
        <v>46.5</v>
      </c>
      <c r="D8" s="3">
        <v>17</v>
      </c>
      <c r="E8" s="12">
        <v>96.4</v>
      </c>
      <c r="F8" s="3">
        <v>132</v>
      </c>
      <c r="G8" s="3">
        <v>70</v>
      </c>
      <c r="H8" s="3">
        <v>71</v>
      </c>
      <c r="I8" s="12">
        <v>97.3</v>
      </c>
      <c r="J8" s="3">
        <v>113</v>
      </c>
      <c r="K8" s="3">
        <v>75</v>
      </c>
      <c r="L8" s="3">
        <v>89</v>
      </c>
      <c r="M8" s="12">
        <v>10</v>
      </c>
      <c r="N8" s="11">
        <f t="shared" si="1"/>
        <v>38.564571428571433</v>
      </c>
      <c r="O8" s="11">
        <f t="shared" si="0"/>
        <v>33.946879773643239</v>
      </c>
      <c r="P8" s="3" t="s">
        <v>176</v>
      </c>
      <c r="Q8" s="3" t="s">
        <v>176</v>
      </c>
      <c r="S8" s="3" t="s">
        <v>23</v>
      </c>
      <c r="T8" s="3" cm="1">
        <f t="array" aca="1" ref="T8" ca="1">INDIRECT(Measurements!$E22)-Log!H$2</f>
        <v>-12</v>
      </c>
    </row>
    <row r="9" spans="1:20" x14ac:dyDescent="0.25">
      <c r="A9" s="4">
        <v>45324</v>
      </c>
      <c r="B9" s="12">
        <v>268.8</v>
      </c>
      <c r="C9" s="12">
        <v>46.5</v>
      </c>
      <c r="D9" s="3">
        <v>17</v>
      </c>
      <c r="E9" s="12">
        <v>96.4</v>
      </c>
      <c r="F9" s="3">
        <v>132</v>
      </c>
      <c r="G9" s="3">
        <v>70</v>
      </c>
      <c r="H9" s="3">
        <v>71</v>
      </c>
      <c r="I9" s="12">
        <v>97.3</v>
      </c>
      <c r="J9" s="3">
        <v>113</v>
      </c>
      <c r="K9" s="3">
        <v>75</v>
      </c>
      <c r="L9" s="3">
        <v>89</v>
      </c>
      <c r="M9" s="12">
        <v>0</v>
      </c>
      <c r="N9" s="11">
        <f t="shared" si="1"/>
        <v>38.564571428571433</v>
      </c>
      <c r="O9" s="11">
        <f t="shared" si="0"/>
        <v>33.946879773643239</v>
      </c>
      <c r="P9" s="3" t="s">
        <v>178</v>
      </c>
      <c r="Q9" s="3" t="s">
        <v>178</v>
      </c>
      <c r="S9" s="3" t="s">
        <v>22</v>
      </c>
      <c r="T9" s="3" cm="1">
        <f t="array" aca="1" ref="T9" ca="1">INDIRECT(Measurements!$E23)-Log!I$2</f>
        <v>-0.5</v>
      </c>
    </row>
    <row r="10" spans="1:20" x14ac:dyDescent="0.25">
      <c r="A10" s="4">
        <v>45325</v>
      </c>
      <c r="B10" s="12">
        <v>269.39999999999998</v>
      </c>
      <c r="C10" s="12">
        <v>47</v>
      </c>
      <c r="D10" s="3">
        <v>17</v>
      </c>
      <c r="E10" s="12">
        <v>97.7</v>
      </c>
      <c r="F10" s="3">
        <v>120</v>
      </c>
      <c r="G10" s="3">
        <v>77</v>
      </c>
      <c r="H10" s="3">
        <v>76</v>
      </c>
      <c r="I10" s="12">
        <v>96.5</v>
      </c>
      <c r="J10" s="3">
        <v>124</v>
      </c>
      <c r="K10" s="3">
        <v>75</v>
      </c>
      <c r="L10" s="3">
        <v>66</v>
      </c>
      <c r="M10" s="12">
        <v>16.5</v>
      </c>
      <c r="N10" s="11">
        <f t="shared" si="1"/>
        <v>38.650653061224489</v>
      </c>
      <c r="O10" s="11">
        <f t="shared" si="0"/>
        <v>34.574687297799606</v>
      </c>
      <c r="P10" s="3" t="s">
        <v>176</v>
      </c>
      <c r="Q10" s="3" t="s">
        <v>178</v>
      </c>
      <c r="S10" s="3" t="s">
        <v>132</v>
      </c>
      <c r="T10" s="3" cm="1">
        <f t="array" aca="1" ref="T10" ca="1">INDIRECT(Measurements!$E24)-Log!J$2</f>
        <v>20</v>
      </c>
    </row>
    <row r="11" spans="1:20" x14ac:dyDescent="0.25">
      <c r="A11" s="4">
        <v>45326</v>
      </c>
      <c r="B11" s="12">
        <v>272.60000000000002</v>
      </c>
      <c r="C11" s="12">
        <v>47</v>
      </c>
      <c r="D11" s="3">
        <v>17</v>
      </c>
      <c r="E11" s="12">
        <v>96.7</v>
      </c>
      <c r="F11" s="3">
        <v>119</v>
      </c>
      <c r="G11" s="3">
        <v>75</v>
      </c>
      <c r="H11" s="3">
        <v>71</v>
      </c>
      <c r="I11" s="12">
        <v>96.4</v>
      </c>
      <c r="J11" s="3">
        <v>116</v>
      </c>
      <c r="K11" s="3">
        <v>74</v>
      </c>
      <c r="L11" s="3">
        <v>68</v>
      </c>
      <c r="M11" s="12">
        <v>10</v>
      </c>
      <c r="N11" s="11">
        <f t="shared" si="1"/>
        <v>39.109755102040822</v>
      </c>
      <c r="O11" s="11">
        <f t="shared" si="0"/>
        <v>34.574687297799606</v>
      </c>
      <c r="P11" s="3" t="s">
        <v>176</v>
      </c>
      <c r="Q11" s="3" t="s">
        <v>178</v>
      </c>
      <c r="S11" s="3" t="s">
        <v>133</v>
      </c>
      <c r="T11" s="3" cm="1">
        <f t="array" aca="1" ref="T11" ca="1">INDIRECT(Measurements!$E25)-Log!K$2</f>
        <v>2</v>
      </c>
    </row>
    <row r="12" spans="1:20" x14ac:dyDescent="0.25">
      <c r="A12" s="4">
        <v>45327</v>
      </c>
      <c r="B12" s="12">
        <v>270.8</v>
      </c>
      <c r="C12" s="12">
        <v>46.5</v>
      </c>
      <c r="D12" s="3">
        <v>17</v>
      </c>
      <c r="E12" s="12">
        <v>97</v>
      </c>
      <c r="F12" s="3">
        <v>136</v>
      </c>
      <c r="G12" s="3">
        <v>68</v>
      </c>
      <c r="H12" s="3">
        <v>67</v>
      </c>
      <c r="I12" s="12">
        <v>96.7</v>
      </c>
      <c r="J12" s="3">
        <v>127</v>
      </c>
      <c r="K12" s="3">
        <v>73</v>
      </c>
      <c r="L12" s="3">
        <v>65</v>
      </c>
      <c r="M12" s="12">
        <v>8.5</v>
      </c>
      <c r="N12" s="11">
        <f t="shared" si="1"/>
        <v>38.851510204081634</v>
      </c>
      <c r="O12" s="11">
        <f t="shared" si="0"/>
        <v>33.946879773643239</v>
      </c>
      <c r="P12" s="3" t="s">
        <v>176</v>
      </c>
      <c r="Q12" s="3" t="s">
        <v>178</v>
      </c>
      <c r="S12" s="3" t="s">
        <v>24</v>
      </c>
      <c r="T12" s="3" cm="1">
        <f t="array" aca="1" ref="T12" ca="1">INDIRECT(Measurements!$E26)-Log!L$2</f>
        <v>9</v>
      </c>
    </row>
    <row r="13" spans="1:20" x14ac:dyDescent="0.25">
      <c r="A13" s="4">
        <v>45328</v>
      </c>
      <c r="B13" s="12">
        <v>268.39999999999998</v>
      </c>
      <c r="C13" s="12">
        <v>46</v>
      </c>
      <c r="D13" s="3">
        <v>17</v>
      </c>
      <c r="E13" s="12">
        <v>96.2</v>
      </c>
      <c r="F13" s="3">
        <v>128</v>
      </c>
      <c r="G13" s="3">
        <v>74</v>
      </c>
      <c r="H13" s="3">
        <v>60</v>
      </c>
      <c r="I13" s="12">
        <v>97.5</v>
      </c>
      <c r="J13" s="3">
        <v>108</v>
      </c>
      <c r="K13" s="3">
        <v>68</v>
      </c>
      <c r="L13" s="3">
        <v>74</v>
      </c>
      <c r="M13" s="12">
        <v>9</v>
      </c>
      <c r="N13" s="11">
        <f t="shared" si="1"/>
        <v>38.507183673469385</v>
      </c>
      <c r="O13" s="11">
        <f t="shared" si="0"/>
        <v>33.308339978650658</v>
      </c>
      <c r="P13" s="3" t="s">
        <v>176</v>
      </c>
      <c r="Q13" s="3" t="s">
        <v>176</v>
      </c>
      <c r="S13" s="3" t="s">
        <v>59</v>
      </c>
      <c r="T13" s="3" cm="1">
        <f t="array" aca="1" ref="T13" ca="1">INDIRECT(Measurements!$E27)-Log!M$2</f>
        <v>-4.5</v>
      </c>
    </row>
    <row r="14" spans="1:20" x14ac:dyDescent="0.25">
      <c r="A14" s="4">
        <v>45329</v>
      </c>
      <c r="B14" s="12">
        <v>266.60000000000002</v>
      </c>
      <c r="C14" s="12">
        <v>46.5</v>
      </c>
      <c r="D14" s="3">
        <v>17</v>
      </c>
      <c r="E14" s="12">
        <v>96.6</v>
      </c>
      <c r="F14" s="3">
        <v>127</v>
      </c>
      <c r="G14" s="3">
        <v>75</v>
      </c>
      <c r="H14" s="3">
        <v>67</v>
      </c>
      <c r="I14" s="12">
        <v>97.3</v>
      </c>
      <c r="J14" s="3">
        <v>144</v>
      </c>
      <c r="K14" s="3">
        <v>72</v>
      </c>
      <c r="L14" s="3">
        <v>78</v>
      </c>
      <c r="M14" s="12">
        <v>8</v>
      </c>
      <c r="N14" s="11">
        <f t="shared" si="1"/>
        <v>38.248938775510204</v>
      </c>
      <c r="O14" s="11">
        <f t="shared" si="0"/>
        <v>33.946879773643239</v>
      </c>
      <c r="P14" s="3" t="s">
        <v>176</v>
      </c>
      <c r="Q14" s="3" t="s">
        <v>176</v>
      </c>
      <c r="S14" s="3" t="s">
        <v>108</v>
      </c>
      <c r="T14" s="3" cm="1">
        <f t="array" aca="1" ref="T14" ca="1">INDIRECT(Measurements!$E28)-Log!N$2</f>
        <v>-2.8693877551020464</v>
      </c>
    </row>
    <row r="15" spans="1:20" x14ac:dyDescent="0.25">
      <c r="A15" s="4">
        <v>45330</v>
      </c>
      <c r="B15" s="12">
        <v>269.60000000000002</v>
      </c>
      <c r="C15" s="12">
        <v>46</v>
      </c>
      <c r="D15" s="3">
        <v>17</v>
      </c>
      <c r="E15" s="12">
        <v>96.3</v>
      </c>
      <c r="F15" s="3">
        <v>115</v>
      </c>
      <c r="G15" s="3">
        <v>78</v>
      </c>
      <c r="H15" s="3">
        <v>62</v>
      </c>
      <c r="I15" s="12">
        <v>97.2</v>
      </c>
      <c r="J15" s="3">
        <v>104</v>
      </c>
      <c r="K15" s="3">
        <v>58</v>
      </c>
      <c r="L15" s="3">
        <v>60</v>
      </c>
      <c r="M15" s="12">
        <v>9</v>
      </c>
      <c r="N15" s="11">
        <f t="shared" si="1"/>
        <v>38.679346938775517</v>
      </c>
      <c r="O15" s="11">
        <f t="shared" si="0"/>
        <v>33.308339978650658</v>
      </c>
      <c r="P15" s="3" t="s">
        <v>176</v>
      </c>
      <c r="Q15" s="3" t="s">
        <v>176</v>
      </c>
      <c r="S15" s="3" t="s">
        <v>114</v>
      </c>
      <c r="T15" s="3" cm="1">
        <f t="array" aca="1" ref="T15" ca="1">INDIRECT(Measurements!$E29)-Log!O$2</f>
        <v>-3.1945669064727724</v>
      </c>
    </row>
    <row r="16" spans="1:20" x14ac:dyDescent="0.25">
      <c r="A16" s="4">
        <v>45331</v>
      </c>
      <c r="B16" s="12">
        <v>267.60000000000002</v>
      </c>
      <c r="C16" s="12">
        <v>46</v>
      </c>
      <c r="D16" s="3">
        <v>17</v>
      </c>
      <c r="E16" s="12">
        <v>96.4</v>
      </c>
      <c r="F16" s="3">
        <v>127</v>
      </c>
      <c r="G16" s="3">
        <v>78</v>
      </c>
      <c r="H16" s="3">
        <v>66</v>
      </c>
      <c r="I16" s="12">
        <v>96.9</v>
      </c>
      <c r="J16" s="3">
        <v>125</v>
      </c>
      <c r="K16" s="3">
        <v>68</v>
      </c>
      <c r="L16" s="3">
        <v>66</v>
      </c>
      <c r="M16" s="12">
        <v>9</v>
      </c>
      <c r="N16" s="11">
        <f t="shared" si="1"/>
        <v>38.392408163265308</v>
      </c>
      <c r="O16" s="11">
        <f t="shared" si="0"/>
        <v>33.308339978650658</v>
      </c>
      <c r="P16" s="3" t="s">
        <v>178</v>
      </c>
      <c r="Q16" s="3" t="s">
        <v>178</v>
      </c>
    </row>
    <row r="17" spans="1:20" x14ac:dyDescent="0.25">
      <c r="A17" s="4">
        <v>45332</v>
      </c>
      <c r="B17" s="12">
        <v>267.60000000000002</v>
      </c>
      <c r="C17" s="12">
        <v>46</v>
      </c>
      <c r="D17" s="3">
        <v>17</v>
      </c>
      <c r="E17" s="12">
        <v>95.5</v>
      </c>
      <c r="F17" s="3">
        <v>131</v>
      </c>
      <c r="G17" s="3">
        <v>77</v>
      </c>
      <c r="H17" s="3">
        <v>60</v>
      </c>
      <c r="I17" s="12">
        <v>97.7</v>
      </c>
      <c r="J17" s="3">
        <v>107</v>
      </c>
      <c r="K17" s="3">
        <v>69</v>
      </c>
      <c r="L17" s="3">
        <v>71</v>
      </c>
      <c r="M17" s="12">
        <v>7.5</v>
      </c>
      <c r="N17" s="11">
        <f t="shared" si="1"/>
        <v>38.392408163265308</v>
      </c>
      <c r="O17" s="11">
        <f t="shared" si="0"/>
        <v>33.308339978650658</v>
      </c>
      <c r="P17" s="3" t="s">
        <v>176</v>
      </c>
      <c r="Q17" s="3" t="s">
        <v>176</v>
      </c>
      <c r="S17" s="3" t="s">
        <v>115</v>
      </c>
    </row>
    <row r="18" spans="1:20" x14ac:dyDescent="0.25">
      <c r="A18" s="4">
        <v>45333</v>
      </c>
      <c r="B18" s="12">
        <v>264.8</v>
      </c>
      <c r="C18" s="12">
        <v>46</v>
      </c>
      <c r="D18" s="3">
        <v>17</v>
      </c>
      <c r="E18" s="12">
        <v>96.7</v>
      </c>
      <c r="F18" s="3">
        <v>134</v>
      </c>
      <c r="G18" s="3">
        <v>75</v>
      </c>
      <c r="H18" s="3">
        <v>57</v>
      </c>
      <c r="I18" s="12">
        <v>97</v>
      </c>
      <c r="J18" s="3">
        <v>126</v>
      </c>
      <c r="K18" s="3">
        <v>70</v>
      </c>
      <c r="L18" s="3">
        <v>58</v>
      </c>
      <c r="M18" s="12">
        <v>11</v>
      </c>
      <c r="N18" s="11">
        <f t="shared" si="1"/>
        <v>37.990693877551024</v>
      </c>
      <c r="O18" s="11">
        <f t="shared" si="0"/>
        <v>33.308339978650658</v>
      </c>
      <c r="P18" s="3" t="s">
        <v>176</v>
      </c>
      <c r="Q18" s="3" t="s">
        <v>176</v>
      </c>
      <c r="S18" s="3" t="s">
        <v>19</v>
      </c>
      <c r="T18" s="3">
        <f ca="1">MEDIAN(Log!B$2:INDIRECT(Measurements!$E16))</f>
        <v>255.6</v>
      </c>
    </row>
    <row r="19" spans="1:20" x14ac:dyDescent="0.25">
      <c r="A19" s="4">
        <v>45334</v>
      </c>
      <c r="B19" s="12">
        <v>264.60000000000002</v>
      </c>
      <c r="C19" s="12">
        <v>46</v>
      </c>
      <c r="D19" s="3">
        <v>17</v>
      </c>
      <c r="E19" s="12">
        <v>96.6</v>
      </c>
      <c r="F19" s="3">
        <v>121</v>
      </c>
      <c r="G19" s="3">
        <v>73</v>
      </c>
      <c r="H19" s="3">
        <v>67</v>
      </c>
      <c r="I19" s="12">
        <v>97</v>
      </c>
      <c r="J19" s="3">
        <v>124</v>
      </c>
      <c r="K19" s="3">
        <v>64</v>
      </c>
      <c r="L19" s="3">
        <v>63</v>
      </c>
      <c r="M19" s="12">
        <v>7</v>
      </c>
      <c r="N19" s="11">
        <f t="shared" si="1"/>
        <v>37.962000000000003</v>
      </c>
      <c r="O19" s="11">
        <f t="shared" si="0"/>
        <v>33.308339978650658</v>
      </c>
      <c r="P19" s="3" t="s">
        <v>176</v>
      </c>
      <c r="Q19" s="3" t="s">
        <v>176</v>
      </c>
      <c r="S19" s="3" t="s">
        <v>20</v>
      </c>
      <c r="T19" s="3">
        <f ca="1">MEDIAN(Log!C$2:INDIRECT(Measurements!$E17))</f>
        <v>44.5</v>
      </c>
    </row>
    <row r="20" spans="1:20" x14ac:dyDescent="0.25">
      <c r="A20" s="4">
        <v>45335</v>
      </c>
      <c r="B20" s="12">
        <v>263.2</v>
      </c>
      <c r="C20" s="12">
        <v>46</v>
      </c>
      <c r="D20" s="3">
        <v>17</v>
      </c>
      <c r="E20" s="12">
        <v>96.5</v>
      </c>
      <c r="F20" s="3">
        <v>132</v>
      </c>
      <c r="G20" s="3">
        <v>74</v>
      </c>
      <c r="H20" s="3">
        <v>67</v>
      </c>
      <c r="I20" s="12">
        <v>97.8</v>
      </c>
      <c r="J20" s="3">
        <v>148</v>
      </c>
      <c r="K20" s="3">
        <v>71</v>
      </c>
      <c r="L20" s="3">
        <v>74</v>
      </c>
      <c r="M20" s="12">
        <v>10.5</v>
      </c>
      <c r="N20" s="11">
        <f t="shared" si="1"/>
        <v>37.761142857142858</v>
      </c>
      <c r="O20" s="11">
        <f t="shared" si="0"/>
        <v>33.308339978650658</v>
      </c>
      <c r="P20" s="3" t="s">
        <v>176</v>
      </c>
      <c r="Q20" s="3" t="s">
        <v>176</v>
      </c>
      <c r="S20" s="3" t="s">
        <v>29</v>
      </c>
      <c r="T20" s="3">
        <f ca="1">MEDIAN(Log!D$2:INDIRECT(Measurements!$E18))</f>
        <v>17</v>
      </c>
    </row>
    <row r="21" spans="1:20" x14ac:dyDescent="0.25">
      <c r="A21" s="4">
        <v>45336</v>
      </c>
      <c r="B21" s="12">
        <v>263</v>
      </c>
      <c r="C21" s="12">
        <v>46</v>
      </c>
      <c r="D21" s="3">
        <v>17</v>
      </c>
      <c r="E21" s="12">
        <v>96.9</v>
      </c>
      <c r="F21" s="3">
        <v>136</v>
      </c>
      <c r="G21" s="3">
        <v>69</v>
      </c>
      <c r="H21" s="3">
        <v>60</v>
      </c>
      <c r="I21" s="12">
        <v>96.8</v>
      </c>
      <c r="J21" s="3">
        <v>137</v>
      </c>
      <c r="K21" s="3">
        <v>72</v>
      </c>
      <c r="L21" s="3">
        <v>73</v>
      </c>
      <c r="M21" s="12">
        <v>2</v>
      </c>
      <c r="N21" s="11">
        <f t="shared" si="1"/>
        <v>37.732448979591837</v>
      </c>
      <c r="O21" s="11">
        <f t="shared" si="0"/>
        <v>33.308339978650658</v>
      </c>
      <c r="P21" s="3" t="s">
        <v>176</v>
      </c>
      <c r="Q21" s="3" t="s">
        <v>176</v>
      </c>
      <c r="S21" s="3" t="s">
        <v>21</v>
      </c>
      <c r="T21" s="3">
        <f ca="1">MEDIAN(Log!E$2:INDIRECT(Measurements!$E19))</f>
        <v>96.4</v>
      </c>
    </row>
    <row r="22" spans="1:20" x14ac:dyDescent="0.25">
      <c r="A22" s="4">
        <v>45337</v>
      </c>
      <c r="B22" s="12">
        <v>261.8</v>
      </c>
      <c r="C22" s="12">
        <v>46</v>
      </c>
      <c r="D22" s="3">
        <v>17</v>
      </c>
      <c r="E22" s="12">
        <v>96.5</v>
      </c>
      <c r="F22" s="3">
        <v>128</v>
      </c>
      <c r="G22" s="3">
        <v>76</v>
      </c>
      <c r="H22" s="3">
        <v>74</v>
      </c>
      <c r="I22" s="12">
        <v>97.1</v>
      </c>
      <c r="J22" s="3">
        <v>134</v>
      </c>
      <c r="K22" s="3">
        <v>80</v>
      </c>
      <c r="L22" s="3">
        <v>59</v>
      </c>
      <c r="M22" s="12">
        <v>13</v>
      </c>
      <c r="N22" s="11">
        <f t="shared" si="1"/>
        <v>37.560285714285712</v>
      </c>
      <c r="O22" s="11">
        <f t="shared" si="0"/>
        <v>33.308339978650658</v>
      </c>
      <c r="P22" s="3" t="s">
        <v>176</v>
      </c>
      <c r="Q22" s="3" t="s">
        <v>176</v>
      </c>
      <c r="S22" s="3" t="s">
        <v>130</v>
      </c>
      <c r="T22" s="3">
        <f ca="1">MEDIAN(Log!F$2:INDIRECT(Measurements!$E20))</f>
        <v>132.5</v>
      </c>
    </row>
    <row r="23" spans="1:20" x14ac:dyDescent="0.25">
      <c r="A23" s="4">
        <v>45338</v>
      </c>
      <c r="B23" s="12">
        <v>261.8</v>
      </c>
      <c r="C23" s="12">
        <v>45.5</v>
      </c>
      <c r="D23" s="3">
        <v>17</v>
      </c>
      <c r="E23" s="12">
        <v>96.1</v>
      </c>
      <c r="F23" s="3">
        <v>136</v>
      </c>
      <c r="G23" s="3">
        <v>83</v>
      </c>
      <c r="H23" s="3">
        <v>61</v>
      </c>
      <c r="I23" s="12">
        <v>95.5</v>
      </c>
      <c r="J23" s="3">
        <v>136</v>
      </c>
      <c r="K23" s="3">
        <v>73</v>
      </c>
      <c r="L23" s="3">
        <v>70</v>
      </c>
      <c r="M23" s="12">
        <v>7.5</v>
      </c>
      <c r="N23" s="11">
        <f t="shared" si="1"/>
        <v>37.560285714285712</v>
      </c>
      <c r="O23" s="11">
        <f t="shared" si="0"/>
        <v>32.6586945886934</v>
      </c>
      <c r="P23" s="3" t="s">
        <v>176</v>
      </c>
      <c r="Q23" s="3" t="s">
        <v>176</v>
      </c>
      <c r="S23" s="3" t="s">
        <v>131</v>
      </c>
      <c r="T23" s="3">
        <f ca="1">MEDIAN(Log!G$2:INDIRECT(Measurements!$E21))</f>
        <v>76</v>
      </c>
    </row>
    <row r="24" spans="1:20" x14ac:dyDescent="0.25">
      <c r="A24" s="4">
        <v>45339</v>
      </c>
      <c r="B24" s="12">
        <v>259.8</v>
      </c>
      <c r="C24" s="12">
        <v>45.5</v>
      </c>
      <c r="D24" s="3">
        <v>17</v>
      </c>
      <c r="E24" s="12">
        <v>97</v>
      </c>
      <c r="F24" s="3">
        <v>137</v>
      </c>
      <c r="G24" s="3">
        <v>77</v>
      </c>
      <c r="H24" s="3">
        <v>69</v>
      </c>
      <c r="I24" s="12">
        <v>97.6</v>
      </c>
      <c r="J24" s="3">
        <v>132</v>
      </c>
      <c r="K24" s="3">
        <v>74</v>
      </c>
      <c r="L24" s="3">
        <v>73</v>
      </c>
      <c r="M24" s="12">
        <v>11.5</v>
      </c>
      <c r="N24" s="11">
        <f t="shared" si="1"/>
        <v>37.273346938775511</v>
      </c>
      <c r="O24" s="11">
        <f t="shared" si="0"/>
        <v>32.6586945886934</v>
      </c>
      <c r="P24" s="3" t="s">
        <v>176</v>
      </c>
      <c r="Q24" s="3" t="s">
        <v>176</v>
      </c>
      <c r="S24" s="3" t="s">
        <v>23</v>
      </c>
      <c r="T24" s="3">
        <f ca="1">MEDIAN(Log!H$2:INDIRECT(Measurements!$E22))</f>
        <v>68</v>
      </c>
    </row>
    <row r="25" spans="1:20" x14ac:dyDescent="0.25">
      <c r="A25" s="4">
        <v>45340</v>
      </c>
      <c r="B25" s="12">
        <v>260.2</v>
      </c>
      <c r="C25" s="12">
        <v>45</v>
      </c>
      <c r="D25" s="3">
        <v>17</v>
      </c>
      <c r="E25" s="12">
        <v>96.4</v>
      </c>
      <c r="F25" s="3">
        <v>136</v>
      </c>
      <c r="G25" s="3">
        <v>76</v>
      </c>
      <c r="H25" s="3">
        <v>58</v>
      </c>
      <c r="I25" s="12">
        <v>95.7</v>
      </c>
      <c r="J25" s="3">
        <v>139</v>
      </c>
      <c r="K25" s="3">
        <v>77</v>
      </c>
      <c r="L25" s="3">
        <v>73</v>
      </c>
      <c r="M25" s="12">
        <v>10</v>
      </c>
      <c r="N25" s="11">
        <f t="shared" si="1"/>
        <v>37.330734693877552</v>
      </c>
      <c r="O25" s="11">
        <f t="shared" si="0"/>
        <v>31.997550455105717</v>
      </c>
      <c r="P25" s="3" t="s">
        <v>176</v>
      </c>
      <c r="Q25" s="3" t="s">
        <v>176</v>
      </c>
      <c r="S25" s="3" t="s">
        <v>22</v>
      </c>
      <c r="T25" s="3">
        <f ca="1">MEDIAN(Log!I$2:INDIRECT(Measurements!$E23))</f>
        <v>97.2</v>
      </c>
    </row>
    <row r="26" spans="1:20" x14ac:dyDescent="0.25">
      <c r="A26" s="4">
        <v>45341</v>
      </c>
      <c r="B26" s="12">
        <v>259</v>
      </c>
      <c r="C26" s="12">
        <v>45.5</v>
      </c>
      <c r="D26" s="3">
        <v>17</v>
      </c>
      <c r="E26" s="12">
        <v>95.7</v>
      </c>
      <c r="F26" s="3">
        <v>113</v>
      </c>
      <c r="G26" s="3">
        <v>74</v>
      </c>
      <c r="H26" s="3">
        <v>59</v>
      </c>
      <c r="I26" s="12">
        <v>96.3</v>
      </c>
      <c r="J26" s="3">
        <v>128</v>
      </c>
      <c r="K26" s="3">
        <v>72</v>
      </c>
      <c r="L26" s="3">
        <v>69</v>
      </c>
      <c r="M26" s="12">
        <v>5</v>
      </c>
      <c r="N26" s="11">
        <f t="shared" si="1"/>
        <v>37.158571428571427</v>
      </c>
      <c r="O26" s="11">
        <f t="shared" si="0"/>
        <v>32.6586945886934</v>
      </c>
      <c r="P26" s="3" t="s">
        <v>178</v>
      </c>
      <c r="Q26" s="3" t="s">
        <v>176</v>
      </c>
      <c r="S26" s="3" t="s">
        <v>132</v>
      </c>
      <c r="T26" s="3">
        <f ca="1">MEDIAN(Log!J$2:INDIRECT(Measurements!$E24))</f>
        <v>135</v>
      </c>
    </row>
    <row r="27" spans="1:20" x14ac:dyDescent="0.25">
      <c r="A27" s="4">
        <v>45342</v>
      </c>
      <c r="B27" s="12">
        <v>257</v>
      </c>
      <c r="C27" s="12">
        <v>45</v>
      </c>
      <c r="D27" s="3">
        <v>17</v>
      </c>
      <c r="E27" s="12">
        <v>96.2</v>
      </c>
      <c r="F27" s="3">
        <v>113</v>
      </c>
      <c r="G27" s="3">
        <v>76</v>
      </c>
      <c r="H27" s="3">
        <v>62</v>
      </c>
      <c r="I27" s="12">
        <v>97.2</v>
      </c>
      <c r="J27" s="3">
        <v>135</v>
      </c>
      <c r="K27" s="3">
        <v>69</v>
      </c>
      <c r="L27" s="3">
        <v>59</v>
      </c>
      <c r="M27" s="12">
        <v>12</v>
      </c>
      <c r="N27" s="11">
        <f t="shared" si="1"/>
        <v>36.871632653061219</v>
      </c>
      <c r="O27" s="11">
        <f t="shared" si="0"/>
        <v>31.997550455105717</v>
      </c>
      <c r="P27" s="3" t="s">
        <v>176</v>
      </c>
      <c r="Q27" s="3" t="s">
        <v>176</v>
      </c>
      <c r="S27" s="3" t="s">
        <v>133</v>
      </c>
      <c r="T27" s="3">
        <f ca="1">MEDIAN(Log!K$2:INDIRECT(Measurements!$E25))</f>
        <v>76</v>
      </c>
    </row>
    <row r="28" spans="1:20" x14ac:dyDescent="0.25">
      <c r="A28" s="4">
        <v>45343</v>
      </c>
      <c r="B28" s="12">
        <v>259.8</v>
      </c>
      <c r="C28" s="12">
        <v>46</v>
      </c>
      <c r="D28" s="3">
        <v>17</v>
      </c>
      <c r="E28" s="12">
        <v>97.1</v>
      </c>
      <c r="F28" s="3">
        <v>148</v>
      </c>
      <c r="G28" s="3">
        <v>79</v>
      </c>
      <c r="H28" s="3">
        <v>65</v>
      </c>
      <c r="I28" s="12">
        <v>97.3</v>
      </c>
      <c r="J28" s="3">
        <v>136</v>
      </c>
      <c r="K28" s="3">
        <v>67</v>
      </c>
      <c r="L28" s="3">
        <v>73</v>
      </c>
      <c r="M28" s="12">
        <v>0</v>
      </c>
      <c r="N28" s="11">
        <f t="shared" si="1"/>
        <v>37.273346938775511</v>
      </c>
      <c r="O28" s="11">
        <f t="shared" si="0"/>
        <v>33.308339978650658</v>
      </c>
      <c r="P28" s="3" t="s">
        <v>176</v>
      </c>
      <c r="Q28" s="3" t="s">
        <v>176</v>
      </c>
      <c r="S28" s="3" t="s">
        <v>24</v>
      </c>
      <c r="T28" s="3">
        <f ca="1">MEDIAN(Log!L$2:INDIRECT(Measurements!$E26))</f>
        <v>71</v>
      </c>
    </row>
    <row r="29" spans="1:20" x14ac:dyDescent="0.25">
      <c r="A29" s="4">
        <v>45344</v>
      </c>
      <c r="B29" s="12">
        <v>259.8</v>
      </c>
      <c r="C29" s="12">
        <v>45</v>
      </c>
      <c r="D29" s="3">
        <v>17</v>
      </c>
      <c r="E29" s="12">
        <v>96.5</v>
      </c>
      <c r="F29" s="3">
        <v>138</v>
      </c>
      <c r="G29" s="3">
        <v>74</v>
      </c>
      <c r="H29" s="3">
        <v>73</v>
      </c>
      <c r="I29" s="12">
        <v>97.1</v>
      </c>
      <c r="J29" s="3">
        <v>138</v>
      </c>
      <c r="K29" s="3">
        <v>73</v>
      </c>
      <c r="L29" s="3">
        <v>61</v>
      </c>
      <c r="M29" s="12">
        <v>8</v>
      </c>
      <c r="N29" s="11">
        <f t="shared" si="1"/>
        <v>37.273346938775511</v>
      </c>
      <c r="O29" s="11">
        <f t="shared" si="0"/>
        <v>31.997550455105717</v>
      </c>
      <c r="P29" s="3" t="s">
        <v>176</v>
      </c>
      <c r="Q29" s="3" t="s">
        <v>176</v>
      </c>
      <c r="S29" s="3" t="s">
        <v>59</v>
      </c>
      <c r="T29" s="3">
        <f ca="1">MEDIAN(Log!M$2:INDIRECT(Measurements!$E27))</f>
        <v>8</v>
      </c>
    </row>
    <row r="30" spans="1:20" x14ac:dyDescent="0.25">
      <c r="A30" s="4">
        <v>45345</v>
      </c>
      <c r="B30" s="12">
        <v>259</v>
      </c>
      <c r="C30" s="12">
        <v>45</v>
      </c>
      <c r="D30" s="3">
        <v>17</v>
      </c>
      <c r="E30" s="12">
        <v>96.3</v>
      </c>
      <c r="F30" s="3">
        <v>112</v>
      </c>
      <c r="G30" s="3">
        <v>68</v>
      </c>
      <c r="H30" s="3">
        <v>61</v>
      </c>
      <c r="I30" s="12">
        <v>96.2</v>
      </c>
      <c r="J30" s="3">
        <v>132</v>
      </c>
      <c r="K30" s="3">
        <v>73</v>
      </c>
      <c r="L30" s="3">
        <v>62</v>
      </c>
      <c r="M30" s="12">
        <v>5</v>
      </c>
      <c r="N30" s="11">
        <f t="shared" si="1"/>
        <v>37.158571428571427</v>
      </c>
      <c r="O30" s="11">
        <f t="shared" si="0"/>
        <v>31.997550455105717</v>
      </c>
      <c r="P30" s="3" t="s">
        <v>178</v>
      </c>
      <c r="Q30" s="3" t="s">
        <v>178</v>
      </c>
      <c r="S30" s="3" t="s">
        <v>108</v>
      </c>
      <c r="T30" s="3">
        <f ca="1">MEDIAN(Log!N$2:INDIRECT(Measurements!$E28))</f>
        <v>36.670775510204081</v>
      </c>
    </row>
    <row r="31" spans="1:20" x14ac:dyDescent="0.25">
      <c r="A31" s="4">
        <v>45346</v>
      </c>
      <c r="B31" s="12">
        <v>258.2</v>
      </c>
      <c r="C31" s="12">
        <v>45</v>
      </c>
      <c r="D31" s="3">
        <v>17</v>
      </c>
      <c r="E31" s="12">
        <v>96.1</v>
      </c>
      <c r="F31" s="3">
        <v>134</v>
      </c>
      <c r="G31" s="3">
        <v>76</v>
      </c>
      <c r="H31" s="3">
        <v>72</v>
      </c>
      <c r="I31" s="12">
        <v>97.2</v>
      </c>
      <c r="J31" s="3">
        <v>134</v>
      </c>
      <c r="K31" s="3">
        <v>71</v>
      </c>
      <c r="L31" s="3">
        <v>71</v>
      </c>
      <c r="M31" s="12">
        <v>10</v>
      </c>
      <c r="N31" s="11">
        <f t="shared" si="1"/>
        <v>37.043795918367344</v>
      </c>
      <c r="O31" s="11">
        <f t="shared" si="0"/>
        <v>31.997550455105717</v>
      </c>
      <c r="P31" s="3" t="s">
        <v>176</v>
      </c>
      <c r="Q31" s="3" t="s">
        <v>176</v>
      </c>
      <c r="S31" s="3" t="s">
        <v>114</v>
      </c>
      <c r="T31" s="3">
        <f ca="1">MEDIAN(Log!O$2:INDIRECT(Measurements!$E29))</f>
        <v>31.324493175702337</v>
      </c>
    </row>
    <row r="32" spans="1:20" x14ac:dyDescent="0.25">
      <c r="A32" s="4">
        <v>45347</v>
      </c>
      <c r="B32" s="12">
        <v>258</v>
      </c>
      <c r="C32" s="12">
        <v>45</v>
      </c>
      <c r="D32" s="3">
        <v>17</v>
      </c>
      <c r="E32" s="12">
        <v>96.8</v>
      </c>
      <c r="F32" s="3">
        <v>128</v>
      </c>
      <c r="G32" s="3">
        <v>70</v>
      </c>
      <c r="H32" s="3">
        <v>70</v>
      </c>
      <c r="I32" s="12">
        <v>98</v>
      </c>
      <c r="J32" s="3">
        <v>125</v>
      </c>
      <c r="K32" s="3">
        <v>69</v>
      </c>
      <c r="L32" s="3">
        <v>69</v>
      </c>
      <c r="M32" s="12">
        <v>10</v>
      </c>
      <c r="N32" s="11">
        <f t="shared" si="1"/>
        <v>37.015102040816323</v>
      </c>
      <c r="O32" s="11">
        <f t="shared" si="0"/>
        <v>31.997550455105717</v>
      </c>
      <c r="P32" s="3" t="s">
        <v>176</v>
      </c>
      <c r="Q32" s="3" t="s">
        <v>176</v>
      </c>
    </row>
    <row r="33" spans="1:17" x14ac:dyDescent="0.25">
      <c r="A33" s="4">
        <v>45348</v>
      </c>
      <c r="B33" s="12">
        <v>256</v>
      </c>
      <c r="C33" s="12">
        <v>45</v>
      </c>
      <c r="D33" s="3">
        <v>17</v>
      </c>
      <c r="E33" s="12">
        <v>96.4</v>
      </c>
      <c r="F33" s="3">
        <v>120</v>
      </c>
      <c r="G33" s="3">
        <v>71</v>
      </c>
      <c r="H33" s="3">
        <v>70</v>
      </c>
      <c r="I33" s="12">
        <v>96.5</v>
      </c>
      <c r="J33" s="3">
        <v>122</v>
      </c>
      <c r="K33" s="3">
        <v>77</v>
      </c>
      <c r="L33" s="3">
        <v>69</v>
      </c>
      <c r="M33" s="12">
        <v>7.5</v>
      </c>
      <c r="N33" s="11">
        <f t="shared" si="1"/>
        <v>36.728163265306122</v>
      </c>
      <c r="O33" s="11">
        <f t="shared" si="0"/>
        <v>31.997550455105717</v>
      </c>
      <c r="P33" s="3" t="s">
        <v>176</v>
      </c>
      <c r="Q33" s="3" t="s">
        <v>176</v>
      </c>
    </row>
    <row r="34" spans="1:17" x14ac:dyDescent="0.25">
      <c r="A34" s="4">
        <v>45349</v>
      </c>
      <c r="B34" s="12">
        <v>256</v>
      </c>
      <c r="C34" s="12">
        <v>44.5</v>
      </c>
      <c r="D34" s="3">
        <v>17</v>
      </c>
      <c r="E34" s="12">
        <v>96.7</v>
      </c>
      <c r="F34" s="3">
        <v>128</v>
      </c>
      <c r="G34" s="3">
        <v>79</v>
      </c>
      <c r="H34" s="3">
        <v>64</v>
      </c>
      <c r="I34" s="12">
        <v>96.5</v>
      </c>
      <c r="J34" s="3">
        <v>127</v>
      </c>
      <c r="K34" s="3">
        <v>76</v>
      </c>
      <c r="L34" s="3">
        <v>71</v>
      </c>
      <c r="M34" s="12">
        <v>9</v>
      </c>
      <c r="N34" s="11">
        <f t="shared" si="1"/>
        <v>36.728163265306122</v>
      </c>
      <c r="O34" s="11">
        <f t="shared" si="0"/>
        <v>31.324493175702337</v>
      </c>
      <c r="P34" s="3" t="s">
        <v>176</v>
      </c>
      <c r="Q34" s="3" t="s">
        <v>176</v>
      </c>
    </row>
    <row r="35" spans="1:17" x14ac:dyDescent="0.25">
      <c r="A35" s="4">
        <v>45350</v>
      </c>
      <c r="B35" s="12">
        <v>255</v>
      </c>
      <c r="C35" s="12">
        <v>44.5</v>
      </c>
      <c r="D35" s="3">
        <v>17</v>
      </c>
      <c r="E35" s="12">
        <v>97.1</v>
      </c>
      <c r="F35" s="3">
        <v>124</v>
      </c>
      <c r="G35" s="3">
        <v>74</v>
      </c>
      <c r="H35" s="3">
        <v>55</v>
      </c>
      <c r="I35" s="12">
        <v>96.1</v>
      </c>
      <c r="J35" s="3">
        <v>128</v>
      </c>
      <c r="K35" s="3">
        <v>76</v>
      </c>
      <c r="L35" s="3">
        <v>53</v>
      </c>
      <c r="M35" s="12">
        <v>9.5</v>
      </c>
      <c r="N35" s="11">
        <f t="shared" si="1"/>
        <v>36.584693877551018</v>
      </c>
      <c r="O35" s="11">
        <f t="shared" si="0"/>
        <v>31.324493175702337</v>
      </c>
      <c r="P35" s="3" t="s">
        <v>176</v>
      </c>
      <c r="Q35" s="3" t="s">
        <v>176</v>
      </c>
    </row>
    <row r="36" spans="1:17" x14ac:dyDescent="0.25">
      <c r="A36" s="4">
        <v>45351</v>
      </c>
      <c r="B36" s="12">
        <v>255.6</v>
      </c>
      <c r="C36" s="12">
        <v>44.5</v>
      </c>
      <c r="D36" s="3">
        <v>17</v>
      </c>
      <c r="E36" s="12">
        <v>96.2</v>
      </c>
      <c r="F36" s="3">
        <v>137</v>
      </c>
      <c r="G36" s="3">
        <v>75</v>
      </c>
      <c r="H36" s="3">
        <v>60</v>
      </c>
      <c r="I36" s="12">
        <v>98</v>
      </c>
      <c r="J36" s="3">
        <v>132</v>
      </c>
      <c r="K36" s="3">
        <v>72</v>
      </c>
      <c r="L36" s="3">
        <v>65</v>
      </c>
      <c r="M36" s="12">
        <v>6.5</v>
      </c>
      <c r="N36" s="11">
        <f t="shared" si="1"/>
        <v>36.670775510204081</v>
      </c>
      <c r="O36" s="11">
        <f t="shared" si="0"/>
        <v>31.324493175702337</v>
      </c>
      <c r="P36" s="3" t="s">
        <v>176</v>
      </c>
      <c r="Q36" s="3" t="s">
        <v>176</v>
      </c>
    </row>
    <row r="37" spans="1:17" x14ac:dyDescent="0.25">
      <c r="A37" s="4">
        <v>45352</v>
      </c>
      <c r="B37" s="12">
        <v>255.6</v>
      </c>
      <c r="C37" s="12">
        <v>44.5</v>
      </c>
      <c r="D37" s="3">
        <v>17</v>
      </c>
      <c r="E37" s="12">
        <v>96.2</v>
      </c>
      <c r="F37" s="3">
        <v>141</v>
      </c>
      <c r="G37" s="3">
        <v>72</v>
      </c>
      <c r="H37" s="3">
        <v>64</v>
      </c>
      <c r="I37" s="12">
        <v>97.5</v>
      </c>
      <c r="J37" s="3">
        <v>127</v>
      </c>
      <c r="K37" s="3">
        <v>67</v>
      </c>
      <c r="L37" s="3">
        <v>70</v>
      </c>
      <c r="M37" s="12">
        <v>1</v>
      </c>
      <c r="N37" s="11">
        <f t="shared" si="1"/>
        <v>36.670775510204081</v>
      </c>
      <c r="O37" s="11">
        <f t="shared" si="0"/>
        <v>31.324493175702337</v>
      </c>
      <c r="P37" s="3" t="s">
        <v>176</v>
      </c>
      <c r="Q37" s="3" t="s">
        <v>178</v>
      </c>
    </row>
    <row r="38" spans="1:17" x14ac:dyDescent="0.25">
      <c r="A38" s="4">
        <v>45353</v>
      </c>
      <c r="B38" s="12">
        <v>252.8</v>
      </c>
      <c r="C38" s="12">
        <v>44.5</v>
      </c>
      <c r="D38" s="3">
        <v>17</v>
      </c>
      <c r="E38" s="12">
        <v>96.1</v>
      </c>
      <c r="F38" s="3">
        <v>128</v>
      </c>
      <c r="G38" s="3">
        <v>72</v>
      </c>
      <c r="H38" s="3">
        <v>68</v>
      </c>
      <c r="I38" s="12">
        <v>98</v>
      </c>
      <c r="J38" s="3">
        <v>140</v>
      </c>
      <c r="K38" s="3">
        <v>79</v>
      </c>
      <c r="L38" s="3">
        <v>87</v>
      </c>
      <c r="M38" s="12">
        <v>9.5</v>
      </c>
      <c r="N38" s="11">
        <f t="shared" si="1"/>
        <v>36.269061224489796</v>
      </c>
      <c r="O38" s="11">
        <f t="shared" si="0"/>
        <v>31.324493175702337</v>
      </c>
      <c r="P38" s="3" t="s">
        <v>176</v>
      </c>
      <c r="Q38" s="3" t="s">
        <v>176</v>
      </c>
    </row>
    <row r="39" spans="1:17" x14ac:dyDescent="0.25">
      <c r="A39" s="4">
        <v>45354</v>
      </c>
      <c r="B39" s="12">
        <v>252.8</v>
      </c>
      <c r="C39" s="12">
        <v>44.5</v>
      </c>
      <c r="D39" s="3">
        <v>17</v>
      </c>
      <c r="E39" s="12">
        <v>96.3</v>
      </c>
      <c r="F39" s="3">
        <v>126</v>
      </c>
      <c r="G39" s="3">
        <v>68</v>
      </c>
      <c r="H39" s="3">
        <v>73</v>
      </c>
      <c r="I39" s="12">
        <v>97</v>
      </c>
      <c r="J39" s="3">
        <v>159</v>
      </c>
      <c r="K39" s="3">
        <v>70</v>
      </c>
      <c r="L39" s="3">
        <v>97</v>
      </c>
      <c r="M39" s="12">
        <v>2</v>
      </c>
      <c r="N39" s="11">
        <f t="shared" si="1"/>
        <v>36.269061224489796</v>
      </c>
      <c r="O39" s="11">
        <f t="shared" si="0"/>
        <v>31.324493175702337</v>
      </c>
      <c r="P39" s="3" t="s">
        <v>176</v>
      </c>
      <c r="Q39" s="3" t="s">
        <v>176</v>
      </c>
    </row>
    <row r="40" spans="1:17" x14ac:dyDescent="0.25">
      <c r="A40" s="4">
        <v>45355</v>
      </c>
      <c r="B40" s="12">
        <v>257</v>
      </c>
      <c r="C40" s="12">
        <v>45</v>
      </c>
      <c r="D40" s="3">
        <v>17</v>
      </c>
      <c r="E40" s="12">
        <v>97.1</v>
      </c>
      <c r="F40" s="3">
        <v>140</v>
      </c>
      <c r="G40" s="3">
        <v>81</v>
      </c>
      <c r="H40" s="3">
        <v>69</v>
      </c>
      <c r="I40" s="12">
        <v>98</v>
      </c>
      <c r="J40" s="3">
        <v>118</v>
      </c>
      <c r="K40" s="3">
        <v>83</v>
      </c>
      <c r="L40" s="3">
        <v>71</v>
      </c>
      <c r="M40" s="12">
        <v>12</v>
      </c>
      <c r="N40" s="11">
        <f t="shared" ref="N40:N71" si="2">(B40/4900)*703</f>
        <v>36.871632653061219</v>
      </c>
      <c r="O40" s="11">
        <f t="shared" ref="O40:O71" si="3">(86.01*LOG10(C40-D40))-(70.041*LOG10(70))+36.76</f>
        <v>31.997550455105717</v>
      </c>
      <c r="P40" s="3" t="s">
        <v>178</v>
      </c>
      <c r="Q40" s="3" t="s">
        <v>178</v>
      </c>
    </row>
    <row r="41" spans="1:17" x14ac:dyDescent="0.25">
      <c r="A41" s="4">
        <v>45356</v>
      </c>
      <c r="B41" s="12">
        <v>261.2</v>
      </c>
      <c r="C41" s="12">
        <v>45</v>
      </c>
      <c r="D41" s="3">
        <v>17</v>
      </c>
      <c r="E41" s="12">
        <v>97</v>
      </c>
      <c r="F41" s="3">
        <v>149</v>
      </c>
      <c r="G41" s="3">
        <v>89</v>
      </c>
      <c r="H41" s="3">
        <v>76</v>
      </c>
      <c r="I41" s="12">
        <v>98</v>
      </c>
      <c r="J41" s="3">
        <v>140</v>
      </c>
      <c r="K41" s="3">
        <v>83</v>
      </c>
      <c r="L41" s="3">
        <v>82</v>
      </c>
      <c r="M41" s="12">
        <v>12</v>
      </c>
      <c r="N41" s="11">
        <f t="shared" si="2"/>
        <v>37.474204081632649</v>
      </c>
      <c r="O41" s="11">
        <f t="shared" si="3"/>
        <v>31.997550455105717</v>
      </c>
      <c r="P41" s="3" t="s">
        <v>178</v>
      </c>
      <c r="Q41" s="3" t="s">
        <v>178</v>
      </c>
    </row>
    <row r="42" spans="1:17" x14ac:dyDescent="0.25">
      <c r="A42" s="4">
        <v>45357</v>
      </c>
      <c r="B42" s="12">
        <v>261</v>
      </c>
      <c r="C42" s="12">
        <v>44</v>
      </c>
      <c r="D42" s="3">
        <v>17</v>
      </c>
      <c r="E42" s="12">
        <v>96.7</v>
      </c>
      <c r="F42" s="3">
        <v>143</v>
      </c>
      <c r="G42" s="3">
        <v>78</v>
      </c>
      <c r="H42" s="3">
        <v>83</v>
      </c>
      <c r="I42" s="12">
        <v>99.2</v>
      </c>
      <c r="J42" s="3">
        <v>138</v>
      </c>
      <c r="K42" s="3">
        <v>93</v>
      </c>
      <c r="L42" s="3">
        <v>96</v>
      </c>
      <c r="M42" s="12">
        <v>5</v>
      </c>
      <c r="N42" s="11">
        <f t="shared" si="2"/>
        <v>37.445510204081636</v>
      </c>
      <c r="O42" s="11">
        <f t="shared" si="3"/>
        <v>30.639085534675949</v>
      </c>
      <c r="P42" s="3" t="s">
        <v>178</v>
      </c>
      <c r="Q42" s="3" t="s">
        <v>178</v>
      </c>
    </row>
    <row r="43" spans="1:17" x14ac:dyDescent="0.25">
      <c r="A43" s="4">
        <v>45358</v>
      </c>
      <c r="B43" s="12">
        <v>258.60000000000002</v>
      </c>
      <c r="C43" s="12">
        <v>44.5</v>
      </c>
      <c r="D43" s="3">
        <v>17</v>
      </c>
      <c r="E43" s="12">
        <v>96.4</v>
      </c>
      <c r="F43" s="3">
        <v>133</v>
      </c>
      <c r="G43" s="3">
        <v>86</v>
      </c>
      <c r="H43" s="3">
        <v>81</v>
      </c>
      <c r="I43" s="12">
        <v>97.6</v>
      </c>
      <c r="J43" s="3">
        <v>152</v>
      </c>
      <c r="K43" s="3">
        <v>89</v>
      </c>
      <c r="L43" s="3">
        <v>81</v>
      </c>
      <c r="M43" s="12">
        <v>10</v>
      </c>
      <c r="N43" s="11">
        <f t="shared" si="2"/>
        <v>37.101183673469393</v>
      </c>
      <c r="O43" s="11">
        <f t="shared" si="3"/>
        <v>31.324493175702337</v>
      </c>
      <c r="P43" s="3" t="s">
        <v>176</v>
      </c>
      <c r="Q43" s="3" t="s">
        <v>178</v>
      </c>
    </row>
    <row r="44" spans="1:17" x14ac:dyDescent="0.25">
      <c r="A44" s="4">
        <v>45359</v>
      </c>
      <c r="B44" s="12">
        <v>258</v>
      </c>
      <c r="C44" s="12">
        <v>44.5</v>
      </c>
      <c r="D44" s="3">
        <v>17</v>
      </c>
      <c r="E44" s="12">
        <v>97.6</v>
      </c>
      <c r="F44" s="3">
        <v>141</v>
      </c>
      <c r="G44" s="3">
        <v>83</v>
      </c>
      <c r="H44" s="3">
        <v>73</v>
      </c>
      <c r="I44" s="12">
        <v>97.3</v>
      </c>
      <c r="J44" s="3">
        <v>138</v>
      </c>
      <c r="K44" s="3">
        <v>87</v>
      </c>
      <c r="L44" s="3">
        <v>74</v>
      </c>
      <c r="M44" s="12">
        <v>6</v>
      </c>
      <c r="N44" s="11">
        <f t="shared" si="2"/>
        <v>37.015102040816323</v>
      </c>
      <c r="O44" s="11">
        <f t="shared" si="3"/>
        <v>31.324493175702337</v>
      </c>
      <c r="P44" s="3" t="s">
        <v>178</v>
      </c>
      <c r="Q44" s="3" t="s">
        <v>178</v>
      </c>
    </row>
    <row r="45" spans="1:17" x14ac:dyDescent="0.25">
      <c r="A45" s="4">
        <v>45360</v>
      </c>
      <c r="B45" s="12">
        <v>260</v>
      </c>
      <c r="C45" s="12">
        <v>44.5</v>
      </c>
      <c r="D45" s="3">
        <v>17</v>
      </c>
      <c r="E45" s="12">
        <v>96</v>
      </c>
      <c r="F45" s="3">
        <v>143</v>
      </c>
      <c r="G45" s="3">
        <v>92</v>
      </c>
      <c r="H45" s="3">
        <v>72</v>
      </c>
      <c r="I45" s="12">
        <v>97.2</v>
      </c>
      <c r="J45" s="3">
        <v>152</v>
      </c>
      <c r="K45" s="3">
        <v>92</v>
      </c>
      <c r="L45" s="3">
        <v>82</v>
      </c>
      <c r="M45" s="12">
        <v>8</v>
      </c>
      <c r="N45" s="11">
        <f t="shared" si="2"/>
        <v>37.302040816326532</v>
      </c>
      <c r="O45" s="11">
        <f t="shared" si="3"/>
        <v>31.324493175702337</v>
      </c>
      <c r="P45" s="3" t="s">
        <v>178</v>
      </c>
      <c r="Q45" s="3" t="s">
        <v>178</v>
      </c>
    </row>
    <row r="46" spans="1:17" x14ac:dyDescent="0.25">
      <c r="A46" s="4">
        <v>45361</v>
      </c>
      <c r="B46" s="12">
        <v>259.2</v>
      </c>
      <c r="C46" s="12">
        <v>44.5</v>
      </c>
      <c r="D46" s="3">
        <v>17</v>
      </c>
      <c r="E46" s="12">
        <v>95.9</v>
      </c>
      <c r="F46" s="3">
        <v>141</v>
      </c>
      <c r="G46" s="3">
        <v>87</v>
      </c>
      <c r="H46" s="3">
        <v>76</v>
      </c>
      <c r="I46" s="12">
        <v>97.6</v>
      </c>
      <c r="J46" s="3">
        <v>155</v>
      </c>
      <c r="K46" s="3">
        <v>87</v>
      </c>
      <c r="L46" s="3">
        <v>81</v>
      </c>
      <c r="M46" s="12">
        <v>12</v>
      </c>
      <c r="N46" s="11">
        <f t="shared" si="2"/>
        <v>37.187265306122448</v>
      </c>
      <c r="O46" s="11">
        <f t="shared" si="3"/>
        <v>31.324493175702337</v>
      </c>
      <c r="P46" s="3" t="s">
        <v>178</v>
      </c>
      <c r="Q46" s="3" t="s">
        <v>178</v>
      </c>
    </row>
    <row r="47" spans="1:17" x14ac:dyDescent="0.25">
      <c r="A47" s="4">
        <v>45362</v>
      </c>
      <c r="B47" s="12">
        <v>260.8</v>
      </c>
      <c r="C47" s="12">
        <v>45</v>
      </c>
      <c r="D47" s="3">
        <v>17</v>
      </c>
      <c r="E47" s="12">
        <v>96.7</v>
      </c>
      <c r="F47" s="3">
        <v>134</v>
      </c>
      <c r="G47" s="3">
        <v>77</v>
      </c>
      <c r="H47" s="3">
        <v>74</v>
      </c>
      <c r="I47" s="12">
        <v>97.3</v>
      </c>
      <c r="J47" s="3">
        <v>144</v>
      </c>
      <c r="K47" s="3">
        <v>76</v>
      </c>
      <c r="L47" s="3">
        <v>86</v>
      </c>
      <c r="M47" s="12">
        <v>11</v>
      </c>
      <c r="N47" s="11">
        <f t="shared" si="2"/>
        <v>37.416816326530615</v>
      </c>
      <c r="O47" s="11">
        <f t="shared" si="3"/>
        <v>31.997550455105717</v>
      </c>
      <c r="P47" s="3" t="s">
        <v>178</v>
      </c>
      <c r="Q47" s="3" t="s">
        <v>178</v>
      </c>
    </row>
    <row r="48" spans="1:17" x14ac:dyDescent="0.25">
      <c r="A48" s="4">
        <v>45363</v>
      </c>
      <c r="B48" s="12">
        <v>261.8</v>
      </c>
      <c r="C48" s="12">
        <v>45</v>
      </c>
      <c r="D48" s="3">
        <v>17</v>
      </c>
      <c r="E48" s="12">
        <v>97</v>
      </c>
      <c r="F48" s="3">
        <v>111</v>
      </c>
      <c r="G48" s="3">
        <v>85</v>
      </c>
      <c r="H48" s="3">
        <v>86</v>
      </c>
      <c r="I48" s="12">
        <v>97.6</v>
      </c>
      <c r="J48" s="3">
        <v>140</v>
      </c>
      <c r="K48" s="3">
        <v>75</v>
      </c>
      <c r="L48" s="3">
        <v>77</v>
      </c>
      <c r="M48" s="12">
        <v>8.5</v>
      </c>
      <c r="N48" s="11">
        <f t="shared" si="2"/>
        <v>37.560285714285712</v>
      </c>
      <c r="O48" s="11">
        <f t="shared" si="3"/>
        <v>31.997550455105717</v>
      </c>
      <c r="P48" s="3" t="s">
        <v>176</v>
      </c>
      <c r="Q48" s="3" t="s">
        <v>176</v>
      </c>
    </row>
    <row r="49" spans="1:17" x14ac:dyDescent="0.25">
      <c r="A49" s="4">
        <v>45364</v>
      </c>
      <c r="B49" s="12">
        <v>257.8</v>
      </c>
      <c r="C49" s="12">
        <v>44.5</v>
      </c>
      <c r="D49" s="3">
        <v>17</v>
      </c>
      <c r="E49" s="12">
        <v>96.5</v>
      </c>
      <c r="F49" s="3">
        <v>132</v>
      </c>
      <c r="G49" s="3">
        <v>84</v>
      </c>
      <c r="H49" s="3">
        <v>70</v>
      </c>
      <c r="I49" s="12">
        <v>97.2</v>
      </c>
      <c r="J49" s="3">
        <v>159</v>
      </c>
      <c r="K49" s="3">
        <v>89</v>
      </c>
      <c r="L49" s="3">
        <v>67</v>
      </c>
      <c r="M49" s="12">
        <v>5</v>
      </c>
      <c r="N49" s="11">
        <f t="shared" si="2"/>
        <v>36.98640816326531</v>
      </c>
      <c r="O49" s="11">
        <f t="shared" si="3"/>
        <v>31.324493175702337</v>
      </c>
      <c r="P49" s="3" t="s">
        <v>176</v>
      </c>
      <c r="Q49" s="3" t="s">
        <v>176</v>
      </c>
    </row>
    <row r="50" spans="1:17" x14ac:dyDescent="0.25">
      <c r="A50" s="4">
        <v>45365</v>
      </c>
      <c r="B50" s="12">
        <v>255.8</v>
      </c>
      <c r="C50" s="12">
        <v>44.5</v>
      </c>
      <c r="D50" s="3">
        <v>17</v>
      </c>
      <c r="E50" s="12">
        <v>96.4</v>
      </c>
      <c r="F50" s="3">
        <v>133</v>
      </c>
      <c r="G50" s="3">
        <v>76</v>
      </c>
      <c r="H50" s="3">
        <v>68</v>
      </c>
      <c r="I50" s="12">
        <v>97</v>
      </c>
      <c r="J50" s="3">
        <v>153</v>
      </c>
      <c r="K50" s="3">
        <v>91</v>
      </c>
      <c r="L50" s="3">
        <v>76</v>
      </c>
      <c r="M50" s="12">
        <v>10</v>
      </c>
      <c r="N50" s="11">
        <f t="shared" si="2"/>
        <v>36.699469387755101</v>
      </c>
      <c r="O50" s="11">
        <f t="shared" si="3"/>
        <v>31.324493175702337</v>
      </c>
      <c r="P50" s="3" t="s">
        <v>176</v>
      </c>
      <c r="Q50" s="3" t="s">
        <v>178</v>
      </c>
    </row>
    <row r="51" spans="1:17" x14ac:dyDescent="0.25">
      <c r="A51" s="4">
        <v>45366</v>
      </c>
      <c r="B51" s="12">
        <v>254</v>
      </c>
      <c r="C51" s="12">
        <v>44.5</v>
      </c>
      <c r="D51" s="3">
        <v>17</v>
      </c>
      <c r="E51" s="12">
        <v>96.1</v>
      </c>
      <c r="F51" s="3">
        <v>138</v>
      </c>
      <c r="G51" s="3">
        <v>82</v>
      </c>
      <c r="H51" s="3">
        <v>67</v>
      </c>
      <c r="I51" s="12">
        <v>97.5</v>
      </c>
      <c r="J51" s="3">
        <v>159</v>
      </c>
      <c r="K51" s="3">
        <v>86</v>
      </c>
      <c r="L51" s="3">
        <v>70</v>
      </c>
      <c r="M51" s="12">
        <v>11</v>
      </c>
      <c r="N51" s="11">
        <f t="shared" si="2"/>
        <v>36.441224489795914</v>
      </c>
      <c r="O51" s="11">
        <f t="shared" si="3"/>
        <v>31.324493175702337</v>
      </c>
      <c r="P51" s="3" t="s">
        <v>176</v>
      </c>
      <c r="Q51" s="3" t="s">
        <v>178</v>
      </c>
    </row>
    <row r="52" spans="1:17" x14ac:dyDescent="0.25">
      <c r="A52" s="4">
        <v>45367</v>
      </c>
      <c r="B52" s="12">
        <v>253</v>
      </c>
      <c r="C52" s="12">
        <v>44.5</v>
      </c>
      <c r="D52" s="3">
        <v>17</v>
      </c>
      <c r="E52" s="12">
        <v>96</v>
      </c>
      <c r="F52" s="3">
        <v>138</v>
      </c>
      <c r="G52" s="3">
        <v>73</v>
      </c>
      <c r="H52" s="3">
        <v>65</v>
      </c>
      <c r="I52" s="12">
        <v>98.4</v>
      </c>
      <c r="J52" s="3">
        <v>149</v>
      </c>
      <c r="K52" s="3">
        <v>78</v>
      </c>
      <c r="L52" s="3">
        <v>77</v>
      </c>
      <c r="M52" s="12">
        <v>7</v>
      </c>
      <c r="N52" s="11">
        <f t="shared" si="2"/>
        <v>36.297755102040817</v>
      </c>
      <c r="O52" s="11">
        <f t="shared" si="3"/>
        <v>31.324493175702337</v>
      </c>
      <c r="P52" s="3" t="s">
        <v>176</v>
      </c>
      <c r="Q52" s="3" t="s">
        <v>178</v>
      </c>
    </row>
    <row r="53" spans="1:17" x14ac:dyDescent="0.25">
      <c r="A53" s="4">
        <v>45368</v>
      </c>
      <c r="B53" s="12">
        <v>252.6</v>
      </c>
      <c r="C53" s="12">
        <v>44.5</v>
      </c>
      <c r="D53" s="3">
        <v>17</v>
      </c>
      <c r="E53" s="12">
        <v>95.9</v>
      </c>
      <c r="F53" s="3">
        <v>136</v>
      </c>
      <c r="G53" s="3">
        <v>75</v>
      </c>
      <c r="H53" s="3">
        <v>71</v>
      </c>
      <c r="I53" s="12">
        <v>96.1</v>
      </c>
      <c r="J53" s="3">
        <v>136</v>
      </c>
      <c r="K53" s="3">
        <v>81</v>
      </c>
      <c r="L53" s="3">
        <v>63</v>
      </c>
      <c r="M53" s="12">
        <v>7</v>
      </c>
      <c r="N53" s="11">
        <f t="shared" si="2"/>
        <v>36.240367346938775</v>
      </c>
      <c r="O53" s="11">
        <f t="shared" si="3"/>
        <v>31.324493175702337</v>
      </c>
      <c r="P53" s="3" t="s">
        <v>176</v>
      </c>
      <c r="Q53" s="3" t="s">
        <v>178</v>
      </c>
    </row>
    <row r="54" spans="1:17" x14ac:dyDescent="0.25">
      <c r="A54" s="4">
        <v>45369</v>
      </c>
      <c r="B54" s="12">
        <v>254.4</v>
      </c>
      <c r="C54" s="12">
        <v>44.5</v>
      </c>
      <c r="D54" s="3">
        <v>17</v>
      </c>
      <c r="E54" s="12">
        <v>96.9</v>
      </c>
      <c r="F54" s="3">
        <v>108</v>
      </c>
      <c r="G54" s="3">
        <v>81</v>
      </c>
      <c r="H54" s="3">
        <v>69</v>
      </c>
      <c r="I54" s="12">
        <v>96.9</v>
      </c>
      <c r="J54" s="3">
        <v>140</v>
      </c>
      <c r="K54" s="3">
        <v>83</v>
      </c>
      <c r="L54" s="3">
        <v>65</v>
      </c>
      <c r="M54" s="12">
        <v>13</v>
      </c>
      <c r="N54" s="11">
        <f t="shared" si="2"/>
        <v>36.498612244897963</v>
      </c>
      <c r="O54" s="11">
        <f t="shared" si="3"/>
        <v>31.324493175702337</v>
      </c>
      <c r="P54" s="3" t="s">
        <v>176</v>
      </c>
      <c r="Q54" s="3" t="s">
        <v>178</v>
      </c>
    </row>
    <row r="55" spans="1:17" x14ac:dyDescent="0.25">
      <c r="A55" s="4">
        <v>45370</v>
      </c>
      <c r="B55" s="12">
        <v>252.8</v>
      </c>
      <c r="C55" s="12">
        <v>44.5</v>
      </c>
      <c r="D55" s="3">
        <v>17</v>
      </c>
      <c r="E55" s="12">
        <v>96</v>
      </c>
      <c r="F55" s="3">
        <v>142</v>
      </c>
      <c r="G55" s="3">
        <v>76</v>
      </c>
      <c r="H55" s="3">
        <v>64</v>
      </c>
      <c r="I55" s="12">
        <v>95.8</v>
      </c>
      <c r="J55" s="3">
        <v>133</v>
      </c>
      <c r="K55" s="3">
        <v>81</v>
      </c>
      <c r="L55" s="3">
        <v>63</v>
      </c>
      <c r="M55" s="12">
        <v>3.5</v>
      </c>
      <c r="N55" s="11">
        <f t="shared" si="2"/>
        <v>36.269061224489796</v>
      </c>
      <c r="O55" s="11">
        <f t="shared" si="3"/>
        <v>31.324493175702337</v>
      </c>
      <c r="P55" s="3" t="s">
        <v>176</v>
      </c>
      <c r="Q55" s="3" t="s">
        <v>178</v>
      </c>
    </row>
    <row r="56" spans="1:17" x14ac:dyDescent="0.25">
      <c r="A56" s="4">
        <v>45371</v>
      </c>
      <c r="B56" s="12">
        <v>253.2</v>
      </c>
      <c r="C56" s="12">
        <v>44</v>
      </c>
      <c r="D56" s="3">
        <v>17</v>
      </c>
      <c r="E56" s="12">
        <v>97.6</v>
      </c>
      <c r="F56" s="3">
        <v>128</v>
      </c>
      <c r="G56" s="3">
        <v>72</v>
      </c>
      <c r="H56" s="3">
        <v>78</v>
      </c>
      <c r="I56" s="12">
        <v>96.5</v>
      </c>
      <c r="J56" s="3">
        <v>142</v>
      </c>
      <c r="K56" s="3">
        <v>82</v>
      </c>
      <c r="L56" s="3">
        <v>54</v>
      </c>
      <c r="M56" s="12">
        <v>12</v>
      </c>
      <c r="N56" s="11">
        <f t="shared" si="2"/>
        <v>36.326448979591831</v>
      </c>
      <c r="O56" s="11">
        <f t="shared" si="3"/>
        <v>30.639085534675949</v>
      </c>
      <c r="P56" s="3" t="s">
        <v>176</v>
      </c>
      <c r="Q56" s="3" t="s">
        <v>178</v>
      </c>
    </row>
    <row r="57" spans="1:17" x14ac:dyDescent="0.25">
      <c r="A57" s="4">
        <v>45372</v>
      </c>
      <c r="B57" s="12">
        <v>251.6</v>
      </c>
      <c r="C57" s="12">
        <v>44</v>
      </c>
      <c r="D57" s="3">
        <v>17</v>
      </c>
      <c r="E57" s="12">
        <v>96.7</v>
      </c>
      <c r="F57" s="3">
        <v>134</v>
      </c>
      <c r="G57" s="3">
        <v>78</v>
      </c>
      <c r="H57" s="3">
        <v>64</v>
      </c>
      <c r="I57" s="12">
        <v>97.5</v>
      </c>
      <c r="J57" s="3">
        <v>134</v>
      </c>
      <c r="K57" s="3">
        <v>74</v>
      </c>
      <c r="L57" s="3">
        <v>80</v>
      </c>
      <c r="M57" s="12">
        <v>7</v>
      </c>
      <c r="N57" s="11">
        <f t="shared" si="2"/>
        <v>36.096897959183678</v>
      </c>
      <c r="O57" s="11">
        <f t="shared" si="3"/>
        <v>30.639085534675949</v>
      </c>
      <c r="P57" s="3" t="s">
        <v>176</v>
      </c>
      <c r="Q57" s="3" t="s">
        <v>178</v>
      </c>
    </row>
    <row r="58" spans="1:17" x14ac:dyDescent="0.25">
      <c r="A58" s="4">
        <v>45373</v>
      </c>
      <c r="B58" s="12">
        <v>251.4</v>
      </c>
      <c r="C58" s="12">
        <v>44</v>
      </c>
      <c r="D58" s="3">
        <v>17</v>
      </c>
      <c r="E58" s="12">
        <v>97</v>
      </c>
      <c r="F58" s="3">
        <v>134</v>
      </c>
      <c r="G58" s="3">
        <v>84</v>
      </c>
      <c r="H58" s="3">
        <v>78</v>
      </c>
      <c r="I58" s="12">
        <v>97.2</v>
      </c>
      <c r="J58" s="3">
        <v>126</v>
      </c>
      <c r="K58" s="3">
        <v>71</v>
      </c>
      <c r="L58" s="3">
        <v>70</v>
      </c>
      <c r="M58" s="12">
        <v>9.5</v>
      </c>
      <c r="N58" s="11">
        <f t="shared" si="2"/>
        <v>36.068204081632651</v>
      </c>
      <c r="O58" s="11">
        <f t="shared" si="3"/>
        <v>30.639085534675949</v>
      </c>
      <c r="P58" s="3" t="s">
        <v>176</v>
      </c>
      <c r="Q58" s="3" t="s">
        <v>176</v>
      </c>
    </row>
    <row r="59" spans="1:17" x14ac:dyDescent="0.25">
      <c r="A59" s="4">
        <v>45374</v>
      </c>
      <c r="B59" s="12">
        <v>250</v>
      </c>
      <c r="C59" s="12">
        <v>44</v>
      </c>
      <c r="D59" s="3">
        <v>17</v>
      </c>
      <c r="E59" s="12">
        <v>96.3</v>
      </c>
      <c r="F59" s="3">
        <v>136</v>
      </c>
      <c r="G59" s="3">
        <v>76</v>
      </c>
      <c r="H59" s="3">
        <v>61</v>
      </c>
      <c r="I59" s="12">
        <v>96.9</v>
      </c>
      <c r="J59" s="3">
        <v>156</v>
      </c>
      <c r="K59" s="3">
        <v>76</v>
      </c>
      <c r="L59" s="3">
        <v>60</v>
      </c>
      <c r="M59" s="12">
        <v>7</v>
      </c>
      <c r="N59" s="11">
        <f t="shared" si="2"/>
        <v>35.867346938775512</v>
      </c>
      <c r="O59" s="11">
        <f t="shared" si="3"/>
        <v>30.639085534675949</v>
      </c>
      <c r="P59" s="3" t="s">
        <v>176</v>
      </c>
      <c r="Q59" s="3" t="s">
        <v>178</v>
      </c>
    </row>
    <row r="60" spans="1:17" x14ac:dyDescent="0.25">
      <c r="A60" s="4">
        <v>45375</v>
      </c>
      <c r="B60" s="12">
        <v>249.6</v>
      </c>
      <c r="C60" s="12">
        <v>44</v>
      </c>
      <c r="D60" s="3">
        <v>17</v>
      </c>
      <c r="E60" s="12">
        <v>96.9</v>
      </c>
      <c r="F60" s="3">
        <v>146</v>
      </c>
      <c r="G60" s="3">
        <v>82</v>
      </c>
      <c r="H60" s="3">
        <v>62</v>
      </c>
      <c r="I60" s="12">
        <v>96.8</v>
      </c>
      <c r="J60" s="3">
        <v>153</v>
      </c>
      <c r="K60" s="3">
        <v>78</v>
      </c>
      <c r="L60" s="3">
        <v>65</v>
      </c>
      <c r="M60" s="12">
        <v>8</v>
      </c>
      <c r="N60" s="11">
        <f t="shared" si="2"/>
        <v>35.80995918367347</v>
      </c>
      <c r="O60" s="11">
        <f t="shared" si="3"/>
        <v>30.639085534675949</v>
      </c>
      <c r="P60" s="3" t="s">
        <v>176</v>
      </c>
      <c r="Q60" s="3" t="s">
        <v>178</v>
      </c>
    </row>
    <row r="61" spans="1:17" x14ac:dyDescent="0.25">
      <c r="A61" s="4">
        <v>45376</v>
      </c>
      <c r="B61" s="12">
        <v>249.2</v>
      </c>
      <c r="C61" s="12">
        <v>43.5</v>
      </c>
      <c r="D61" s="3">
        <v>17</v>
      </c>
      <c r="E61" s="12">
        <v>96</v>
      </c>
      <c r="F61" s="3">
        <v>131</v>
      </c>
      <c r="G61" s="3">
        <v>76</v>
      </c>
      <c r="H61" s="3">
        <v>63</v>
      </c>
      <c r="I61" s="12">
        <v>97.4</v>
      </c>
      <c r="J61" s="3">
        <v>148</v>
      </c>
      <c r="K61" s="3">
        <v>73</v>
      </c>
      <c r="L61" s="3">
        <v>66</v>
      </c>
      <c r="M61" s="12">
        <v>8.5</v>
      </c>
      <c r="N61" s="11">
        <f t="shared" si="2"/>
        <v>35.752571428571429</v>
      </c>
      <c r="O61" s="11">
        <f t="shared" si="3"/>
        <v>29.940865796666294</v>
      </c>
      <c r="P61" s="3" t="s">
        <v>176</v>
      </c>
      <c r="Q61" s="3" t="s">
        <v>178</v>
      </c>
    </row>
    <row r="62" spans="1:17" x14ac:dyDescent="0.25">
      <c r="A62" s="4">
        <v>45377</v>
      </c>
      <c r="B62" s="12">
        <v>248.4</v>
      </c>
      <c r="C62" s="12">
        <v>43.5</v>
      </c>
      <c r="D62" s="3">
        <v>17</v>
      </c>
      <c r="E62" s="12">
        <v>97.3</v>
      </c>
      <c r="F62" s="3">
        <v>144</v>
      </c>
      <c r="G62" s="3">
        <v>71</v>
      </c>
      <c r="H62" s="3">
        <v>65</v>
      </c>
      <c r="I62" s="12">
        <v>97.5</v>
      </c>
      <c r="J62" s="3">
        <v>130</v>
      </c>
      <c r="K62" s="3">
        <v>74</v>
      </c>
      <c r="L62" s="3">
        <v>73</v>
      </c>
      <c r="M62" s="12">
        <v>0</v>
      </c>
      <c r="N62" s="11">
        <f t="shared" si="2"/>
        <v>35.637795918367345</v>
      </c>
      <c r="O62" s="11">
        <f t="shared" si="3"/>
        <v>29.940865796666294</v>
      </c>
      <c r="P62" s="3" t="s">
        <v>176</v>
      </c>
      <c r="Q62" s="3" t="s">
        <v>178</v>
      </c>
    </row>
    <row r="63" spans="1:17" x14ac:dyDescent="0.25">
      <c r="A63" s="4">
        <v>45378</v>
      </c>
      <c r="B63" s="12">
        <v>247.6</v>
      </c>
      <c r="C63" s="12">
        <v>43.5</v>
      </c>
      <c r="D63" s="3">
        <v>16.5</v>
      </c>
      <c r="E63" s="12">
        <v>96</v>
      </c>
      <c r="F63" s="3">
        <v>147</v>
      </c>
      <c r="G63" s="3">
        <v>78</v>
      </c>
      <c r="H63" s="3">
        <v>62</v>
      </c>
      <c r="I63" s="12">
        <v>97.1</v>
      </c>
      <c r="J63" s="3">
        <v>143</v>
      </c>
      <c r="K63" s="3">
        <v>79</v>
      </c>
      <c r="L63" s="3">
        <v>71</v>
      </c>
      <c r="M63" s="12">
        <v>5.5</v>
      </c>
      <c r="N63" s="11">
        <f t="shared" si="2"/>
        <v>35.523020408163262</v>
      </c>
      <c r="O63" s="11">
        <f t="shared" si="3"/>
        <v>30.639085534675949</v>
      </c>
      <c r="P63" s="3" t="s">
        <v>176</v>
      </c>
      <c r="Q63" s="3" t="s">
        <v>178</v>
      </c>
    </row>
    <row r="64" spans="1:17" x14ac:dyDescent="0.25">
      <c r="A64" s="4">
        <v>45379</v>
      </c>
      <c r="B64" s="12">
        <v>246.6</v>
      </c>
      <c r="C64" s="12">
        <v>43.5</v>
      </c>
      <c r="D64" s="3">
        <v>16</v>
      </c>
      <c r="E64" s="12">
        <v>95.2</v>
      </c>
      <c r="F64" s="3">
        <v>140</v>
      </c>
      <c r="G64" s="3">
        <v>76</v>
      </c>
      <c r="H64" s="3">
        <v>64</v>
      </c>
      <c r="I64" s="12">
        <v>96.7</v>
      </c>
      <c r="J64" s="3">
        <v>136</v>
      </c>
      <c r="K64" s="3">
        <v>69</v>
      </c>
      <c r="L64" s="3">
        <v>75</v>
      </c>
      <c r="M64" s="12">
        <v>9</v>
      </c>
      <c r="N64" s="11">
        <f t="shared" si="2"/>
        <v>35.379551020408158</v>
      </c>
      <c r="O64" s="11">
        <f t="shared" si="3"/>
        <v>31.324493175702337</v>
      </c>
      <c r="P64" s="3" t="s">
        <v>176</v>
      </c>
      <c r="Q64" s="3" t="s">
        <v>178</v>
      </c>
    </row>
    <row r="65" spans="1:17" x14ac:dyDescent="0.25">
      <c r="A65" s="4">
        <v>45380</v>
      </c>
      <c r="B65" s="12">
        <v>246.6</v>
      </c>
      <c r="C65" s="12">
        <v>43</v>
      </c>
      <c r="D65" s="3">
        <v>16</v>
      </c>
      <c r="E65" s="12">
        <v>96.3</v>
      </c>
      <c r="F65" s="3">
        <v>134</v>
      </c>
      <c r="G65" s="3">
        <v>71</v>
      </c>
      <c r="H65" s="3">
        <v>66</v>
      </c>
      <c r="I65" s="12">
        <v>96.3</v>
      </c>
      <c r="J65" s="3">
        <v>144</v>
      </c>
      <c r="K65" s="3">
        <v>76</v>
      </c>
      <c r="L65" s="3">
        <v>70</v>
      </c>
      <c r="M65" s="12">
        <v>11</v>
      </c>
      <c r="N65" s="11">
        <f t="shared" si="2"/>
        <v>35.379551020408158</v>
      </c>
      <c r="O65" s="11">
        <f t="shared" si="3"/>
        <v>30.639085534675949</v>
      </c>
      <c r="P65" s="3" t="s">
        <v>176</v>
      </c>
      <c r="Q65" s="3" t="s">
        <v>178</v>
      </c>
    </row>
    <row r="66" spans="1:17" x14ac:dyDescent="0.25">
      <c r="A66" s="4">
        <v>45381</v>
      </c>
      <c r="B66" s="12">
        <v>247</v>
      </c>
      <c r="C66" s="12">
        <v>43</v>
      </c>
      <c r="D66" s="3">
        <v>16</v>
      </c>
      <c r="E66" s="12">
        <v>96.1</v>
      </c>
      <c r="F66" s="3">
        <v>128</v>
      </c>
      <c r="G66" s="3">
        <v>75</v>
      </c>
      <c r="H66" s="3">
        <v>65</v>
      </c>
      <c r="I66" s="12">
        <v>98.6</v>
      </c>
      <c r="J66" s="3">
        <v>137</v>
      </c>
      <c r="K66" s="3">
        <v>76</v>
      </c>
      <c r="L66" s="3">
        <v>99</v>
      </c>
      <c r="M66" s="12">
        <v>9</v>
      </c>
      <c r="N66" s="11">
        <f t="shared" si="2"/>
        <v>35.436938775510207</v>
      </c>
      <c r="O66" s="11">
        <f t="shared" si="3"/>
        <v>30.639085534675949</v>
      </c>
      <c r="P66" s="3" t="s">
        <v>178</v>
      </c>
      <c r="Q66" s="3" t="s">
        <v>178</v>
      </c>
    </row>
    <row r="67" spans="1:17" x14ac:dyDescent="0.25">
      <c r="A67" s="4">
        <v>45382</v>
      </c>
      <c r="B67" s="12">
        <v>250.8</v>
      </c>
      <c r="C67" s="12">
        <v>43.5</v>
      </c>
      <c r="D67" s="3">
        <v>16.5</v>
      </c>
      <c r="E67" s="12">
        <v>95.7</v>
      </c>
      <c r="F67" s="3">
        <v>146</v>
      </c>
      <c r="G67" s="3">
        <v>78</v>
      </c>
      <c r="H67" s="3">
        <v>80</v>
      </c>
      <c r="I67" s="12">
        <v>97</v>
      </c>
      <c r="J67" s="3">
        <v>149</v>
      </c>
      <c r="K67" s="3">
        <v>84</v>
      </c>
      <c r="L67" s="3">
        <v>73</v>
      </c>
      <c r="M67" s="12">
        <v>11</v>
      </c>
      <c r="N67" s="11">
        <f t="shared" si="2"/>
        <v>35.982122448979595</v>
      </c>
      <c r="O67" s="11">
        <f t="shared" si="3"/>
        <v>30.639085534675949</v>
      </c>
      <c r="P67" s="3" t="s">
        <v>176</v>
      </c>
      <c r="Q67" s="3" t="s">
        <v>176</v>
      </c>
    </row>
    <row r="68" spans="1:17" x14ac:dyDescent="0.25">
      <c r="A68" s="4">
        <v>45383</v>
      </c>
      <c r="B68" s="12">
        <v>249</v>
      </c>
      <c r="C68" s="12">
        <v>43.5</v>
      </c>
      <c r="D68" s="3">
        <v>16.5</v>
      </c>
      <c r="E68" s="12">
        <v>95.7</v>
      </c>
      <c r="F68" s="3">
        <v>124</v>
      </c>
      <c r="G68" s="3">
        <v>67</v>
      </c>
      <c r="H68" s="3">
        <v>79</v>
      </c>
      <c r="I68" s="12">
        <v>97.6</v>
      </c>
      <c r="J68" s="3">
        <v>135</v>
      </c>
      <c r="K68" s="3">
        <v>77</v>
      </c>
      <c r="L68" s="3">
        <v>70</v>
      </c>
      <c r="M68" s="12">
        <v>1</v>
      </c>
      <c r="N68" s="11">
        <f t="shared" si="2"/>
        <v>35.723877551020408</v>
      </c>
      <c r="O68" s="11">
        <f t="shared" si="3"/>
        <v>30.639085534675949</v>
      </c>
      <c r="P68" s="3" t="s">
        <v>176</v>
      </c>
      <c r="Q68" s="3" t="s">
        <v>176</v>
      </c>
    </row>
    <row r="69" spans="1:17" x14ac:dyDescent="0.25">
      <c r="A69" s="4">
        <v>45384</v>
      </c>
      <c r="B69" s="12">
        <v>248.8</v>
      </c>
      <c r="C69" s="12">
        <v>43.5</v>
      </c>
      <c r="D69" s="3">
        <v>16.5</v>
      </c>
      <c r="E69" s="12">
        <v>94.9</v>
      </c>
      <c r="F69" s="3">
        <v>128</v>
      </c>
      <c r="G69" s="3">
        <v>73</v>
      </c>
      <c r="H69" s="3">
        <v>61</v>
      </c>
      <c r="I69" s="12">
        <v>97</v>
      </c>
      <c r="J69" s="3">
        <v>129</v>
      </c>
      <c r="K69" s="3">
        <v>82</v>
      </c>
      <c r="L69" s="3">
        <v>70</v>
      </c>
      <c r="M69" s="12">
        <v>8</v>
      </c>
      <c r="N69" s="11">
        <f t="shared" si="2"/>
        <v>35.695183673469387</v>
      </c>
      <c r="O69" s="11">
        <f t="shared" si="3"/>
        <v>30.639085534675949</v>
      </c>
      <c r="P69" s="3" t="s">
        <v>176</v>
      </c>
      <c r="Q69" s="3" t="s">
        <v>176</v>
      </c>
    </row>
    <row r="70" spans="1:17" x14ac:dyDescent="0.25">
      <c r="A70" s="4">
        <v>45385</v>
      </c>
      <c r="B70" s="12">
        <v>252.4</v>
      </c>
      <c r="C70" s="12">
        <v>44</v>
      </c>
      <c r="D70" s="3">
        <v>16.5</v>
      </c>
      <c r="E70" s="12">
        <v>96.1</v>
      </c>
      <c r="F70" s="3">
        <v>123</v>
      </c>
      <c r="G70" s="3">
        <v>79</v>
      </c>
      <c r="H70" s="3">
        <v>70</v>
      </c>
      <c r="I70" s="12">
        <v>96.4</v>
      </c>
      <c r="J70" s="3">
        <v>144</v>
      </c>
      <c r="K70" s="3">
        <v>77</v>
      </c>
      <c r="L70" s="3">
        <v>62</v>
      </c>
      <c r="M70" s="12">
        <v>11</v>
      </c>
      <c r="N70" s="11">
        <f t="shared" si="2"/>
        <v>36.211673469387755</v>
      </c>
      <c r="O70" s="11">
        <f t="shared" si="3"/>
        <v>31.324493175702337</v>
      </c>
      <c r="P70" s="3" t="s">
        <v>176</v>
      </c>
      <c r="Q70" s="3" t="s">
        <v>178</v>
      </c>
    </row>
    <row r="71" spans="1:17" x14ac:dyDescent="0.25">
      <c r="A71" s="4">
        <v>45386</v>
      </c>
      <c r="B71" s="12">
        <v>249.6</v>
      </c>
      <c r="C71" s="12">
        <v>43.5</v>
      </c>
      <c r="D71" s="3">
        <v>16.5</v>
      </c>
      <c r="E71" s="12">
        <v>96.4</v>
      </c>
      <c r="F71" s="3">
        <v>141</v>
      </c>
      <c r="G71" s="3">
        <v>80</v>
      </c>
      <c r="H71" s="3">
        <v>71</v>
      </c>
      <c r="I71" s="12">
        <v>97</v>
      </c>
      <c r="J71" s="3">
        <v>132</v>
      </c>
      <c r="K71" s="3">
        <v>72</v>
      </c>
      <c r="L71" s="3">
        <v>62</v>
      </c>
      <c r="M71" s="12">
        <v>8</v>
      </c>
      <c r="N71" s="11">
        <f t="shared" si="2"/>
        <v>35.80995918367347</v>
      </c>
      <c r="O71" s="11">
        <f t="shared" si="3"/>
        <v>30.639085534675949</v>
      </c>
      <c r="P71" s="3" t="s">
        <v>176</v>
      </c>
      <c r="Q71" s="3" t="s">
        <v>178</v>
      </c>
    </row>
    <row r="72" spans="1:17" x14ac:dyDescent="0.25">
      <c r="A72" s="4">
        <v>45387</v>
      </c>
      <c r="B72" s="12">
        <v>247.4</v>
      </c>
      <c r="C72" s="12">
        <v>43.5</v>
      </c>
      <c r="D72" s="3">
        <v>16.5</v>
      </c>
      <c r="E72" s="12">
        <v>96.8</v>
      </c>
      <c r="F72" s="3">
        <v>143</v>
      </c>
      <c r="G72" s="3">
        <v>72</v>
      </c>
      <c r="H72" s="3">
        <v>69</v>
      </c>
      <c r="I72" s="12">
        <v>96.9</v>
      </c>
      <c r="J72" s="3">
        <v>137</v>
      </c>
      <c r="K72" s="3">
        <v>75</v>
      </c>
      <c r="L72" s="3">
        <v>63</v>
      </c>
      <c r="M72" s="12">
        <v>9</v>
      </c>
      <c r="N72" s="11">
        <f t="shared" ref="N72:N103" si="4">(B72/4900)*703</f>
        <v>35.494326530612248</v>
      </c>
      <c r="O72" s="11">
        <f t="shared" ref="O72:O103" si="5">(86.01*LOG10(C72-D72))-(70.041*LOG10(70))+36.76</f>
        <v>30.639085534675949</v>
      </c>
      <c r="P72" s="3" t="s">
        <v>176</v>
      </c>
      <c r="Q72" s="3" t="s">
        <v>178</v>
      </c>
    </row>
    <row r="73" spans="1:17" x14ac:dyDescent="0.25">
      <c r="A73" s="4">
        <v>45388</v>
      </c>
      <c r="B73" s="12">
        <v>245.8</v>
      </c>
      <c r="C73" s="12">
        <v>43</v>
      </c>
      <c r="D73" s="3">
        <v>16.5</v>
      </c>
      <c r="E73" s="12">
        <v>96.2</v>
      </c>
      <c r="F73" s="3">
        <v>128</v>
      </c>
      <c r="G73" s="3">
        <v>77</v>
      </c>
      <c r="H73" s="3">
        <v>63</v>
      </c>
      <c r="I73" s="12">
        <v>98.3</v>
      </c>
      <c r="J73" s="3">
        <v>160</v>
      </c>
      <c r="K73" s="3">
        <v>76</v>
      </c>
      <c r="L73" s="3">
        <v>94</v>
      </c>
      <c r="M73" s="12">
        <v>7</v>
      </c>
      <c r="N73" s="11">
        <f t="shared" si="4"/>
        <v>35.264775510204082</v>
      </c>
      <c r="O73" s="11">
        <f t="shared" si="5"/>
        <v>29.940865796666294</v>
      </c>
      <c r="P73" s="3" t="s">
        <v>178</v>
      </c>
      <c r="Q73" s="3" t="s">
        <v>178</v>
      </c>
    </row>
    <row r="74" spans="1:17" x14ac:dyDescent="0.25">
      <c r="A74" s="4">
        <v>45389</v>
      </c>
      <c r="B74" s="12">
        <v>252</v>
      </c>
      <c r="C74" s="12">
        <v>43</v>
      </c>
      <c r="D74" s="3">
        <v>16.5</v>
      </c>
      <c r="E74" s="12">
        <v>96.5</v>
      </c>
      <c r="F74" s="3">
        <v>131</v>
      </c>
      <c r="G74" s="3">
        <v>76</v>
      </c>
      <c r="H74" s="3">
        <v>68</v>
      </c>
      <c r="I74" s="12">
        <v>97.2</v>
      </c>
      <c r="J74" s="3">
        <v>135</v>
      </c>
      <c r="K74" s="3">
        <v>76</v>
      </c>
      <c r="L74" s="3">
        <v>72</v>
      </c>
      <c r="M74" s="12">
        <v>4</v>
      </c>
      <c r="N74" s="11">
        <f t="shared" si="4"/>
        <v>36.154285714285713</v>
      </c>
      <c r="O74" s="11">
        <f t="shared" si="5"/>
        <v>29.940865796666294</v>
      </c>
      <c r="P74" s="3" t="s">
        <v>178</v>
      </c>
      <c r="Q74" s="3" t="s">
        <v>178</v>
      </c>
    </row>
    <row r="75" spans="1:17" x14ac:dyDescent="0.25">
      <c r="A75" s="4">
        <v>45390</v>
      </c>
      <c r="B75" s="12">
        <v>252</v>
      </c>
      <c r="C75" s="12">
        <v>43</v>
      </c>
      <c r="D75" s="3">
        <v>16.5</v>
      </c>
      <c r="E75" s="12">
        <v>96.5</v>
      </c>
      <c r="F75" s="3">
        <v>132</v>
      </c>
      <c r="G75" s="3">
        <v>77</v>
      </c>
      <c r="H75" s="3">
        <v>69</v>
      </c>
      <c r="I75" s="12">
        <v>97.3</v>
      </c>
      <c r="J75" s="3">
        <v>136</v>
      </c>
      <c r="K75" s="3">
        <v>77</v>
      </c>
      <c r="L75" s="3">
        <v>73</v>
      </c>
      <c r="M75" s="12">
        <v>4</v>
      </c>
      <c r="N75" s="11">
        <f t="shared" si="4"/>
        <v>36.154285714285713</v>
      </c>
      <c r="O75" s="11">
        <f t="shared" si="5"/>
        <v>29.940865796666294</v>
      </c>
      <c r="P75" s="3" t="s">
        <v>178</v>
      </c>
      <c r="Q75" s="3" t="s">
        <v>178</v>
      </c>
    </row>
    <row r="76" spans="1:17" x14ac:dyDescent="0.25">
      <c r="A76" s="4">
        <v>45391</v>
      </c>
      <c r="B76" s="12">
        <v>253.4</v>
      </c>
      <c r="C76" s="12">
        <v>44</v>
      </c>
      <c r="D76" s="3">
        <v>16.5</v>
      </c>
      <c r="E76" s="12">
        <v>96.9</v>
      </c>
      <c r="F76" s="3">
        <v>137</v>
      </c>
      <c r="G76" s="3">
        <v>75</v>
      </c>
      <c r="H76" s="3">
        <v>63</v>
      </c>
      <c r="I76" s="12">
        <v>96.7</v>
      </c>
      <c r="J76" s="3">
        <v>132</v>
      </c>
      <c r="K76" s="3">
        <v>83</v>
      </c>
      <c r="L76" s="3">
        <v>66</v>
      </c>
      <c r="M76" s="12">
        <v>11</v>
      </c>
      <c r="N76" s="11">
        <f t="shared" si="4"/>
        <v>36.355142857142859</v>
      </c>
      <c r="O76" s="11">
        <f t="shared" si="5"/>
        <v>31.324493175702337</v>
      </c>
      <c r="P76" s="3" t="s">
        <v>176</v>
      </c>
      <c r="Q76" s="3" t="s">
        <v>176</v>
      </c>
    </row>
    <row r="77" spans="1:17" x14ac:dyDescent="0.25">
      <c r="A77" s="4">
        <v>45392</v>
      </c>
      <c r="B77" s="12">
        <v>249.6</v>
      </c>
      <c r="C77" s="12">
        <v>43.5</v>
      </c>
      <c r="D77" s="3">
        <v>16.5</v>
      </c>
      <c r="E77" s="12">
        <v>96.4</v>
      </c>
      <c r="F77" s="3">
        <v>133</v>
      </c>
      <c r="G77" s="3">
        <v>78</v>
      </c>
      <c r="H77" s="3">
        <v>68</v>
      </c>
      <c r="I77" s="12">
        <v>96.8</v>
      </c>
      <c r="J77" s="3">
        <v>132</v>
      </c>
      <c r="K77" s="3">
        <v>74</v>
      </c>
      <c r="L77" s="3">
        <v>67</v>
      </c>
      <c r="M77" s="12">
        <v>9.5</v>
      </c>
      <c r="N77" s="11">
        <f t="shared" si="4"/>
        <v>35.80995918367347</v>
      </c>
      <c r="O77" s="11">
        <f t="shared" si="5"/>
        <v>30.639085534675949</v>
      </c>
      <c r="P77" s="3" t="s">
        <v>176</v>
      </c>
      <c r="Q77" s="3" t="s">
        <v>176</v>
      </c>
    </row>
    <row r="78" spans="1:17" x14ac:dyDescent="0.25">
      <c r="A78" s="4">
        <v>45393</v>
      </c>
      <c r="B78" s="12">
        <v>248.8</v>
      </c>
      <c r="C78" s="12">
        <v>43</v>
      </c>
      <c r="D78" s="3">
        <v>16.5</v>
      </c>
      <c r="E78" s="12">
        <v>95.7</v>
      </c>
      <c r="F78" s="3">
        <v>133</v>
      </c>
      <c r="G78" s="3">
        <v>74</v>
      </c>
      <c r="H78" s="3">
        <v>61</v>
      </c>
      <c r="I78" s="12">
        <v>97.4</v>
      </c>
      <c r="J78" s="3">
        <v>126</v>
      </c>
      <c r="K78" s="3">
        <v>75</v>
      </c>
      <c r="L78" s="3">
        <v>67</v>
      </c>
      <c r="M78" s="12">
        <v>3</v>
      </c>
      <c r="N78" s="11">
        <f t="shared" si="4"/>
        <v>35.695183673469387</v>
      </c>
      <c r="O78" s="11">
        <f t="shared" si="5"/>
        <v>29.940865796666294</v>
      </c>
      <c r="P78" s="3" t="s">
        <v>176</v>
      </c>
      <c r="Q78" s="3" t="s">
        <v>178</v>
      </c>
    </row>
    <row r="79" spans="1:17" x14ac:dyDescent="0.25">
      <c r="A79" s="4">
        <v>45394</v>
      </c>
      <c r="B79" s="12">
        <v>248</v>
      </c>
      <c r="C79" s="12">
        <v>43.5</v>
      </c>
      <c r="D79" s="3">
        <v>16.5</v>
      </c>
      <c r="E79" s="12">
        <v>95.5</v>
      </c>
      <c r="F79" s="3">
        <v>128</v>
      </c>
      <c r="G79" s="3">
        <v>72</v>
      </c>
      <c r="H79" s="3">
        <v>61</v>
      </c>
      <c r="I79" s="12">
        <v>97.5</v>
      </c>
      <c r="J79" s="3">
        <v>133</v>
      </c>
      <c r="K79" s="3">
        <v>75</v>
      </c>
      <c r="L79" s="3">
        <v>69</v>
      </c>
      <c r="M79" s="12">
        <v>2</v>
      </c>
      <c r="N79" s="11">
        <f t="shared" si="4"/>
        <v>35.580408163265311</v>
      </c>
      <c r="O79" s="11">
        <f t="shared" si="5"/>
        <v>30.639085534675949</v>
      </c>
      <c r="P79" s="3" t="s">
        <v>176</v>
      </c>
      <c r="Q79" s="3" t="s">
        <v>176</v>
      </c>
    </row>
    <row r="80" spans="1:17" x14ac:dyDescent="0.25">
      <c r="A80" s="4">
        <v>45395</v>
      </c>
      <c r="B80" s="12">
        <v>246.6</v>
      </c>
      <c r="C80" s="12">
        <v>43.5</v>
      </c>
      <c r="D80" s="3">
        <v>16.5</v>
      </c>
      <c r="E80" s="12">
        <v>96.7</v>
      </c>
      <c r="F80" s="3">
        <v>142</v>
      </c>
      <c r="G80" s="3">
        <v>71</v>
      </c>
      <c r="H80" s="3">
        <v>70</v>
      </c>
      <c r="I80" s="12">
        <v>97.2</v>
      </c>
      <c r="J80" s="3">
        <v>133</v>
      </c>
      <c r="K80" s="3">
        <v>73</v>
      </c>
      <c r="L80" s="3">
        <v>62</v>
      </c>
      <c r="M80" s="12">
        <v>0.5</v>
      </c>
      <c r="N80" s="11">
        <f t="shared" si="4"/>
        <v>35.379551020408158</v>
      </c>
      <c r="O80" s="11">
        <f t="shared" si="5"/>
        <v>30.639085534675949</v>
      </c>
      <c r="P80" s="3" t="s">
        <v>176</v>
      </c>
      <c r="Q80" s="3" t="s">
        <v>178</v>
      </c>
    </row>
    <row r="81" spans="1:17" x14ac:dyDescent="0.25">
      <c r="A81" s="4">
        <v>45396</v>
      </c>
      <c r="B81" s="12">
        <v>250.8</v>
      </c>
      <c r="C81" s="12">
        <v>43.5</v>
      </c>
      <c r="D81" s="3">
        <v>16.5</v>
      </c>
      <c r="E81" s="12">
        <v>96</v>
      </c>
      <c r="F81" s="3">
        <v>112</v>
      </c>
      <c r="G81" s="3">
        <v>76</v>
      </c>
      <c r="H81" s="3">
        <v>60</v>
      </c>
      <c r="I81" s="12">
        <v>97.2</v>
      </c>
      <c r="J81" s="3">
        <v>135</v>
      </c>
      <c r="K81" s="3">
        <v>76</v>
      </c>
      <c r="L81" s="3">
        <v>72</v>
      </c>
      <c r="M81" s="12">
        <v>3</v>
      </c>
      <c r="N81" s="11">
        <f t="shared" si="4"/>
        <v>35.982122448979595</v>
      </c>
      <c r="O81" s="11">
        <f t="shared" si="5"/>
        <v>30.639085534675949</v>
      </c>
      <c r="P81" s="3" t="s">
        <v>178</v>
      </c>
      <c r="Q81" s="3" t="s">
        <v>178</v>
      </c>
    </row>
    <row r="82" spans="1:17" x14ac:dyDescent="0.25">
      <c r="A82" s="4">
        <v>45397</v>
      </c>
      <c r="B82" s="12">
        <v>251.8</v>
      </c>
      <c r="C82" s="12">
        <v>43.5</v>
      </c>
      <c r="D82" s="3">
        <v>16.5</v>
      </c>
      <c r="E82" s="12">
        <v>97.5</v>
      </c>
      <c r="F82" s="16">
        <v>127</v>
      </c>
      <c r="G82" s="3">
        <v>70</v>
      </c>
      <c r="H82" s="3">
        <v>86</v>
      </c>
      <c r="I82" s="12">
        <v>97.5</v>
      </c>
      <c r="J82" s="3">
        <v>134</v>
      </c>
      <c r="K82" s="3">
        <v>74</v>
      </c>
      <c r="L82" s="3">
        <v>70</v>
      </c>
      <c r="M82" s="12">
        <v>7</v>
      </c>
      <c r="N82" s="11">
        <f t="shared" si="4"/>
        <v>36.125591836734699</v>
      </c>
      <c r="O82" s="11">
        <f t="shared" si="5"/>
        <v>30.639085534675949</v>
      </c>
      <c r="P82" s="3" t="s">
        <v>176</v>
      </c>
      <c r="Q82" s="3" t="s">
        <v>178</v>
      </c>
    </row>
    <row r="83" spans="1:17" x14ac:dyDescent="0.25">
      <c r="A83" s="4">
        <v>45398</v>
      </c>
      <c r="B83" s="12">
        <v>252.6</v>
      </c>
      <c r="C83" s="12">
        <v>43</v>
      </c>
      <c r="D83" s="3">
        <v>16.5</v>
      </c>
      <c r="E83" s="12">
        <v>96.2</v>
      </c>
      <c r="F83" s="3">
        <v>141</v>
      </c>
      <c r="G83" s="3">
        <v>80</v>
      </c>
      <c r="H83" s="3">
        <v>66</v>
      </c>
      <c r="I83" s="12">
        <v>97.3</v>
      </c>
      <c r="J83" s="3">
        <v>138</v>
      </c>
      <c r="K83" s="3">
        <v>81</v>
      </c>
      <c r="L83" s="3">
        <v>78</v>
      </c>
      <c r="M83" s="12">
        <v>7</v>
      </c>
      <c r="N83" s="11">
        <f t="shared" si="4"/>
        <v>36.240367346938775</v>
      </c>
      <c r="O83" s="11">
        <f t="shared" si="5"/>
        <v>29.940865796666294</v>
      </c>
      <c r="P83" s="3" t="s">
        <v>176</v>
      </c>
      <c r="Q83" s="3" t="s">
        <v>178</v>
      </c>
    </row>
    <row r="84" spans="1:17" x14ac:dyDescent="0.25">
      <c r="A84" s="4">
        <v>45399</v>
      </c>
      <c r="B84" s="12">
        <v>249.2</v>
      </c>
      <c r="C84" s="12">
        <v>43.5</v>
      </c>
      <c r="D84" s="3">
        <v>16.5</v>
      </c>
      <c r="E84" s="12">
        <v>96.3</v>
      </c>
      <c r="F84" s="3">
        <v>124</v>
      </c>
      <c r="G84" s="3">
        <v>67</v>
      </c>
      <c r="H84" s="3">
        <v>65</v>
      </c>
      <c r="I84" s="12">
        <v>97.1</v>
      </c>
      <c r="J84" s="3">
        <v>132</v>
      </c>
      <c r="K84" s="3">
        <v>82</v>
      </c>
      <c r="L84" s="3">
        <v>69</v>
      </c>
      <c r="M84" s="12">
        <v>8</v>
      </c>
      <c r="N84" s="11">
        <f t="shared" si="4"/>
        <v>35.752571428571429</v>
      </c>
      <c r="O84" s="11">
        <f t="shared" si="5"/>
        <v>30.639085534675949</v>
      </c>
      <c r="P84" s="3" t="s">
        <v>176</v>
      </c>
      <c r="Q84" s="3" t="s">
        <v>178</v>
      </c>
    </row>
    <row r="85" spans="1:17" x14ac:dyDescent="0.25">
      <c r="A85" s="4">
        <v>45400</v>
      </c>
      <c r="B85" s="12">
        <v>248.6</v>
      </c>
      <c r="C85" s="12">
        <v>43.5</v>
      </c>
      <c r="D85" s="3">
        <v>16.5</v>
      </c>
      <c r="E85" s="12">
        <v>96.8</v>
      </c>
      <c r="F85" s="3">
        <v>136</v>
      </c>
      <c r="G85" s="3">
        <v>76</v>
      </c>
      <c r="H85" s="3">
        <v>75</v>
      </c>
      <c r="I85" s="12">
        <v>97.2</v>
      </c>
      <c r="J85" s="3">
        <v>135</v>
      </c>
      <c r="K85" s="3">
        <v>76</v>
      </c>
      <c r="L85" s="3">
        <v>72</v>
      </c>
      <c r="M85" s="12">
        <v>2</v>
      </c>
      <c r="N85" s="11">
        <f t="shared" si="4"/>
        <v>35.666489795918366</v>
      </c>
      <c r="O85" s="11">
        <f t="shared" si="5"/>
        <v>30.639085534675949</v>
      </c>
      <c r="P85" s="3" t="s">
        <v>178</v>
      </c>
      <c r="Q85" s="3" t="s">
        <v>178</v>
      </c>
    </row>
    <row r="86" spans="1:17" x14ac:dyDescent="0.25">
      <c r="A86" s="4">
        <v>45401</v>
      </c>
      <c r="B86" s="12">
        <v>250</v>
      </c>
      <c r="C86" s="12">
        <v>43.5</v>
      </c>
      <c r="D86" s="3">
        <v>16.5</v>
      </c>
      <c r="E86" s="12">
        <v>96.9</v>
      </c>
      <c r="F86" s="3">
        <v>131</v>
      </c>
      <c r="G86" s="3">
        <v>74</v>
      </c>
      <c r="H86" s="3">
        <v>66</v>
      </c>
      <c r="I86" s="12">
        <v>97.3</v>
      </c>
      <c r="J86" s="3">
        <v>136</v>
      </c>
      <c r="K86" s="3">
        <v>77</v>
      </c>
      <c r="L86" s="3">
        <v>73</v>
      </c>
      <c r="M86" s="12">
        <v>9</v>
      </c>
      <c r="N86" s="11">
        <f t="shared" si="4"/>
        <v>35.867346938775512</v>
      </c>
      <c r="O86" s="11">
        <f t="shared" si="5"/>
        <v>30.639085534675949</v>
      </c>
      <c r="P86" s="3" t="s">
        <v>176</v>
      </c>
      <c r="Q86" s="3" t="s">
        <v>176</v>
      </c>
    </row>
    <row r="87" spans="1:17" x14ac:dyDescent="0.25">
      <c r="A87" s="4">
        <v>45402</v>
      </c>
      <c r="B87" s="12">
        <v>251</v>
      </c>
      <c r="C87" s="12">
        <v>43.5</v>
      </c>
      <c r="D87" s="3">
        <v>16.5</v>
      </c>
      <c r="E87" s="12">
        <v>96.8</v>
      </c>
      <c r="F87" s="3">
        <v>136</v>
      </c>
      <c r="G87" s="3">
        <v>77</v>
      </c>
      <c r="H87" s="3">
        <v>76</v>
      </c>
      <c r="I87" s="12">
        <v>97.3</v>
      </c>
      <c r="J87" s="3">
        <v>135</v>
      </c>
      <c r="K87" s="3">
        <v>76</v>
      </c>
      <c r="L87" s="3">
        <v>72</v>
      </c>
      <c r="M87" s="12">
        <v>10</v>
      </c>
      <c r="N87" s="11">
        <f t="shared" si="4"/>
        <v>36.010816326530609</v>
      </c>
      <c r="O87" s="11">
        <f t="shared" si="5"/>
        <v>30.639085534675949</v>
      </c>
      <c r="P87" s="3" t="s">
        <v>178</v>
      </c>
      <c r="Q87" s="3" t="s">
        <v>178</v>
      </c>
    </row>
    <row r="88" spans="1:17" x14ac:dyDescent="0.25">
      <c r="A88" s="4">
        <v>45403</v>
      </c>
      <c r="B88" s="12">
        <v>254.8</v>
      </c>
      <c r="C88" s="12">
        <v>43.5</v>
      </c>
      <c r="D88" s="3">
        <v>16.5</v>
      </c>
      <c r="E88" s="12">
        <v>96.5</v>
      </c>
      <c r="F88" s="3">
        <v>131</v>
      </c>
      <c r="G88" s="3">
        <v>76</v>
      </c>
      <c r="H88" s="3">
        <v>68</v>
      </c>
      <c r="I88" s="12">
        <v>97.2</v>
      </c>
      <c r="J88" s="3">
        <v>136</v>
      </c>
      <c r="K88" s="3">
        <v>77</v>
      </c>
      <c r="L88" s="3">
        <v>73</v>
      </c>
      <c r="M88" s="12">
        <v>10</v>
      </c>
      <c r="N88" s="11">
        <f t="shared" si="4"/>
        <v>36.556000000000004</v>
      </c>
      <c r="O88" s="11">
        <f t="shared" si="5"/>
        <v>30.639085534675949</v>
      </c>
      <c r="P88" s="3" t="s">
        <v>178</v>
      </c>
      <c r="Q88" s="3" t="s">
        <v>178</v>
      </c>
    </row>
    <row r="89" spans="1:17" x14ac:dyDescent="0.25">
      <c r="A89" s="4">
        <v>45404</v>
      </c>
      <c r="B89" s="12">
        <v>258</v>
      </c>
      <c r="C89" s="12">
        <v>43.5</v>
      </c>
      <c r="D89" s="3">
        <v>16.5</v>
      </c>
      <c r="E89" s="12">
        <v>96.2</v>
      </c>
      <c r="F89" s="3">
        <v>130</v>
      </c>
      <c r="G89" s="3">
        <v>78</v>
      </c>
      <c r="H89" s="3">
        <v>72</v>
      </c>
      <c r="I89" s="12">
        <v>97.6</v>
      </c>
      <c r="J89" s="3">
        <v>130</v>
      </c>
      <c r="K89" s="3">
        <v>72</v>
      </c>
      <c r="L89" s="3">
        <v>69</v>
      </c>
      <c r="M89" s="12">
        <v>8</v>
      </c>
      <c r="N89" s="11">
        <f t="shared" si="4"/>
        <v>37.015102040816323</v>
      </c>
      <c r="O89" s="11">
        <f t="shared" si="5"/>
        <v>30.639085534675949</v>
      </c>
      <c r="P89" s="3" t="s">
        <v>178</v>
      </c>
      <c r="Q89" s="3" t="s">
        <v>178</v>
      </c>
    </row>
    <row r="90" spans="1:17" x14ac:dyDescent="0.25">
      <c r="A90" s="4">
        <v>45405</v>
      </c>
      <c r="B90" s="12">
        <v>254.4</v>
      </c>
      <c r="C90" s="12">
        <v>43.5</v>
      </c>
      <c r="D90" s="3">
        <v>16.5</v>
      </c>
      <c r="E90" s="12">
        <v>96.8</v>
      </c>
      <c r="F90" s="3">
        <v>132</v>
      </c>
      <c r="G90" s="3">
        <v>72</v>
      </c>
      <c r="H90" s="3">
        <v>64</v>
      </c>
      <c r="I90" s="12">
        <v>96.2</v>
      </c>
      <c r="J90" s="3">
        <v>119</v>
      </c>
      <c r="K90" s="3">
        <v>73</v>
      </c>
      <c r="L90" s="3">
        <v>63</v>
      </c>
      <c r="M90" s="12">
        <v>10</v>
      </c>
      <c r="N90" s="11">
        <f t="shared" si="4"/>
        <v>36.498612244897963</v>
      </c>
      <c r="O90" s="11">
        <f t="shared" si="5"/>
        <v>30.639085534675949</v>
      </c>
      <c r="P90" s="3" t="s">
        <v>176</v>
      </c>
      <c r="Q90" s="3" t="s">
        <v>176</v>
      </c>
    </row>
    <row r="91" spans="1:17" x14ac:dyDescent="0.25">
      <c r="A91" s="4">
        <v>45406</v>
      </c>
      <c r="B91" s="12">
        <v>253</v>
      </c>
      <c r="C91" s="12">
        <v>44</v>
      </c>
      <c r="D91" s="3">
        <v>16.5</v>
      </c>
      <c r="E91" s="12">
        <v>95.8</v>
      </c>
      <c r="F91" s="3">
        <v>141</v>
      </c>
      <c r="G91" s="3">
        <v>77</v>
      </c>
      <c r="H91" s="3">
        <v>68</v>
      </c>
      <c r="I91" s="12">
        <v>97.3</v>
      </c>
      <c r="J91" s="3">
        <v>128</v>
      </c>
      <c r="K91" s="3">
        <v>74</v>
      </c>
      <c r="L91" s="3">
        <v>77</v>
      </c>
      <c r="M91" s="12">
        <v>5</v>
      </c>
      <c r="N91" s="11">
        <f t="shared" si="4"/>
        <v>36.297755102040817</v>
      </c>
      <c r="O91" s="11">
        <f t="shared" si="5"/>
        <v>31.324493175702337</v>
      </c>
      <c r="P91" s="3" t="s">
        <v>176</v>
      </c>
      <c r="Q91" s="3" t="s">
        <v>176</v>
      </c>
    </row>
    <row r="92" spans="1:17" x14ac:dyDescent="0.25">
      <c r="A92" s="4">
        <v>45407</v>
      </c>
      <c r="B92" s="12">
        <v>254.4</v>
      </c>
      <c r="C92" s="12">
        <v>43.5</v>
      </c>
      <c r="D92" s="3">
        <v>16.5</v>
      </c>
      <c r="E92" s="12">
        <v>95.9</v>
      </c>
      <c r="F92" s="3">
        <v>140</v>
      </c>
      <c r="G92" s="3">
        <v>74</v>
      </c>
      <c r="H92" s="3">
        <v>72</v>
      </c>
      <c r="I92" s="12">
        <v>97.2</v>
      </c>
      <c r="J92" s="3">
        <v>120</v>
      </c>
      <c r="K92" s="3">
        <v>78</v>
      </c>
      <c r="L92" s="3">
        <v>72</v>
      </c>
      <c r="M92" s="12">
        <v>7</v>
      </c>
      <c r="N92" s="11">
        <f t="shared" si="4"/>
        <v>36.498612244897963</v>
      </c>
      <c r="O92" s="11">
        <f t="shared" si="5"/>
        <v>30.639085534675949</v>
      </c>
      <c r="P92" s="3" t="s">
        <v>176</v>
      </c>
      <c r="Q92" s="3" t="s">
        <v>178</v>
      </c>
    </row>
    <row r="93" spans="1:17" x14ac:dyDescent="0.25">
      <c r="A93" s="4">
        <v>45408</v>
      </c>
      <c r="B93" s="12">
        <v>252.4</v>
      </c>
      <c r="C93" s="12">
        <v>43.5</v>
      </c>
      <c r="D93" s="3">
        <v>16.5</v>
      </c>
      <c r="E93" s="12">
        <v>95.9</v>
      </c>
      <c r="F93" s="3">
        <v>135</v>
      </c>
      <c r="G93" s="3">
        <v>76</v>
      </c>
      <c r="H93" s="3">
        <v>74</v>
      </c>
      <c r="I93" s="12">
        <v>96.2</v>
      </c>
      <c r="J93" s="3">
        <v>148</v>
      </c>
      <c r="K93" s="3">
        <v>80</v>
      </c>
      <c r="L93" s="3">
        <v>77</v>
      </c>
      <c r="M93" s="12">
        <v>5</v>
      </c>
      <c r="N93" s="11">
        <f t="shared" si="4"/>
        <v>36.211673469387755</v>
      </c>
      <c r="O93" s="11">
        <f t="shared" si="5"/>
        <v>30.639085534675949</v>
      </c>
      <c r="P93" s="3" t="s">
        <v>178</v>
      </c>
      <c r="Q93" s="3" t="s">
        <v>178</v>
      </c>
    </row>
    <row r="94" spans="1:17" x14ac:dyDescent="0.25">
      <c r="A94" s="4">
        <v>45409</v>
      </c>
      <c r="B94" s="12">
        <v>255.8</v>
      </c>
      <c r="C94" s="12">
        <v>44</v>
      </c>
      <c r="D94" s="3">
        <v>16.5</v>
      </c>
      <c r="E94" s="12">
        <v>98</v>
      </c>
      <c r="F94" s="3">
        <v>159</v>
      </c>
      <c r="G94" s="3">
        <v>83</v>
      </c>
      <c r="H94" s="3">
        <v>87</v>
      </c>
      <c r="I94" s="12">
        <v>96.9</v>
      </c>
      <c r="J94" s="3">
        <v>148</v>
      </c>
      <c r="K94" s="3">
        <v>81</v>
      </c>
      <c r="L94" s="3">
        <v>82</v>
      </c>
      <c r="M94" s="12">
        <v>8</v>
      </c>
      <c r="N94" s="11">
        <f t="shared" si="4"/>
        <v>36.699469387755101</v>
      </c>
      <c r="O94" s="11">
        <f t="shared" si="5"/>
        <v>31.324493175702337</v>
      </c>
      <c r="P94" s="3" t="s">
        <v>178</v>
      </c>
      <c r="Q94" s="3" t="s">
        <v>178</v>
      </c>
    </row>
    <row r="95" spans="1:17" x14ac:dyDescent="0.25">
      <c r="A95" s="4">
        <v>45410</v>
      </c>
      <c r="B95" s="12">
        <v>255.6</v>
      </c>
      <c r="C95" s="12">
        <v>44.5</v>
      </c>
      <c r="D95" s="3">
        <v>16.5</v>
      </c>
      <c r="E95" s="12">
        <v>96.4</v>
      </c>
      <c r="F95" s="3">
        <v>132</v>
      </c>
      <c r="G95" s="3">
        <v>81</v>
      </c>
      <c r="H95" s="3">
        <v>62</v>
      </c>
      <c r="I95" s="12"/>
      <c r="M95" s="12">
        <v>7</v>
      </c>
      <c r="N95" s="11">
        <f t="shared" si="4"/>
        <v>36.670775510204081</v>
      </c>
      <c r="O95" s="11">
        <f t="shared" si="5"/>
        <v>31.997550455105717</v>
      </c>
    </row>
    <row r="96" spans="1:17" x14ac:dyDescent="0.25">
      <c r="A96" s="4">
        <v>45411</v>
      </c>
      <c r="B96" s="12"/>
      <c r="C96" s="12"/>
      <c r="E96" s="12"/>
      <c r="I96" s="12"/>
      <c r="M96" s="12"/>
      <c r="N96" s="11">
        <f t="shared" si="4"/>
        <v>0</v>
      </c>
      <c r="O96" s="11" t="e">
        <f t="shared" si="5"/>
        <v>#NUM!</v>
      </c>
    </row>
    <row r="97" spans="1:15" x14ac:dyDescent="0.25">
      <c r="A97" s="4">
        <v>45412</v>
      </c>
      <c r="B97" s="12"/>
      <c r="C97" s="12"/>
      <c r="E97" s="12"/>
      <c r="I97" s="12"/>
      <c r="M97" s="12"/>
      <c r="N97" s="11">
        <f t="shared" si="4"/>
        <v>0</v>
      </c>
      <c r="O97" s="11" t="e">
        <f t="shared" si="5"/>
        <v>#NUM!</v>
      </c>
    </row>
    <row r="98" spans="1:15" x14ac:dyDescent="0.25">
      <c r="A98" s="4">
        <v>45413</v>
      </c>
      <c r="B98" s="12"/>
      <c r="C98" s="12"/>
      <c r="E98" s="12"/>
      <c r="I98" s="12"/>
      <c r="M98" s="12"/>
      <c r="N98" s="11">
        <f t="shared" si="4"/>
        <v>0</v>
      </c>
      <c r="O98" s="11" t="e">
        <f t="shared" si="5"/>
        <v>#NUM!</v>
      </c>
    </row>
    <row r="99" spans="1:15" x14ac:dyDescent="0.25">
      <c r="A99" s="4">
        <v>45414</v>
      </c>
      <c r="B99" s="12"/>
      <c r="C99" s="12"/>
      <c r="E99" s="12"/>
      <c r="I99" s="12"/>
      <c r="M99" s="12"/>
      <c r="N99" s="11">
        <f t="shared" si="4"/>
        <v>0</v>
      </c>
      <c r="O99" s="11" t="e">
        <f t="shared" si="5"/>
        <v>#NUM!</v>
      </c>
    </row>
    <row r="100" spans="1:15" x14ac:dyDescent="0.25">
      <c r="A100" s="4">
        <v>45415</v>
      </c>
      <c r="B100" s="12"/>
      <c r="C100" s="12"/>
      <c r="E100" s="12"/>
      <c r="I100" s="12"/>
      <c r="M100" s="12"/>
      <c r="N100" s="11">
        <f t="shared" si="4"/>
        <v>0</v>
      </c>
      <c r="O100" s="11" t="e">
        <f t="shared" si="5"/>
        <v>#NUM!</v>
      </c>
    </row>
    <row r="101" spans="1:15" x14ac:dyDescent="0.25">
      <c r="A101" s="4">
        <v>45416</v>
      </c>
      <c r="B101" s="12"/>
      <c r="C101" s="12"/>
      <c r="E101" s="12"/>
      <c r="I101" s="12"/>
      <c r="M101" s="12"/>
      <c r="N101" s="11">
        <f t="shared" si="4"/>
        <v>0</v>
      </c>
      <c r="O101" s="11" t="e">
        <f t="shared" si="5"/>
        <v>#NUM!</v>
      </c>
    </row>
    <row r="102" spans="1:15" x14ac:dyDescent="0.25">
      <c r="A102" s="4">
        <v>45417</v>
      </c>
      <c r="B102" s="12"/>
      <c r="C102" s="12"/>
      <c r="E102" s="12"/>
      <c r="I102" s="12"/>
      <c r="M102" s="12"/>
      <c r="N102" s="11">
        <f t="shared" si="4"/>
        <v>0</v>
      </c>
      <c r="O102" s="11" t="e">
        <f t="shared" si="5"/>
        <v>#NUM!</v>
      </c>
    </row>
    <row r="103" spans="1:15" x14ac:dyDescent="0.25">
      <c r="A103" s="4">
        <v>45418</v>
      </c>
      <c r="B103" s="12"/>
      <c r="C103" s="12"/>
      <c r="E103" s="12"/>
      <c r="I103" s="12"/>
      <c r="M103" s="12"/>
      <c r="N103" s="11">
        <f t="shared" si="4"/>
        <v>0</v>
      </c>
      <c r="O103" s="11" t="e">
        <f t="shared" si="5"/>
        <v>#NUM!</v>
      </c>
    </row>
    <row r="104" spans="1:15" x14ac:dyDescent="0.25">
      <c r="A104" s="4">
        <v>45419</v>
      </c>
      <c r="B104" s="12"/>
      <c r="C104" s="12"/>
      <c r="E104" s="12"/>
      <c r="I104" s="12"/>
      <c r="M104" s="12"/>
      <c r="N104" s="11">
        <f t="shared" ref="N104:N121" si="6">(B104/4900)*703</f>
        <v>0</v>
      </c>
      <c r="O104" s="11" t="e">
        <f t="shared" ref="O104:O121" si="7">(86.01*LOG10(C104-D104))-(70.041*LOG10(70))+36.76</f>
        <v>#NUM!</v>
      </c>
    </row>
    <row r="105" spans="1:15" x14ac:dyDescent="0.25">
      <c r="A105" s="4">
        <v>45420</v>
      </c>
      <c r="B105" s="12"/>
      <c r="C105" s="12"/>
      <c r="E105" s="12"/>
      <c r="I105" s="12"/>
      <c r="M105" s="12"/>
      <c r="N105" s="11">
        <f t="shared" si="6"/>
        <v>0</v>
      </c>
      <c r="O105" s="11" t="e">
        <f t="shared" si="7"/>
        <v>#NUM!</v>
      </c>
    </row>
    <row r="106" spans="1:15" x14ac:dyDescent="0.25">
      <c r="A106" s="4">
        <v>45421</v>
      </c>
      <c r="B106" s="12"/>
      <c r="C106" s="12"/>
      <c r="E106" s="12"/>
      <c r="I106" s="12"/>
      <c r="M106" s="12"/>
      <c r="N106" s="11">
        <f t="shared" si="6"/>
        <v>0</v>
      </c>
      <c r="O106" s="11" t="e">
        <f t="shared" si="7"/>
        <v>#NUM!</v>
      </c>
    </row>
    <row r="107" spans="1:15" x14ac:dyDescent="0.25">
      <c r="A107" s="4">
        <v>45422</v>
      </c>
      <c r="B107" s="12"/>
      <c r="C107" s="12"/>
      <c r="E107" s="12"/>
      <c r="I107" s="12"/>
      <c r="M107" s="12"/>
      <c r="N107" s="11">
        <f t="shared" si="6"/>
        <v>0</v>
      </c>
      <c r="O107" s="11" t="e">
        <f t="shared" si="7"/>
        <v>#NUM!</v>
      </c>
    </row>
    <row r="108" spans="1:15" x14ac:dyDescent="0.25">
      <c r="A108" s="4">
        <v>45423</v>
      </c>
      <c r="B108" s="12"/>
      <c r="C108" s="12"/>
      <c r="E108" s="12"/>
      <c r="I108" s="12"/>
      <c r="M108" s="12"/>
      <c r="N108" s="11">
        <f t="shared" si="6"/>
        <v>0</v>
      </c>
      <c r="O108" s="11" t="e">
        <f t="shared" si="7"/>
        <v>#NUM!</v>
      </c>
    </row>
    <row r="109" spans="1:15" x14ac:dyDescent="0.25">
      <c r="A109" s="4">
        <v>45424</v>
      </c>
      <c r="B109" s="12"/>
      <c r="C109" s="12"/>
      <c r="E109" s="12"/>
      <c r="I109" s="12"/>
      <c r="M109" s="12"/>
      <c r="N109" s="11">
        <f t="shared" si="6"/>
        <v>0</v>
      </c>
      <c r="O109" s="11" t="e">
        <f t="shared" si="7"/>
        <v>#NUM!</v>
      </c>
    </row>
    <row r="110" spans="1:15" x14ac:dyDescent="0.25">
      <c r="A110" s="4">
        <v>45425</v>
      </c>
      <c r="B110" s="12"/>
      <c r="C110" s="12"/>
      <c r="E110" s="12"/>
      <c r="I110" s="12"/>
      <c r="M110" s="12"/>
      <c r="N110" s="11">
        <f t="shared" si="6"/>
        <v>0</v>
      </c>
      <c r="O110" s="11" t="e">
        <f t="shared" si="7"/>
        <v>#NUM!</v>
      </c>
    </row>
    <row r="111" spans="1:15" x14ac:dyDescent="0.25">
      <c r="A111" s="4">
        <v>45426</v>
      </c>
      <c r="B111" s="12"/>
      <c r="C111" s="12"/>
      <c r="E111" s="12"/>
      <c r="I111" s="12"/>
      <c r="M111" s="12"/>
      <c r="N111" s="11">
        <f t="shared" si="6"/>
        <v>0</v>
      </c>
      <c r="O111" s="11" t="e">
        <f t="shared" si="7"/>
        <v>#NUM!</v>
      </c>
    </row>
    <row r="112" spans="1:15" x14ac:dyDescent="0.25">
      <c r="A112" s="4">
        <v>45427</v>
      </c>
      <c r="B112" s="12"/>
      <c r="C112" s="12"/>
      <c r="E112" s="12"/>
      <c r="I112" s="12"/>
      <c r="M112" s="12"/>
      <c r="N112" s="11">
        <f t="shared" si="6"/>
        <v>0</v>
      </c>
      <c r="O112" s="11" t="e">
        <f t="shared" si="7"/>
        <v>#NUM!</v>
      </c>
    </row>
    <row r="113" spans="1:15" x14ac:dyDescent="0.25">
      <c r="A113" s="4">
        <v>45428</v>
      </c>
      <c r="B113" s="12"/>
      <c r="C113" s="12"/>
      <c r="E113" s="12"/>
      <c r="I113" s="12"/>
      <c r="M113" s="12"/>
      <c r="N113" s="11">
        <f t="shared" si="6"/>
        <v>0</v>
      </c>
      <c r="O113" s="11" t="e">
        <f t="shared" si="7"/>
        <v>#NUM!</v>
      </c>
    </row>
    <row r="114" spans="1:15" x14ac:dyDescent="0.25">
      <c r="A114" s="4">
        <v>45429</v>
      </c>
      <c r="B114" s="12"/>
      <c r="C114" s="12"/>
      <c r="E114" s="12"/>
      <c r="I114" s="12"/>
      <c r="M114" s="12"/>
      <c r="N114" s="11">
        <f t="shared" si="6"/>
        <v>0</v>
      </c>
      <c r="O114" s="11" t="e">
        <f t="shared" si="7"/>
        <v>#NUM!</v>
      </c>
    </row>
    <row r="115" spans="1:15" x14ac:dyDescent="0.25">
      <c r="A115" s="4">
        <v>45430</v>
      </c>
      <c r="B115" s="12"/>
      <c r="C115" s="12"/>
      <c r="E115" s="12"/>
      <c r="I115" s="12"/>
      <c r="M115" s="12"/>
      <c r="N115" s="11">
        <f t="shared" si="6"/>
        <v>0</v>
      </c>
      <c r="O115" s="11" t="e">
        <f t="shared" si="7"/>
        <v>#NUM!</v>
      </c>
    </row>
    <row r="116" spans="1:15" x14ac:dyDescent="0.25">
      <c r="A116" s="4">
        <v>45431</v>
      </c>
      <c r="B116" s="12"/>
      <c r="C116" s="12"/>
      <c r="E116" s="12"/>
      <c r="I116" s="12"/>
      <c r="M116" s="12"/>
      <c r="N116" s="11">
        <f t="shared" si="6"/>
        <v>0</v>
      </c>
      <c r="O116" s="11" t="e">
        <f t="shared" si="7"/>
        <v>#NUM!</v>
      </c>
    </row>
    <row r="117" spans="1:15" x14ac:dyDescent="0.25">
      <c r="A117" s="4">
        <v>45432</v>
      </c>
      <c r="B117" s="12"/>
      <c r="C117" s="12"/>
      <c r="E117" s="12"/>
      <c r="I117" s="12"/>
      <c r="M117" s="12"/>
      <c r="N117" s="11">
        <f t="shared" si="6"/>
        <v>0</v>
      </c>
      <c r="O117" s="11" t="e">
        <f t="shared" si="7"/>
        <v>#NUM!</v>
      </c>
    </row>
    <row r="118" spans="1:15" x14ac:dyDescent="0.25">
      <c r="A118" s="4">
        <v>45433</v>
      </c>
      <c r="B118" s="12"/>
      <c r="C118" s="12"/>
      <c r="E118" s="12"/>
      <c r="I118" s="12"/>
      <c r="M118" s="12"/>
      <c r="N118" s="11">
        <f t="shared" si="6"/>
        <v>0</v>
      </c>
      <c r="O118" s="11" t="e">
        <f t="shared" si="7"/>
        <v>#NUM!</v>
      </c>
    </row>
    <row r="119" spans="1:15" x14ac:dyDescent="0.25">
      <c r="A119" s="4">
        <v>45434</v>
      </c>
      <c r="B119" s="12"/>
      <c r="C119" s="12"/>
      <c r="E119" s="12"/>
      <c r="I119" s="12"/>
      <c r="M119" s="12"/>
      <c r="N119" s="11">
        <f t="shared" si="6"/>
        <v>0</v>
      </c>
      <c r="O119" s="11" t="e">
        <f t="shared" si="7"/>
        <v>#NUM!</v>
      </c>
    </row>
    <row r="120" spans="1:15" x14ac:dyDescent="0.25">
      <c r="A120" s="4">
        <v>45435</v>
      </c>
      <c r="B120" s="12"/>
      <c r="C120" s="12"/>
      <c r="E120" s="12"/>
      <c r="I120" s="12"/>
      <c r="M120" s="12"/>
      <c r="N120" s="11">
        <f t="shared" si="6"/>
        <v>0</v>
      </c>
      <c r="O120" s="11" t="e">
        <f t="shared" si="7"/>
        <v>#NUM!</v>
      </c>
    </row>
    <row r="121" spans="1:15" x14ac:dyDescent="0.25">
      <c r="A121" s="4">
        <v>45436</v>
      </c>
      <c r="B121" s="12"/>
      <c r="C121" s="12"/>
      <c r="E121" s="12"/>
      <c r="I121" s="12"/>
      <c r="M121" s="12"/>
      <c r="N121" s="11">
        <f t="shared" si="6"/>
        <v>0</v>
      </c>
      <c r="O121" s="11" t="e">
        <f t="shared" si="7"/>
        <v>#NUM!</v>
      </c>
    </row>
  </sheetData>
  <dataValidations count="1">
    <dataValidation type="list" allowBlank="1" showInputMessage="1" showErrorMessage="1" sqref="P2:Q121" xr:uid="{A02D2D62-E5E2-4DD3-9C1F-7FECE0FAAF82}">
      <formula1>"Yes, No"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2598-8ADB-47F8-A785-B160AE7DBA77}">
  <sheetPr codeName="Sheet5"/>
  <dimension ref="A1:I137"/>
  <sheetViews>
    <sheetView topLeftCell="A87" zoomScaleNormal="100" workbookViewId="0">
      <selection activeCell="M13" sqref="M13"/>
    </sheetView>
  </sheetViews>
  <sheetFormatPr defaultColWidth="9.140625" defaultRowHeight="18.75" x14ac:dyDescent="0.3"/>
  <cols>
    <col min="1" max="1" width="53.85546875" style="1" customWidth="1"/>
    <col min="2" max="3" width="24.42578125" style="1" customWidth="1"/>
    <col min="4" max="4" width="32.7109375" style="1" customWidth="1"/>
    <col min="5" max="5" width="16.140625" style="1" customWidth="1"/>
    <col min="6" max="6" width="30.7109375" style="1" customWidth="1"/>
    <col min="7" max="7" width="24" style="1" customWidth="1"/>
    <col min="8" max="8" width="16.140625" style="1" customWidth="1"/>
    <col min="9" max="9" width="17.5703125" style="1" customWidth="1"/>
    <col min="10" max="16384" width="9.140625" style="1"/>
  </cols>
  <sheetData>
    <row r="1" spans="1:9" x14ac:dyDescent="0.3">
      <c r="A1" s="1" t="s">
        <v>104</v>
      </c>
      <c r="B1" s="1" t="s">
        <v>105</v>
      </c>
      <c r="D1" s="1" t="s">
        <v>19</v>
      </c>
      <c r="E1" s="1" t="str">
        <f>_xlfn.CONCAT("B", COUNT(Log[Weight (Pounds)]))</f>
        <v>B94</v>
      </c>
      <c r="F1" s="1" t="s">
        <v>126</v>
      </c>
      <c r="G1" s="1" t="s">
        <v>127</v>
      </c>
      <c r="H1" s="1" t="s">
        <v>19</v>
      </c>
      <c r="I1" s="1" t="s">
        <v>20</v>
      </c>
    </row>
    <row r="2" spans="1:9" x14ac:dyDescent="0.3">
      <c r="A2" s="6" t="s">
        <v>5</v>
      </c>
      <c r="B2" s="1">
        <f>MAX(Log[Weight (Pounds)])</f>
        <v>275.60000000000002</v>
      </c>
      <c r="D2" s="1" t="s">
        <v>20</v>
      </c>
      <c r="E2" s="1" t="str">
        <f>_xlfn.CONCAT("C", COUNT(Log[Waist (Inches)]))</f>
        <v>C94</v>
      </c>
      <c r="F2" s="7">
        <f>Log!A31</f>
        <v>45346</v>
      </c>
      <c r="G2" s="1">
        <v>30</v>
      </c>
      <c r="H2" s="1">
        <f>VLOOKUP(Log!$A31, Log[[#All],[Date]:[Waist (Inches)]], 2, TRUE)</f>
        <v>258.2</v>
      </c>
      <c r="I2" s="1">
        <f>VLOOKUP(Log!$A31, Log[[#All],[Date]:[Waist (Inches)]], 3, TRUE)</f>
        <v>45</v>
      </c>
    </row>
    <row r="3" spans="1:9" x14ac:dyDescent="0.3">
      <c r="A3" s="6" t="s">
        <v>6</v>
      </c>
      <c r="B3" s="1">
        <f>MIN(Log[Weight (Pounds)])</f>
        <v>245.8</v>
      </c>
      <c r="D3" s="1" t="s">
        <v>29</v>
      </c>
      <c r="E3" s="1" t="str">
        <f>_xlfn.CONCAT("D", COUNT(Log[Neck (Inches)]))</f>
        <v>D94</v>
      </c>
      <c r="F3" s="7">
        <f>Log!A61</f>
        <v>45376</v>
      </c>
      <c r="G3" s="1">
        <v>60</v>
      </c>
      <c r="H3" s="1">
        <f>VLOOKUP(Log!$A61, Log[[#All],[Date]:[Waist (Inches)]], 2, TRUE)</f>
        <v>249.2</v>
      </c>
      <c r="I3" s="1">
        <f>VLOOKUP(Log!$A61, Log[[#All],[Date]:[Waist (Inches)]], 3, TRUE)</f>
        <v>43.5</v>
      </c>
    </row>
    <row r="4" spans="1:9" x14ac:dyDescent="0.3">
      <c r="A4" s="6" t="s">
        <v>3</v>
      </c>
      <c r="B4" s="1">
        <f>B3-B2</f>
        <v>-29.800000000000011</v>
      </c>
      <c r="D4" s="1" t="s">
        <v>21</v>
      </c>
      <c r="E4" s="1" t="str">
        <f>_xlfn.CONCAT("E", COUNT(Log[Morning Body Temp]))</f>
        <v>E94</v>
      </c>
      <c r="F4" s="7">
        <f>Log!A91</f>
        <v>45406</v>
      </c>
      <c r="G4" s="1">
        <v>90</v>
      </c>
      <c r="H4" s="1">
        <f>VLOOKUP(Log!$A91, Log[[#All],[Date]:[Waist (Inches)]], 2, TRUE)</f>
        <v>253</v>
      </c>
      <c r="I4" s="1">
        <f>VLOOKUP(Log!$A91, Log[[#All],[Date]:[Waist (Inches)]], 3, TRUE)</f>
        <v>44</v>
      </c>
    </row>
    <row r="5" spans="1:9" x14ac:dyDescent="0.3">
      <c r="A5" s="6" t="s">
        <v>7</v>
      </c>
      <c r="B5" s="1">
        <f>MAX(Log[Waist (Inches)])</f>
        <v>47.5</v>
      </c>
      <c r="D5" s="1" t="s">
        <v>130</v>
      </c>
      <c r="E5" s="1" t="str">
        <f>_xlfn.CONCAT("F", COUNT(Log[Morning Systolic Pressure]))</f>
        <v>F94</v>
      </c>
      <c r="F5" s="7">
        <f>Log!A121</f>
        <v>45436</v>
      </c>
      <c r="G5" s="1">
        <v>120</v>
      </c>
      <c r="H5" s="1">
        <f>VLOOKUP(Log!$A121, Log[[#All],[Date]:[Waist (Inches)]], 2, TRUE)</f>
        <v>0</v>
      </c>
      <c r="I5" s="1">
        <f>VLOOKUP(Log!$A121, Log[[#All],[Date]:[Waist (Inches)]], 3, TRUE)</f>
        <v>0</v>
      </c>
    </row>
    <row r="6" spans="1:9" x14ac:dyDescent="0.3">
      <c r="A6" s="6" t="s">
        <v>8</v>
      </c>
      <c r="B6" s="1">
        <f>MIN(Log[Waist (Inches)])</f>
        <v>43</v>
      </c>
      <c r="D6" s="1" t="s">
        <v>131</v>
      </c>
      <c r="E6" s="1" t="str">
        <f>_xlfn.CONCAT("G", COUNT(Log[Morning Diastolic Pressure]))</f>
        <v>G94</v>
      </c>
    </row>
    <row r="7" spans="1:9" x14ac:dyDescent="0.3">
      <c r="A7" s="6" t="s">
        <v>4</v>
      </c>
      <c r="B7" s="1">
        <f>B6-B5</f>
        <v>-4.5</v>
      </c>
      <c r="D7" s="1" t="s">
        <v>23</v>
      </c>
      <c r="E7" s="1" t="str">
        <f>_xlfn.CONCAT("H", COUNT(Log[Morning Pulse]))</f>
        <v>H94</v>
      </c>
      <c r="F7" s="1" t="s">
        <v>194</v>
      </c>
    </row>
    <row r="8" spans="1:9" x14ac:dyDescent="0.3">
      <c r="A8" s="6" t="s">
        <v>48</v>
      </c>
      <c r="B8" s="1">
        <f>MAX(Log[Neck (Inches)])</f>
        <v>17</v>
      </c>
      <c r="D8" s="1" t="s">
        <v>22</v>
      </c>
      <c r="E8" s="1" t="str">
        <f>_xlfn.CONCAT("I", COUNT(Log[Night Body Temp]))</f>
        <v>I93</v>
      </c>
    </row>
    <row r="9" spans="1:9" x14ac:dyDescent="0.3">
      <c r="A9" s="6" t="s">
        <v>49</v>
      </c>
      <c r="B9" s="1">
        <f>MIN(Log[Neck (Inches)])</f>
        <v>16</v>
      </c>
      <c r="D9" s="1" t="s">
        <v>132</v>
      </c>
      <c r="E9" s="1" t="str">
        <f>_xlfn.CONCAT("J", COUNT(Log[Night Systolic Pressure]))</f>
        <v>J93</v>
      </c>
    </row>
    <row r="10" spans="1:9" x14ac:dyDescent="0.3">
      <c r="A10" s="6" t="s">
        <v>50</v>
      </c>
      <c r="B10" s="1">
        <f>B9-B8</f>
        <v>-1</v>
      </c>
      <c r="D10" s="1" t="s">
        <v>133</v>
      </c>
      <c r="E10" s="1" t="str">
        <f>_xlfn.CONCAT("K", COUNT(Log[Night Diastolic Pressure]))</f>
        <v>K93</v>
      </c>
      <c r="F10" s="6" t="s">
        <v>198</v>
      </c>
      <c r="G10" s="13">
        <v>44983</v>
      </c>
      <c r="H10" s="6">
        <v>248.4</v>
      </c>
      <c r="I10" s="6">
        <v>44</v>
      </c>
    </row>
    <row r="11" spans="1:9" x14ac:dyDescent="0.3">
      <c r="A11" s="6" t="s">
        <v>51</v>
      </c>
      <c r="B11" s="1">
        <f>MAX(Log[Morning Body Temp])</f>
        <v>98</v>
      </c>
      <c r="D11" s="1" t="s">
        <v>24</v>
      </c>
      <c r="E11" s="1" t="str">
        <f>_xlfn.CONCAT("L", COUNT(Log[Night Pulse]))</f>
        <v>L93</v>
      </c>
      <c r="F11" s="6" t="s">
        <v>199</v>
      </c>
      <c r="G11" s="14" t="s">
        <v>200</v>
      </c>
      <c r="H11" s="6">
        <v>247.8</v>
      </c>
      <c r="I11" s="6">
        <v>43.5</v>
      </c>
    </row>
    <row r="12" spans="1:9" x14ac:dyDescent="0.3">
      <c r="A12" s="6" t="s">
        <v>52</v>
      </c>
      <c r="B12" s="1">
        <f>MIN(Log[Morning Body Temp])</f>
        <v>94.9</v>
      </c>
      <c r="D12" s="1" t="s">
        <v>59</v>
      </c>
      <c r="E12" s="1" t="str">
        <f>_xlfn.CONCAT("M", COUNT(Log[Sleep]))</f>
        <v>M94</v>
      </c>
      <c r="F12" s="6" t="s">
        <v>201</v>
      </c>
      <c r="G12" s="13">
        <v>45377</v>
      </c>
      <c r="H12" s="6">
        <v>248.4</v>
      </c>
      <c r="I12" s="6">
        <v>43.5</v>
      </c>
    </row>
    <row r="13" spans="1:9" ht="37.5" x14ac:dyDescent="0.3">
      <c r="A13" s="6" t="s">
        <v>25</v>
      </c>
      <c r="B13" s="1">
        <f>B12-B11</f>
        <v>-3.0999999999999943</v>
      </c>
      <c r="D13" s="1" t="s">
        <v>108</v>
      </c>
      <c r="E13" s="1" t="str">
        <f>_xlfn.CONCAT("N", COUNT(Log[Weight (Pounds)]))</f>
        <v>N94</v>
      </c>
      <c r="F13" s="15" t="s">
        <v>202</v>
      </c>
      <c r="G13" s="13">
        <v>45378</v>
      </c>
      <c r="H13" s="6">
        <v>247.6</v>
      </c>
      <c r="I13" s="6">
        <v>43.5</v>
      </c>
    </row>
    <row r="14" spans="1:9" x14ac:dyDescent="0.3">
      <c r="A14" s="6" t="s">
        <v>134</v>
      </c>
      <c r="B14" s="1">
        <f>MAX(Log[Morning Systolic Pressure])</f>
        <v>159</v>
      </c>
      <c r="D14" s="1" t="s">
        <v>114</v>
      </c>
      <c r="E14" s="1" t="str">
        <f>_xlfn.CONCAT("O", COUNT(Log[CBF]))</f>
        <v>O94</v>
      </c>
      <c r="F14" s="6" t="s">
        <v>203</v>
      </c>
      <c r="G14" s="13">
        <f>_xlfn.XLOOKUP(H14,Log[Weight (Pounds)],Log[Date])</f>
        <v>45388</v>
      </c>
      <c r="H14" s="6">
        <f>B3</f>
        <v>245.8</v>
      </c>
    </row>
    <row r="15" spans="1:9" x14ac:dyDescent="0.3">
      <c r="A15" s="6" t="s">
        <v>135</v>
      </c>
      <c r="B15" s="1">
        <f>MIN(Log[Morning Systolic Pressure])</f>
        <v>108</v>
      </c>
      <c r="D15" s="6" t="s">
        <v>31</v>
      </c>
      <c r="F15" s="6" t="s">
        <v>204</v>
      </c>
      <c r="G15" s="13">
        <f>_xlfn.XLOOKUP(H15,Log[Waist (Inches)],Log[Date])</f>
        <v>45380</v>
      </c>
      <c r="H15" s="6">
        <f>B6</f>
        <v>43</v>
      </c>
    </row>
    <row r="16" spans="1:9" x14ac:dyDescent="0.3">
      <c r="A16" s="6" t="s">
        <v>136</v>
      </c>
      <c r="B16" s="1">
        <f>B15-B14</f>
        <v>-51</v>
      </c>
      <c r="D16" s="1" t="s">
        <v>19</v>
      </c>
      <c r="E16" s="1" t="str">
        <f>_xlfn.CONCAT("B", COUNT(Log[Weight (Pounds)])+1)</f>
        <v>B95</v>
      </c>
    </row>
    <row r="17" spans="1:8" x14ac:dyDescent="0.3">
      <c r="A17" s="6" t="s">
        <v>157</v>
      </c>
      <c r="B17" s="1">
        <f>MAX(Log[Morning Diastolic Pressure])</f>
        <v>92</v>
      </c>
      <c r="D17" s="1" t="s">
        <v>20</v>
      </c>
      <c r="E17" s="1" t="str">
        <f>_xlfn.CONCAT("C", COUNT(Log[Waist (Inches)])+1)</f>
        <v>C95</v>
      </c>
      <c r="F17" s="7"/>
    </row>
    <row r="18" spans="1:8" x14ac:dyDescent="0.3">
      <c r="A18" s="6" t="s">
        <v>156</v>
      </c>
      <c r="B18" s="1">
        <f>MIN(Log[Morning Diastolic Pressure])</f>
        <v>67</v>
      </c>
      <c r="D18" s="1" t="s">
        <v>29</v>
      </c>
      <c r="E18" s="1" t="str">
        <f>_xlfn.CONCAT("D", COUNT(Log[Neck (Inches)])+1)</f>
        <v>D95</v>
      </c>
    </row>
    <row r="19" spans="1:8" x14ac:dyDescent="0.3">
      <c r="A19" s="6" t="s">
        <v>158</v>
      </c>
      <c r="B19" s="1">
        <f>B18-B17</f>
        <v>-25</v>
      </c>
      <c r="D19" s="1" t="s">
        <v>21</v>
      </c>
      <c r="E19" s="1" t="str">
        <f>_xlfn.CONCAT("E", COUNT(Log[Morning Body Temp])+1)</f>
        <v>E95</v>
      </c>
    </row>
    <row r="20" spans="1:8" x14ac:dyDescent="0.3">
      <c r="A20" s="6" t="s">
        <v>53</v>
      </c>
      <c r="B20" s="1">
        <f>MAX(Log[Morning Pulse])</f>
        <v>87</v>
      </c>
      <c r="D20" s="1" t="s">
        <v>130</v>
      </c>
      <c r="E20" s="1" t="str">
        <f>_xlfn.CONCAT("F", COUNT(Log[Morning Systolic Pressure])+1)</f>
        <v>F95</v>
      </c>
    </row>
    <row r="21" spans="1:8" x14ac:dyDescent="0.3">
      <c r="A21" s="6" t="s">
        <v>54</v>
      </c>
      <c r="B21" s="1">
        <f>MIN(Log[Morning Pulse])</f>
        <v>55</v>
      </c>
      <c r="D21" s="1" t="s">
        <v>131</v>
      </c>
      <c r="E21" s="1" t="str">
        <f>_xlfn.CONCAT("G", COUNT(Log[Morning Diastolic Pressure])+1)</f>
        <v>G95</v>
      </c>
    </row>
    <row r="22" spans="1:8" x14ac:dyDescent="0.3">
      <c r="A22" s="6" t="s">
        <v>27</v>
      </c>
      <c r="B22" s="1">
        <f>B21-B20</f>
        <v>-32</v>
      </c>
      <c r="D22" s="1" t="s">
        <v>23</v>
      </c>
      <c r="E22" s="1" t="str">
        <f>_xlfn.CONCAT("H", COUNT(Log[Morning Pulse])+1)</f>
        <v>H95</v>
      </c>
      <c r="F22" s="8"/>
    </row>
    <row r="23" spans="1:8" x14ac:dyDescent="0.3">
      <c r="A23" s="6" t="s">
        <v>55</v>
      </c>
      <c r="B23" s="1">
        <f>MAX(Log[Night Body Temp])</f>
        <v>99.2</v>
      </c>
      <c r="D23" s="1" t="s">
        <v>22</v>
      </c>
      <c r="E23" s="1" t="str">
        <f>_xlfn.CONCAT("I", COUNT(Log[Night Body Temp])+1)</f>
        <v>I94</v>
      </c>
    </row>
    <row r="24" spans="1:8" x14ac:dyDescent="0.3">
      <c r="A24" s="6" t="s">
        <v>56</v>
      </c>
      <c r="B24" s="1">
        <f>MIN(Log[Night Body Temp])</f>
        <v>95.5</v>
      </c>
      <c r="D24" s="1" t="s">
        <v>132</v>
      </c>
      <c r="E24" s="1" t="str">
        <f>_xlfn.CONCAT("J", COUNT(Log[Night Systolic Pressure])+1)</f>
        <v>J94</v>
      </c>
    </row>
    <row r="25" spans="1:8" x14ac:dyDescent="0.3">
      <c r="A25" s="6" t="s">
        <v>26</v>
      </c>
      <c r="B25" s="1">
        <f>B24-B23</f>
        <v>-3.7000000000000028</v>
      </c>
      <c r="D25" s="1" t="s">
        <v>133</v>
      </c>
      <c r="E25" s="1" t="str">
        <f>_xlfn.CONCAT("K", COUNT(Log[Night Diastolic Pressure])+1)</f>
        <v>K94</v>
      </c>
    </row>
    <row r="26" spans="1:8" x14ac:dyDescent="0.3">
      <c r="A26" s="6" t="s">
        <v>137</v>
      </c>
      <c r="B26" s="1">
        <f>MAX(Log[Night Systolic Pressure])</f>
        <v>160</v>
      </c>
      <c r="D26" s="1" t="s">
        <v>24</v>
      </c>
      <c r="E26" s="1" t="str">
        <f>_xlfn.CONCAT("L", COUNT(Log[Night Pulse])+1)</f>
        <v>L94</v>
      </c>
    </row>
    <row r="27" spans="1:8" x14ac:dyDescent="0.3">
      <c r="A27" s="6" t="s">
        <v>138</v>
      </c>
      <c r="B27" s="1">
        <f>MIN(Log[Night Systolic Pressure])</f>
        <v>104</v>
      </c>
      <c r="D27" s="1" t="s">
        <v>59</v>
      </c>
      <c r="E27" s="1" t="str">
        <f>_xlfn.CONCAT("M", COUNT(Log[Sleep])+1)</f>
        <v>M95</v>
      </c>
    </row>
    <row r="28" spans="1:8" x14ac:dyDescent="0.3">
      <c r="A28" s="6" t="s">
        <v>139</v>
      </c>
      <c r="B28" s="1">
        <f>B27-B26</f>
        <v>-56</v>
      </c>
      <c r="D28" s="1" t="s">
        <v>108</v>
      </c>
      <c r="E28" s="1" t="str">
        <f>_xlfn.CONCAT("N", COUNT(Log[Weight (Pounds)])+1)</f>
        <v>N95</v>
      </c>
    </row>
    <row r="29" spans="1:8" x14ac:dyDescent="0.3">
      <c r="A29" s="6" t="s">
        <v>159</v>
      </c>
      <c r="B29" s="1">
        <f>MAX(Log[Night Diastolic Pressure])</f>
        <v>93</v>
      </c>
      <c r="D29" s="1" t="s">
        <v>114</v>
      </c>
      <c r="E29" s="1" t="str">
        <f>_xlfn.CONCAT("O", COUNT(Log[CBF])+1)</f>
        <v>O95</v>
      </c>
    </row>
    <row r="30" spans="1:8" x14ac:dyDescent="0.3">
      <c r="A30" s="6" t="s">
        <v>160</v>
      </c>
      <c r="B30" s="1">
        <f>MIN(Log[Night Diastolic Pressure])</f>
        <v>58</v>
      </c>
    </row>
    <row r="31" spans="1:8" x14ac:dyDescent="0.3">
      <c r="A31" s="6" t="s">
        <v>161</v>
      </c>
      <c r="B31" s="1">
        <f>B30-B29</f>
        <v>-35</v>
      </c>
    </row>
    <row r="32" spans="1:8" x14ac:dyDescent="0.3">
      <c r="A32" s="6" t="s">
        <v>57</v>
      </c>
      <c r="B32" s="1">
        <f>MAX(Log[Night Pulse])</f>
        <v>99</v>
      </c>
      <c r="D32" s="1" t="s">
        <v>14</v>
      </c>
      <c r="E32" s="1" t="s">
        <v>89</v>
      </c>
      <c r="F32" s="1" t="s">
        <v>180</v>
      </c>
      <c r="G32" s="1" t="s">
        <v>88</v>
      </c>
      <c r="H32" s="1" t="str">
        <f>_xlfn.CONCAT(D32," ",F32)</f>
        <v>AVG Weight Diff</v>
      </c>
    </row>
    <row r="33" spans="1:8" x14ac:dyDescent="0.3">
      <c r="A33" s="6" t="s">
        <v>58</v>
      </c>
      <c r="B33" s="1">
        <f>MIN(Log[Night Pulse])</f>
        <v>53</v>
      </c>
      <c r="D33" s="1" t="s">
        <v>15</v>
      </c>
      <c r="E33" s="1" t="s">
        <v>89</v>
      </c>
      <c r="F33" s="1" t="s">
        <v>180</v>
      </c>
      <c r="G33" s="1" t="s">
        <v>88</v>
      </c>
      <c r="H33" s="1" t="str">
        <f t="shared" ref="H33:H45" si="0">_xlfn.CONCAT(D33," ",F33)</f>
        <v>AVG Waist Diff</v>
      </c>
    </row>
    <row r="34" spans="1:8" x14ac:dyDescent="0.3">
      <c r="A34" s="6" t="s">
        <v>28</v>
      </c>
      <c r="B34" s="1">
        <f>B33-B32</f>
        <v>-46</v>
      </c>
      <c r="D34" s="1" t="s">
        <v>82</v>
      </c>
      <c r="E34" s="1" t="s">
        <v>89</v>
      </c>
      <c r="F34" s="1" t="s">
        <v>180</v>
      </c>
      <c r="G34" s="1" t="s">
        <v>88</v>
      </c>
      <c r="H34" s="1" t="str">
        <f t="shared" si="0"/>
        <v>AVG Neck Diff</v>
      </c>
    </row>
    <row r="35" spans="1:8" x14ac:dyDescent="0.3">
      <c r="A35" s="6" t="s">
        <v>62</v>
      </c>
      <c r="B35" s="1">
        <f>MAX(Log[Sleep])</f>
        <v>16.5</v>
      </c>
      <c r="D35" s="1" t="s">
        <v>83</v>
      </c>
      <c r="E35" s="1" t="s">
        <v>89</v>
      </c>
      <c r="F35" s="1" t="s">
        <v>180</v>
      </c>
      <c r="G35" s="1" t="s">
        <v>88</v>
      </c>
      <c r="H35" s="1" t="str">
        <f t="shared" si="0"/>
        <v>AVG Morning Body Temp Diff</v>
      </c>
    </row>
    <row r="36" spans="1:8" x14ac:dyDescent="0.3">
      <c r="A36" s="6" t="s">
        <v>60</v>
      </c>
      <c r="B36" s="1">
        <f>MIN(Log[Sleep])</f>
        <v>0</v>
      </c>
      <c r="D36" s="1" t="s">
        <v>146</v>
      </c>
      <c r="E36" s="1" t="s">
        <v>89</v>
      </c>
      <c r="F36" s="1" t="s">
        <v>180</v>
      </c>
      <c r="G36" s="1" t="s">
        <v>88</v>
      </c>
      <c r="H36" s="1" t="str">
        <f t="shared" si="0"/>
        <v>AVG Morning Systolic Pressure Diff</v>
      </c>
    </row>
    <row r="37" spans="1:8" x14ac:dyDescent="0.3">
      <c r="A37" s="6" t="s">
        <v>61</v>
      </c>
      <c r="B37" s="1">
        <f>B36-B35</f>
        <v>-16.5</v>
      </c>
      <c r="D37" s="1" t="s">
        <v>167</v>
      </c>
      <c r="E37" s="1" t="s">
        <v>89</v>
      </c>
      <c r="F37" s="1" t="s">
        <v>180</v>
      </c>
      <c r="G37" s="1" t="s">
        <v>88</v>
      </c>
      <c r="H37" s="1" t="str">
        <f t="shared" si="0"/>
        <v>AVG Morning Diastolic Pressure Diff</v>
      </c>
    </row>
    <row r="38" spans="1:8" x14ac:dyDescent="0.3">
      <c r="A38" s="6" t="s">
        <v>9</v>
      </c>
      <c r="B38" s="1">
        <f ca="1">Differences!Q2</f>
        <v>-82.600000000000023</v>
      </c>
      <c r="D38" s="1" t="s">
        <v>84</v>
      </c>
      <c r="E38" s="1" t="s">
        <v>89</v>
      </c>
      <c r="F38" s="1" t="s">
        <v>180</v>
      </c>
      <c r="G38" s="1" t="s">
        <v>88</v>
      </c>
      <c r="H38" s="1" t="str">
        <f t="shared" si="0"/>
        <v>AVG Morning Pulse Diff</v>
      </c>
    </row>
    <row r="39" spans="1:8" x14ac:dyDescent="0.3">
      <c r="A39" s="6" t="s">
        <v>10</v>
      </c>
      <c r="B39" s="1">
        <f ca="1">Differences!Q3</f>
        <v>62.599999999999994</v>
      </c>
      <c r="D39" s="1" t="s">
        <v>85</v>
      </c>
      <c r="E39" s="1" t="s">
        <v>89</v>
      </c>
      <c r="F39" s="1" t="s">
        <v>180</v>
      </c>
      <c r="G39" s="1" t="s">
        <v>88</v>
      </c>
      <c r="H39" s="1" t="str">
        <f t="shared" si="0"/>
        <v>AVG Night Body Temp Diff</v>
      </c>
    </row>
    <row r="40" spans="1:8" x14ac:dyDescent="0.3">
      <c r="A40" s="6" t="s">
        <v>11</v>
      </c>
      <c r="B40" s="1">
        <f ca="1">B39+B38</f>
        <v>-20.000000000000028</v>
      </c>
      <c r="D40" s="1" t="s">
        <v>147</v>
      </c>
      <c r="E40" s="1" t="s">
        <v>89</v>
      </c>
      <c r="F40" s="1" t="s">
        <v>180</v>
      </c>
      <c r="G40" s="1" t="s">
        <v>88</v>
      </c>
      <c r="H40" s="1" t="str">
        <f t="shared" si="0"/>
        <v>AVG Night Systolic Pressure Diff</v>
      </c>
    </row>
    <row r="41" spans="1:8" x14ac:dyDescent="0.3">
      <c r="A41" s="6" t="s">
        <v>12</v>
      </c>
      <c r="B41" s="1">
        <f ca="1">Differences!Q4</f>
        <v>-12</v>
      </c>
      <c r="D41" s="1" t="s">
        <v>166</v>
      </c>
      <c r="E41" s="1" t="s">
        <v>89</v>
      </c>
      <c r="F41" s="1" t="s">
        <v>180</v>
      </c>
      <c r="G41" s="1" t="s">
        <v>88</v>
      </c>
      <c r="H41" s="1" t="str">
        <f t="shared" si="0"/>
        <v>AVG Night Diastolic Pressure Diff</v>
      </c>
    </row>
    <row r="42" spans="1:8" x14ac:dyDescent="0.3">
      <c r="A42" s="6" t="s">
        <v>13</v>
      </c>
      <c r="B42" s="1">
        <f ca="1">Differences!Q5</f>
        <v>9</v>
      </c>
      <c r="D42" s="1" t="s">
        <v>86</v>
      </c>
      <c r="E42" s="1" t="s">
        <v>89</v>
      </c>
      <c r="F42" s="1" t="s">
        <v>180</v>
      </c>
      <c r="G42" s="1" t="s">
        <v>88</v>
      </c>
      <c r="H42" s="1" t="str">
        <f t="shared" si="0"/>
        <v>AVG Night Pulse Diff</v>
      </c>
    </row>
    <row r="43" spans="1:8" x14ac:dyDescent="0.3">
      <c r="A43" s="6" t="s">
        <v>63</v>
      </c>
      <c r="B43" s="1">
        <f ca="1">B42+B41</f>
        <v>-3</v>
      </c>
      <c r="D43" s="1" t="s">
        <v>87</v>
      </c>
      <c r="E43" s="1" t="s">
        <v>89</v>
      </c>
      <c r="F43" s="1" t="s">
        <v>180</v>
      </c>
      <c r="G43" s="1" t="s">
        <v>88</v>
      </c>
      <c r="H43" s="1" t="str">
        <f t="shared" si="0"/>
        <v>AVG Sleep Diff</v>
      </c>
    </row>
    <row r="44" spans="1:8" x14ac:dyDescent="0.3">
      <c r="A44" s="6" t="s">
        <v>64</v>
      </c>
      <c r="B44" s="1">
        <f ca="1">Differences!Q6</f>
        <v>-1</v>
      </c>
      <c r="D44" s="1" t="s">
        <v>118</v>
      </c>
      <c r="E44" s="1" t="s">
        <v>89</v>
      </c>
      <c r="F44" s="1" t="s">
        <v>180</v>
      </c>
      <c r="G44" s="1" t="s">
        <v>88</v>
      </c>
      <c r="H44" s="1" t="str">
        <f t="shared" si="0"/>
        <v>AVG BMI Diff</v>
      </c>
    </row>
    <row r="45" spans="1:8" x14ac:dyDescent="0.3">
      <c r="A45" s="6" t="s">
        <v>65</v>
      </c>
      <c r="B45" s="1">
        <f ca="1">Differences!Q7</f>
        <v>0.5</v>
      </c>
      <c r="D45" s="1" t="s">
        <v>119</v>
      </c>
      <c r="E45" s="1" t="s">
        <v>89</v>
      </c>
      <c r="F45" s="1" t="s">
        <v>180</v>
      </c>
      <c r="G45" s="1" t="s">
        <v>88</v>
      </c>
      <c r="H45" s="1" t="str">
        <f t="shared" si="0"/>
        <v>AVG CBF Diff</v>
      </c>
    </row>
    <row r="46" spans="1:8" x14ac:dyDescent="0.3">
      <c r="A46" s="6" t="s">
        <v>66</v>
      </c>
      <c r="B46" s="1">
        <f ca="1">B45+B44</f>
        <v>-0.5</v>
      </c>
    </row>
    <row r="47" spans="1:8" x14ac:dyDescent="0.3">
      <c r="A47" s="6" t="s">
        <v>67</v>
      </c>
      <c r="B47" s="1">
        <f ca="1">Differences!Q8</f>
        <v>-26.999999999999972</v>
      </c>
    </row>
    <row r="48" spans="1:8" x14ac:dyDescent="0.3">
      <c r="A48" s="6" t="s">
        <v>68</v>
      </c>
      <c r="B48" s="1">
        <f ca="1">Differences!Q9</f>
        <v>57.199999999999974</v>
      </c>
    </row>
    <row r="49" spans="1:2" x14ac:dyDescent="0.3">
      <c r="A49" s="6" t="s">
        <v>69</v>
      </c>
      <c r="B49" s="1">
        <f ca="1">B48+B47</f>
        <v>30.200000000000003</v>
      </c>
    </row>
    <row r="50" spans="1:2" x14ac:dyDescent="0.3">
      <c r="A50" s="6" t="s">
        <v>140</v>
      </c>
      <c r="B50" s="1">
        <f ca="1">Differences!Q10</f>
        <v>-471</v>
      </c>
    </row>
    <row r="51" spans="1:2" x14ac:dyDescent="0.3">
      <c r="A51" s="6" t="s">
        <v>141</v>
      </c>
      <c r="B51" s="1">
        <f ca="1">Differences!Q11</f>
        <v>433</v>
      </c>
    </row>
    <row r="52" spans="1:2" x14ac:dyDescent="0.3">
      <c r="A52" s="6" t="s">
        <v>142</v>
      </c>
      <c r="B52" s="1">
        <f ca="1">B51+B50</f>
        <v>-38</v>
      </c>
    </row>
    <row r="53" spans="1:2" x14ac:dyDescent="0.3">
      <c r="A53" s="6" t="s">
        <v>195</v>
      </c>
      <c r="B53" s="1">
        <f ca="1">Differences!Q12</f>
        <v>-210</v>
      </c>
    </row>
    <row r="54" spans="1:2" x14ac:dyDescent="0.3">
      <c r="A54" s="6" t="s">
        <v>196</v>
      </c>
      <c r="B54" s="1">
        <f ca="1">Differences!Q13</f>
        <v>234</v>
      </c>
    </row>
    <row r="55" spans="1:2" x14ac:dyDescent="0.3">
      <c r="A55" s="6" t="s">
        <v>197</v>
      </c>
      <c r="B55" s="1">
        <f ca="1">B54+B53</f>
        <v>24</v>
      </c>
    </row>
    <row r="56" spans="1:2" x14ac:dyDescent="0.3">
      <c r="A56" s="6" t="s">
        <v>70</v>
      </c>
      <c r="B56" s="1">
        <f ca="1">Differences!Q14</f>
        <v>-320</v>
      </c>
    </row>
    <row r="57" spans="1:2" x14ac:dyDescent="0.3">
      <c r="A57" s="6" t="s">
        <v>71</v>
      </c>
      <c r="B57" s="1">
        <f ca="1">Differences!Q15</f>
        <v>282</v>
      </c>
    </row>
    <row r="58" spans="1:2" x14ac:dyDescent="0.3">
      <c r="A58" s="6" t="s">
        <v>72</v>
      </c>
      <c r="B58" s="1">
        <f ca="1">B57+B56</f>
        <v>-38</v>
      </c>
    </row>
    <row r="59" spans="1:2" x14ac:dyDescent="0.3">
      <c r="A59" s="6" t="s">
        <v>73</v>
      </c>
      <c r="B59" s="1">
        <f ca="1">Differences!Q16</f>
        <v>-31.099999999999937</v>
      </c>
    </row>
    <row r="60" spans="1:2" x14ac:dyDescent="0.3">
      <c r="A60" s="6" t="s">
        <v>74</v>
      </c>
      <c r="B60" s="1">
        <f ca="1">Differences!Q17</f>
        <v>30.599999999999937</v>
      </c>
    </row>
    <row r="61" spans="1:2" x14ac:dyDescent="0.3">
      <c r="A61" s="6" t="s">
        <v>75</v>
      </c>
      <c r="B61" s="1">
        <f ca="1">B60+B59</f>
        <v>-0.5</v>
      </c>
    </row>
    <row r="62" spans="1:2" x14ac:dyDescent="0.3">
      <c r="A62" s="6" t="s">
        <v>143</v>
      </c>
      <c r="B62" s="1">
        <f ca="1">Differences!Q18</f>
        <v>-504</v>
      </c>
    </row>
    <row r="63" spans="1:2" x14ac:dyDescent="0.3">
      <c r="A63" s="6" t="s">
        <v>144</v>
      </c>
      <c r="B63" s="1">
        <f ca="1">Differences!Q19</f>
        <v>524</v>
      </c>
    </row>
    <row r="64" spans="1:2" x14ac:dyDescent="0.3">
      <c r="A64" s="6" t="s">
        <v>145</v>
      </c>
      <c r="B64" s="1">
        <f ca="1">B63+B62</f>
        <v>20</v>
      </c>
    </row>
    <row r="65" spans="1:2" x14ac:dyDescent="0.3">
      <c r="A65" s="6" t="s">
        <v>170</v>
      </c>
      <c r="B65" s="1">
        <f ca="1">Differences!Q20</f>
        <v>-214</v>
      </c>
    </row>
    <row r="66" spans="1:2" x14ac:dyDescent="0.3">
      <c r="A66" s="6" t="s">
        <v>169</v>
      </c>
      <c r="B66" s="1">
        <f ca="1">Differences!Q21</f>
        <v>216</v>
      </c>
    </row>
    <row r="67" spans="1:2" x14ac:dyDescent="0.3">
      <c r="A67" s="6" t="s">
        <v>168</v>
      </c>
      <c r="B67" s="1">
        <f ca="1">B66+B65</f>
        <v>2</v>
      </c>
    </row>
    <row r="68" spans="1:2" x14ac:dyDescent="0.3">
      <c r="A68" s="6" t="s">
        <v>76</v>
      </c>
      <c r="B68" s="9">
        <f ca="1">Differences!Q22</f>
        <v>-369</v>
      </c>
    </row>
    <row r="69" spans="1:2" x14ac:dyDescent="0.3">
      <c r="A69" s="6" t="s">
        <v>77</v>
      </c>
      <c r="B69" s="10">
        <f ca="1">Differences!Q23</f>
        <v>378</v>
      </c>
    </row>
    <row r="70" spans="1:2" x14ac:dyDescent="0.3">
      <c r="A70" s="6" t="s">
        <v>78</v>
      </c>
      <c r="B70" s="9">
        <f ca="1">B69+B68</f>
        <v>9</v>
      </c>
    </row>
    <row r="71" spans="1:2" x14ac:dyDescent="0.3">
      <c r="A71" s="6" t="s">
        <v>79</v>
      </c>
      <c r="B71" s="1">
        <f ca="1">Differences!Q24</f>
        <v>-179.5</v>
      </c>
    </row>
    <row r="72" spans="1:2" x14ac:dyDescent="0.3">
      <c r="A72" s="6" t="s">
        <v>80</v>
      </c>
      <c r="B72" s="1">
        <f ca="1">Differences!Q25</f>
        <v>175</v>
      </c>
    </row>
    <row r="73" spans="1:2" x14ac:dyDescent="0.3">
      <c r="A73" s="6" t="s">
        <v>81</v>
      </c>
      <c r="B73" s="1">
        <f ca="1">B72+B71</f>
        <v>-4.5</v>
      </c>
    </row>
    <row r="74" spans="1:2" x14ac:dyDescent="0.3">
      <c r="A74" s="6" t="s">
        <v>120</v>
      </c>
      <c r="B74" s="1">
        <f ca="1">Differences!Q26</f>
        <v>-11.850571428571456</v>
      </c>
    </row>
    <row r="75" spans="1:2" x14ac:dyDescent="0.3">
      <c r="A75" s="6" t="s">
        <v>121</v>
      </c>
      <c r="B75" s="1">
        <f ca="1">Differences!Q27</f>
        <v>8.9811836734694097</v>
      </c>
    </row>
    <row r="76" spans="1:2" x14ac:dyDescent="0.3">
      <c r="A76" s="6" t="s">
        <v>122</v>
      </c>
      <c r="B76" s="1">
        <f ca="1">B75+B74</f>
        <v>-2.8693877551020464</v>
      </c>
    </row>
    <row r="77" spans="1:2" x14ac:dyDescent="0.3">
      <c r="A77" s="6" t="s">
        <v>123</v>
      </c>
      <c r="B77" s="1">
        <f ca="1">Differences!Q28</f>
        <v>-15.985152043317797</v>
      </c>
    </row>
    <row r="78" spans="1:2" x14ac:dyDescent="0.3">
      <c r="A78" s="6" t="s">
        <v>124</v>
      </c>
      <c r="B78" s="1">
        <f ca="1">Differences!Q29</f>
        <v>12.790585136845024</v>
      </c>
    </row>
    <row r="79" spans="1:2" x14ac:dyDescent="0.3">
      <c r="A79" s="6" t="s">
        <v>125</v>
      </c>
      <c r="B79" s="1">
        <f ca="1">B78+B77</f>
        <v>-3.1945669064727724</v>
      </c>
    </row>
    <row r="80" spans="1:2" x14ac:dyDescent="0.3">
      <c r="A80" s="6" t="s">
        <v>14</v>
      </c>
      <c r="B80" s="2">
        <f>AVERAGEIF(Log[Weight (Pounds)], "&gt;0")</f>
        <v>257.02127659574467</v>
      </c>
    </row>
    <row r="81" spans="1:2" x14ac:dyDescent="0.3">
      <c r="A81" s="6" t="s">
        <v>15</v>
      </c>
      <c r="B81" s="2">
        <f>AVERAGEIF(Log[Waist (Inches)], "&gt;0")</f>
        <v>44.638297872340424</v>
      </c>
    </row>
    <row r="82" spans="1:2" x14ac:dyDescent="0.3">
      <c r="A82" s="6" t="s">
        <v>82</v>
      </c>
      <c r="B82" s="2">
        <f>AVERAGEIF(Log[Neck (Inches)], "&gt;0")</f>
        <v>16.808510638297872</v>
      </c>
    </row>
    <row r="83" spans="1:2" x14ac:dyDescent="0.3">
      <c r="A83" s="6" t="s">
        <v>83</v>
      </c>
      <c r="B83" s="2">
        <f>AVERAGEIF(Log[Morning Body Temp], "&gt;0")</f>
        <v>96.458510638297824</v>
      </c>
    </row>
    <row r="84" spans="1:2" x14ac:dyDescent="0.3">
      <c r="A84" s="6" t="s">
        <v>146</v>
      </c>
      <c r="B84" s="2">
        <f>AVERAGEIF(Log[Morning Systolic Pressure], "&gt;0")</f>
        <v>131.97872340425531</v>
      </c>
    </row>
    <row r="85" spans="1:2" x14ac:dyDescent="0.3">
      <c r="A85" s="6" t="s">
        <v>167</v>
      </c>
      <c r="B85" s="2">
        <f>AVERAGEIF(Log[Morning Diastolic Pressure], "&gt;0")</f>
        <v>76.234042553191486</v>
      </c>
    </row>
    <row r="86" spans="1:2" x14ac:dyDescent="0.3">
      <c r="A86" s="6" t="s">
        <v>84</v>
      </c>
      <c r="B86" s="2">
        <f>AVERAGEIF(Log[Morning Pulse], "&gt;0")</f>
        <v>68.510638297872347</v>
      </c>
    </row>
    <row r="87" spans="1:2" x14ac:dyDescent="0.3">
      <c r="A87" s="6" t="s">
        <v>85</v>
      </c>
      <c r="B87" s="2">
        <f>AVERAGEIF(Log[Night Body Temp], "&gt;0")</f>
        <v>97.147311827956997</v>
      </c>
    </row>
    <row r="88" spans="1:2" x14ac:dyDescent="0.3">
      <c r="A88" s="6" t="s">
        <v>147</v>
      </c>
      <c r="B88" s="2">
        <f>AVERAGEIF(Log[Night Systolic Pressure], "&gt;0")</f>
        <v>134.88172043010752</v>
      </c>
    </row>
    <row r="89" spans="1:2" x14ac:dyDescent="0.3">
      <c r="A89" s="6" t="s">
        <v>166</v>
      </c>
      <c r="B89" s="2">
        <f>AVERAGEIF(Log[Night Diastolic Pressure], "&gt;0")</f>
        <v>76.268817204301072</v>
      </c>
    </row>
    <row r="90" spans="1:2" x14ac:dyDescent="0.3">
      <c r="A90" s="6" t="s">
        <v>86</v>
      </c>
      <c r="B90" s="2">
        <f>AVERAGEIF(Log[Night Pulse], "&gt;0")</f>
        <v>71.967741935483872</v>
      </c>
    </row>
    <row r="91" spans="1:2" x14ac:dyDescent="0.3">
      <c r="A91" s="6" t="s">
        <v>87</v>
      </c>
      <c r="B91" s="2">
        <f>AVERAGEIF(Log[Sleep], "&gt;0")</f>
        <v>8.0164835164835164</v>
      </c>
    </row>
    <row r="92" spans="1:2" x14ac:dyDescent="0.3">
      <c r="A92" s="6" t="s">
        <v>118</v>
      </c>
      <c r="B92" s="1">
        <f>AVERAGEIF(Log[BMI], "&gt;0")</f>
        <v>36.874685193226235</v>
      </c>
    </row>
    <row r="93" spans="1:2" x14ac:dyDescent="0.3">
      <c r="A93" s="6" t="s">
        <v>119</v>
      </c>
      <c r="B93" s="9">
        <f>AVERAGEIF(Log[CBF], "&gt;0")</f>
        <v>31.744936536632864</v>
      </c>
    </row>
    <row r="94" spans="1:2" x14ac:dyDescent="0.3">
      <c r="A94" s="6" t="s">
        <v>32</v>
      </c>
      <c r="B94" s="1">
        <f ca="1">Log!T18</f>
        <v>255.6</v>
      </c>
    </row>
    <row r="95" spans="1:2" x14ac:dyDescent="0.3">
      <c r="A95" s="6" t="s">
        <v>33</v>
      </c>
      <c r="B95" s="1">
        <f ca="1">Log!T19</f>
        <v>44.5</v>
      </c>
    </row>
    <row r="96" spans="1:2" x14ac:dyDescent="0.3">
      <c r="A96" s="6" t="s">
        <v>90</v>
      </c>
      <c r="B96" s="1">
        <f ca="1">Log!T20</f>
        <v>17</v>
      </c>
    </row>
    <row r="97" spans="1:2" x14ac:dyDescent="0.3">
      <c r="A97" s="6" t="s">
        <v>91</v>
      </c>
      <c r="B97" s="1">
        <f ca="1">Log!T21</f>
        <v>96.4</v>
      </c>
    </row>
    <row r="98" spans="1:2" x14ac:dyDescent="0.3">
      <c r="A98" s="6" t="s">
        <v>148</v>
      </c>
      <c r="B98" s="1">
        <f ca="1">Log!T22</f>
        <v>132.5</v>
      </c>
    </row>
    <row r="99" spans="1:2" x14ac:dyDescent="0.3">
      <c r="A99" s="6" t="s">
        <v>165</v>
      </c>
      <c r="B99" s="1">
        <f ca="1">Log!T23</f>
        <v>76</v>
      </c>
    </row>
    <row r="100" spans="1:2" x14ac:dyDescent="0.3">
      <c r="A100" s="6" t="s">
        <v>92</v>
      </c>
      <c r="B100" s="1">
        <f ca="1">Log!T24</f>
        <v>68</v>
      </c>
    </row>
    <row r="101" spans="1:2" x14ac:dyDescent="0.3">
      <c r="A101" s="6" t="s">
        <v>93</v>
      </c>
      <c r="B101" s="1">
        <f ca="1">Log!T25</f>
        <v>97.2</v>
      </c>
    </row>
    <row r="102" spans="1:2" x14ac:dyDescent="0.3">
      <c r="A102" s="6" t="s">
        <v>149</v>
      </c>
      <c r="B102" s="1">
        <f ca="1">Log!T26</f>
        <v>135</v>
      </c>
    </row>
    <row r="103" spans="1:2" x14ac:dyDescent="0.3">
      <c r="A103" s="6" t="s">
        <v>164</v>
      </c>
      <c r="B103" s="1">
        <f ca="1">Log!T27</f>
        <v>76</v>
      </c>
    </row>
    <row r="104" spans="1:2" x14ac:dyDescent="0.3">
      <c r="A104" s="6" t="s">
        <v>94</v>
      </c>
      <c r="B104" s="1">
        <f ca="1">Log!T28</f>
        <v>71</v>
      </c>
    </row>
    <row r="105" spans="1:2" x14ac:dyDescent="0.3">
      <c r="A105" s="6" t="s">
        <v>95</v>
      </c>
      <c r="B105" s="1">
        <f ca="1">Log!T29</f>
        <v>8</v>
      </c>
    </row>
    <row r="106" spans="1:2" x14ac:dyDescent="0.3">
      <c r="A106" s="6" t="s">
        <v>116</v>
      </c>
      <c r="B106" s="1">
        <f ca="1">Log!T30</f>
        <v>36.670775510204081</v>
      </c>
    </row>
    <row r="107" spans="1:2" x14ac:dyDescent="0.3">
      <c r="A107" s="6" t="s">
        <v>117</v>
      </c>
      <c r="B107" s="1">
        <f ca="1">Log!T31</f>
        <v>31.324493175702337</v>
      </c>
    </row>
    <row r="108" spans="1:2" x14ac:dyDescent="0.3">
      <c r="A108" s="6" t="s">
        <v>179</v>
      </c>
      <c r="B108" s="1">
        <f ca="1">Differences!Q30</f>
        <v>-0.21505376344086052</v>
      </c>
    </row>
    <row r="109" spans="1:2" x14ac:dyDescent="0.3">
      <c r="A109" s="6" t="s">
        <v>181</v>
      </c>
      <c r="B109" s="1">
        <f ca="1">Differences!Q31</f>
        <v>-3.2258064516129031E-2</v>
      </c>
    </row>
    <row r="110" spans="1:2" x14ac:dyDescent="0.3">
      <c r="A110" s="6" t="s">
        <v>182</v>
      </c>
      <c r="B110" s="1">
        <f ca="1">Differences!Q32</f>
        <v>-5.3763440860215058E-3</v>
      </c>
    </row>
    <row r="111" spans="1:2" x14ac:dyDescent="0.3">
      <c r="A111" s="6" t="s">
        <v>183</v>
      </c>
      <c r="B111" s="1">
        <f ca="1">Differences!Q33</f>
        <v>0.32473118279569896</v>
      </c>
    </row>
    <row r="112" spans="1:2" x14ac:dyDescent="0.3">
      <c r="A112" s="6" t="s">
        <v>184</v>
      </c>
      <c r="B112" s="1">
        <f ca="1">Differences!Q34</f>
        <v>-0.40860215053763443</v>
      </c>
    </row>
    <row r="113" spans="1:2" x14ac:dyDescent="0.3">
      <c r="A113" s="6" t="s">
        <v>185</v>
      </c>
      <c r="B113" s="1">
        <f ca="1">Differences!Q35</f>
        <v>0.25806451612903225</v>
      </c>
    </row>
    <row r="114" spans="1:2" x14ac:dyDescent="0.3">
      <c r="A114" s="6" t="s">
        <v>186</v>
      </c>
      <c r="B114" s="1" t="e">
        <f ca="1">Differences!Q36</f>
        <v>#REF!</v>
      </c>
    </row>
    <row r="115" spans="1:2" x14ac:dyDescent="0.3">
      <c r="A115" s="6" t="s">
        <v>187</v>
      </c>
      <c r="B115" s="1">
        <f ca="1">Differences!Q37</f>
        <v>-5.434782608695652E-3</v>
      </c>
    </row>
    <row r="116" spans="1:2" x14ac:dyDescent="0.3">
      <c r="A116" s="6" t="s">
        <v>188</v>
      </c>
      <c r="B116" s="1">
        <f ca="1">Differences!Q38</f>
        <v>0.21739130434782608</v>
      </c>
    </row>
    <row r="117" spans="1:2" x14ac:dyDescent="0.3">
      <c r="A117" s="6" t="s">
        <v>189</v>
      </c>
      <c r="B117" s="1">
        <f ca="1">Differences!Q39</f>
        <v>2.1739130434782608E-2</v>
      </c>
    </row>
    <row r="118" spans="1:2" x14ac:dyDescent="0.3">
      <c r="A118" s="6" t="s">
        <v>190</v>
      </c>
      <c r="B118" s="1">
        <f ca="1">Differences!Q40</f>
        <v>9.7826086956521743E-2</v>
      </c>
    </row>
    <row r="119" spans="1:2" x14ac:dyDescent="0.3">
      <c r="A119" s="6" t="s">
        <v>191</v>
      </c>
      <c r="B119" s="1" t="e">
        <f ca="1">Differences!Q41</f>
        <v>#REF!</v>
      </c>
    </row>
    <row r="120" spans="1:2" x14ac:dyDescent="0.3">
      <c r="A120" s="6" t="s">
        <v>192</v>
      </c>
      <c r="B120" s="1">
        <f ca="1">Differences!Q42</f>
        <v>-3.0853631775290821E-2</v>
      </c>
    </row>
    <row r="121" spans="1:2" x14ac:dyDescent="0.3">
      <c r="A121" s="6" t="s">
        <v>193</v>
      </c>
      <c r="B121" s="1">
        <f ca="1">Differences!Q43</f>
        <v>-3.4350181790029813E-2</v>
      </c>
    </row>
    <row r="122" spans="1:2" x14ac:dyDescent="0.3">
      <c r="A122" s="6" t="s">
        <v>96</v>
      </c>
      <c r="B122" s="1">
        <f ca="1">Log!T2</f>
        <v>-20.000000000000028</v>
      </c>
    </row>
    <row r="123" spans="1:2" x14ac:dyDescent="0.3">
      <c r="A123" s="6" t="s">
        <v>97</v>
      </c>
      <c r="B123" s="1">
        <f ca="1">Log!T3</f>
        <v>-3</v>
      </c>
    </row>
    <row r="124" spans="1:2" x14ac:dyDescent="0.3">
      <c r="A124" s="6" t="s">
        <v>98</v>
      </c>
      <c r="B124" s="1">
        <f ca="1">Log!T4</f>
        <v>-0.5</v>
      </c>
    </row>
    <row r="125" spans="1:2" x14ac:dyDescent="0.3">
      <c r="A125" s="6" t="s">
        <v>99</v>
      </c>
      <c r="B125" s="1">
        <f ca="1">Log!T5</f>
        <v>0.70000000000000284</v>
      </c>
    </row>
    <row r="126" spans="1:2" x14ac:dyDescent="0.3">
      <c r="A126" s="6" t="s">
        <v>150</v>
      </c>
      <c r="B126" s="1">
        <f ca="1">Log!T6</f>
        <v>19</v>
      </c>
    </row>
    <row r="127" spans="1:2" x14ac:dyDescent="0.3">
      <c r="A127" s="6" t="s">
        <v>162</v>
      </c>
      <c r="B127" s="1">
        <f ca="1">Log!T7</f>
        <v>8</v>
      </c>
    </row>
    <row r="128" spans="1:2" x14ac:dyDescent="0.3">
      <c r="A128" s="6" t="s">
        <v>100</v>
      </c>
      <c r="B128" s="1">
        <f ca="1">Log!T8</f>
        <v>-12</v>
      </c>
    </row>
    <row r="129" spans="1:2" x14ac:dyDescent="0.3">
      <c r="A129" s="6" t="s">
        <v>101</v>
      </c>
      <c r="B129" s="1">
        <f ca="1">Log!T9</f>
        <v>-0.5</v>
      </c>
    </row>
    <row r="130" spans="1:2" x14ac:dyDescent="0.3">
      <c r="A130" s="6" t="s">
        <v>151</v>
      </c>
      <c r="B130" s="1">
        <f ca="1">Log!T10</f>
        <v>20</v>
      </c>
    </row>
    <row r="131" spans="1:2" x14ac:dyDescent="0.3">
      <c r="A131" s="6" t="s">
        <v>163</v>
      </c>
      <c r="B131" s="1">
        <f ca="1">Log!T11</f>
        <v>2</v>
      </c>
    </row>
    <row r="132" spans="1:2" x14ac:dyDescent="0.3">
      <c r="A132" s="6" t="s">
        <v>102</v>
      </c>
      <c r="B132" s="1">
        <f ca="1">Log!T12</f>
        <v>9</v>
      </c>
    </row>
    <row r="133" spans="1:2" x14ac:dyDescent="0.3">
      <c r="A133" s="6" t="s">
        <v>103</v>
      </c>
      <c r="B133" s="1">
        <f ca="1">Log!T13</f>
        <v>-4.5</v>
      </c>
    </row>
    <row r="134" spans="1:2" x14ac:dyDescent="0.3">
      <c r="A134" s="6" t="s">
        <v>128</v>
      </c>
      <c r="B134" s="1">
        <f ca="1">Log!T14</f>
        <v>-2.8693877551020464</v>
      </c>
    </row>
    <row r="135" spans="1:2" x14ac:dyDescent="0.3">
      <c r="A135" s="6" t="s">
        <v>129</v>
      </c>
      <c r="B135" s="1">
        <f ca="1">Log!T15</f>
        <v>-3.1945669064727724</v>
      </c>
    </row>
    <row r="136" spans="1:2" x14ac:dyDescent="0.3">
      <c r="A136" s="6" t="s">
        <v>16</v>
      </c>
      <c r="B136" s="1">
        <f>B137/7</f>
        <v>13.428571428571429</v>
      </c>
    </row>
    <row r="137" spans="1:2" x14ac:dyDescent="0.3">
      <c r="A137" s="6" t="s">
        <v>17</v>
      </c>
      <c r="B137" s="1">
        <f>COUNT(Log[Weight (Pounds)])</f>
        <v>94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FA6D-942D-435B-8295-097739F17DA2}">
  <sheetPr codeName="Sheet6"/>
  <dimension ref="A1:R120"/>
  <sheetViews>
    <sheetView workbookViewId="0"/>
  </sheetViews>
  <sheetFormatPr defaultColWidth="9.140625" defaultRowHeight="15.75" x14ac:dyDescent="0.25"/>
  <cols>
    <col min="1" max="1" width="25.7109375" style="5" customWidth="1"/>
    <col min="2" max="2" width="21.28515625" style="5" customWidth="1"/>
    <col min="3" max="3" width="17" style="5" customWidth="1"/>
    <col min="4" max="4" width="19" style="5" customWidth="1"/>
    <col min="5" max="5" width="26.140625" style="5" customWidth="1"/>
    <col min="6" max="7" width="28.28515625" style="5" customWidth="1"/>
    <col min="8" max="8" width="18" style="5" customWidth="1"/>
    <col min="9" max="9" width="22.42578125" style="5" customWidth="1"/>
    <col min="10" max="10" width="27.5703125" style="5" customWidth="1"/>
    <col min="11" max="11" width="28" style="5" customWidth="1"/>
    <col min="12" max="13" width="17.140625" style="5" customWidth="1"/>
    <col min="14" max="14" width="12.85546875" style="5" customWidth="1"/>
    <col min="15" max="16" width="15.28515625" style="5" customWidth="1"/>
    <col min="17" max="17" width="9.140625" style="5"/>
    <col min="18" max="18" width="28.7109375" style="5" customWidth="1"/>
    <col min="19" max="16384" width="9.140625" style="5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30</v>
      </c>
      <c r="E1" s="3" t="s">
        <v>21</v>
      </c>
      <c r="F1" s="3" t="s">
        <v>130</v>
      </c>
      <c r="G1" s="3" t="s">
        <v>131</v>
      </c>
      <c r="H1" s="3" t="s">
        <v>23</v>
      </c>
      <c r="I1" s="3" t="s">
        <v>22</v>
      </c>
      <c r="J1" s="3" t="s">
        <v>132</v>
      </c>
      <c r="K1" s="3" t="s">
        <v>133</v>
      </c>
      <c r="L1" s="3" t="s">
        <v>24</v>
      </c>
      <c r="M1" s="3" t="s">
        <v>59</v>
      </c>
      <c r="N1" s="3" t="s">
        <v>108</v>
      </c>
      <c r="O1" s="3" t="s">
        <v>109</v>
      </c>
      <c r="P1" s="3"/>
    </row>
    <row r="2" spans="1:18" x14ac:dyDescent="0.25">
      <c r="A2" s="3" t="str">
        <f>_xlfn.CONCAT(TEXT(Log!A3, "MM/DD/YY")," - ",TEXT(Log!A2, "MM/DD/YY"))</f>
        <v>01/27/24 - 01/26/24</v>
      </c>
      <c r="B2" s="3">
        <f>Log!B3-Log[[#This Row],[Weight (Pounds)]]</f>
        <v>-3.8000000000000114</v>
      </c>
      <c r="C2" s="3">
        <f>Log!C3-Log[[#This Row],[Waist (Inches)]]</f>
        <v>-0.5</v>
      </c>
      <c r="D2" s="3">
        <f>Log!D3-Log[[#This Row],[Neck (Inches)]]</f>
        <v>0</v>
      </c>
      <c r="E2" s="3">
        <f>Log!E3-Log[[#This Row],[Morning Body Temp]]</f>
        <v>0.5</v>
      </c>
      <c r="F2" s="3">
        <f>Log!F3-Log[[#This Row],[Morning Systolic Pressure]]</f>
        <v>1</v>
      </c>
      <c r="G2" s="3">
        <f>Log!G3-Log[[#This Row],[Morning Diastolic Pressure]]</f>
        <v>2</v>
      </c>
      <c r="H2" s="3">
        <f>Log!H3-Log[[#This Row],[Morning Pulse]]</f>
        <v>-7</v>
      </c>
      <c r="I2" s="3">
        <f>Log!I3-Log[[#This Row],[Night Body Temp]]</f>
        <v>0.39999999999999147</v>
      </c>
      <c r="J2" s="3">
        <f>Log!J3-Log[[#This Row],[Night Systolic Pressure]]</f>
        <v>-20</v>
      </c>
      <c r="K2" s="3">
        <f>Log!K3-Log[[#This Row],[Night Diastolic Pressure]]</f>
        <v>-4</v>
      </c>
      <c r="L2" s="3">
        <f>Log!L3-Log[[#This Row],[Night Pulse]]</f>
        <v>9</v>
      </c>
      <c r="M2" s="3">
        <f>Log!M3-Log[[#This Row],[Sleep]]</f>
        <v>-6</v>
      </c>
      <c r="N2" s="3">
        <f>Log!N3-Log[[#This Row],[BMI]]</f>
        <v>-0.54518367346938845</v>
      </c>
      <c r="O2" s="3">
        <f>Log!O3-Log[[#This Row],[CBF]]</f>
        <v>-0.61743006377888321</v>
      </c>
      <c r="P2" s="3"/>
      <c r="Q2" s="5">
        <f ca="1">SUMIF(Differences!B$2:INDIRECT(Measurements!E1),"&lt;0")</f>
        <v>-82.600000000000023</v>
      </c>
      <c r="R2" s="5" t="s">
        <v>36</v>
      </c>
    </row>
    <row r="3" spans="1:18" x14ac:dyDescent="0.25">
      <c r="A3" s="3" t="str">
        <f>_xlfn.CONCAT(TEXT(Log!A4, "MM/DD/YY")," - ",TEXT(Log!A3, "MM/DD/YY"))</f>
        <v>01/28/24 - 01/27/24</v>
      </c>
      <c r="B3" s="3">
        <f>Log!B4-Log[[#This Row],[Weight (Pounds)]]</f>
        <v>0</v>
      </c>
      <c r="C3" s="3">
        <f>Log!C4-Log[[#This Row],[Waist (Inches)]]</f>
        <v>0</v>
      </c>
      <c r="D3" s="3">
        <f>Log!D4-Log[[#This Row],[Neck (Inches)]]</f>
        <v>0</v>
      </c>
      <c r="E3" s="3">
        <f>Log!E4-Log[[#This Row],[Morning Body Temp]]</f>
        <v>0.5</v>
      </c>
      <c r="F3" s="3">
        <f>Log!F4-Log[[#This Row],[Morning Systolic Pressure]]</f>
        <v>22</v>
      </c>
      <c r="G3" s="3">
        <f>Log!G4-Log[[#This Row],[Morning Diastolic Pressure]]</f>
        <v>1</v>
      </c>
      <c r="H3" s="3">
        <f>Log!H4-Log[[#This Row],[Morning Pulse]]</f>
        <v>4</v>
      </c>
      <c r="I3" s="3">
        <f>Log!I4-Log[[#This Row],[Night Body Temp]]</f>
        <v>-1.7000000000000028</v>
      </c>
      <c r="J3" s="3">
        <f>Log!J4-Log[[#This Row],[Night Systolic Pressure]]</f>
        <v>4</v>
      </c>
      <c r="K3" s="3">
        <f>Log!K4-Log[[#This Row],[Night Diastolic Pressure]]</f>
        <v>-12</v>
      </c>
      <c r="L3" s="3">
        <f>Log!L4-Log[[#This Row],[Night Pulse]]</f>
        <v>-12</v>
      </c>
      <c r="M3" s="3">
        <f>Log!M4-Log[[#This Row],[Sleep]]</f>
        <v>2.5</v>
      </c>
      <c r="N3" s="3">
        <f>Log!N4-Log[[#This Row],[BMI]]</f>
        <v>0</v>
      </c>
      <c r="O3" s="3">
        <f>Log!O4-Log[[#This Row],[CBF]]</f>
        <v>0</v>
      </c>
      <c r="P3" s="3"/>
      <c r="Q3" s="5">
        <f ca="1">SUMIF(Differences!B$2:INDIRECT(Measurements!E1),"&gt;0")</f>
        <v>62.599999999999994</v>
      </c>
      <c r="R3" s="5" t="s">
        <v>37</v>
      </c>
    </row>
    <row r="4" spans="1:18" x14ac:dyDescent="0.25">
      <c r="A4" s="3" t="str">
        <f>_xlfn.CONCAT(TEXT(Log!A5, "MM/DD/YY")," - ",TEXT(Log!A4, "MM/DD/YY"))</f>
        <v>01/29/24 - 01/28/24</v>
      </c>
      <c r="B4" s="3">
        <f>Log!B5-Log[[#This Row],[Weight (Pounds)]]</f>
        <v>1</v>
      </c>
      <c r="C4" s="3">
        <f>Log!C5-Log[[#This Row],[Waist (Inches)]]</f>
        <v>0</v>
      </c>
      <c r="D4" s="3">
        <f>Log!D5-Log[[#This Row],[Neck (Inches)]]</f>
        <v>0</v>
      </c>
      <c r="E4" s="3">
        <f>Log!E5-Log[[#This Row],[Morning Body Temp]]</f>
        <v>0.79999999999999716</v>
      </c>
      <c r="F4" s="3">
        <f>Log!F5-Log[[#This Row],[Morning Systolic Pressure]]</f>
        <v>-5</v>
      </c>
      <c r="G4" s="3">
        <f>Log!G5-Log[[#This Row],[Morning Diastolic Pressure]]</f>
        <v>9</v>
      </c>
      <c r="H4" s="3">
        <f>Log!H5-Log[[#This Row],[Morning Pulse]]</f>
        <v>5</v>
      </c>
      <c r="I4" s="3">
        <f>Log!I5-Log[[#This Row],[Night Body Temp]]</f>
        <v>1</v>
      </c>
      <c r="J4" s="3">
        <f>Log!J5-Log[[#This Row],[Night Systolic Pressure]]</f>
        <v>46</v>
      </c>
      <c r="K4" s="3">
        <f>Log!K5-Log[[#This Row],[Night Diastolic Pressure]]</f>
        <v>25</v>
      </c>
      <c r="L4" s="3">
        <f>Log!L5-Log[[#This Row],[Night Pulse]]</f>
        <v>16</v>
      </c>
      <c r="M4" s="3">
        <f>Log!M5-Log[[#This Row],[Sleep]]</f>
        <v>0</v>
      </c>
      <c r="N4" s="3">
        <f>Log!N5-Log[[#This Row],[BMI]]</f>
        <v>0.14346938775509699</v>
      </c>
      <c r="O4" s="3">
        <f>Log!O5-Log[[#This Row],[CBF]]</f>
        <v>0</v>
      </c>
      <c r="P4" s="3"/>
      <c r="Q4" s="5">
        <f ca="1">SUMIF(Differences!C$2:INDIRECT(Measurements!E2),"&lt;0")</f>
        <v>-12</v>
      </c>
      <c r="R4" s="5" t="s">
        <v>34</v>
      </c>
    </row>
    <row r="5" spans="1:18" x14ac:dyDescent="0.25">
      <c r="A5" s="3" t="str">
        <f>_xlfn.CONCAT(TEXT(Log!A6, "MM/DD/YY")," - ",TEXT(Log!A5, "MM/DD/YY"))</f>
        <v>01/30/24 - 01/29/24</v>
      </c>
      <c r="B5" s="3">
        <f>Log!B6-Log[[#This Row],[Weight (Pounds)]]</f>
        <v>-3.1999999999999886</v>
      </c>
      <c r="C5" s="3">
        <f>Log!C6-Log[[#This Row],[Waist (Inches)]]</f>
        <v>-0.5</v>
      </c>
      <c r="D5" s="3">
        <f>Log!D6-Log[[#This Row],[Neck (Inches)]]</f>
        <v>0</v>
      </c>
      <c r="E5" s="3">
        <f>Log!E6-Log[[#This Row],[Morning Body Temp]]</f>
        <v>0.20000000000000284</v>
      </c>
      <c r="F5" s="3">
        <f>Log!F6-Log[[#This Row],[Morning Systolic Pressure]]</f>
        <v>-8</v>
      </c>
      <c r="G5" s="3">
        <f>Log!G6-Log[[#This Row],[Morning Diastolic Pressure]]</f>
        <v>-6</v>
      </c>
      <c r="H5" s="3">
        <f>Log!H6-Log[[#This Row],[Morning Pulse]]</f>
        <v>8</v>
      </c>
      <c r="I5" s="3">
        <f>Log!I6-Log[[#This Row],[Night Body Temp]]</f>
        <v>1.5</v>
      </c>
      <c r="J5" s="3">
        <f>Log!J6-Log[[#This Row],[Night Systolic Pressure]]</f>
        <v>-38</v>
      </c>
      <c r="K5" s="3">
        <f>Log!K6-Log[[#This Row],[Night Diastolic Pressure]]</f>
        <v>-17</v>
      </c>
      <c r="L5" s="3">
        <f>Log!L6-Log[[#This Row],[Night Pulse]]</f>
        <v>-5</v>
      </c>
      <c r="M5" s="3">
        <f>Log!M6-Log[[#This Row],[Sleep]]</f>
        <v>2</v>
      </c>
      <c r="N5" s="3">
        <f>Log!N6-Log[[#This Row],[BMI]]</f>
        <v>-0.45910204081631889</v>
      </c>
      <c r="O5" s="3">
        <f>Log!O6-Log[[#This Row],[CBF]]</f>
        <v>-0.62780752415636698</v>
      </c>
      <c r="P5" s="3"/>
      <c r="Q5" s="5">
        <f ca="1">SUMIF(Differences!C$2:INDIRECT(Measurements!E2),"&gt;0")</f>
        <v>9</v>
      </c>
      <c r="R5" s="5" t="s">
        <v>35</v>
      </c>
    </row>
    <row r="6" spans="1:18" x14ac:dyDescent="0.25">
      <c r="A6" s="3" t="str">
        <f>_xlfn.CONCAT(TEXT(Log!A7, "MM/DD/YY")," - ",TEXT(Log!A6, "MM/DD/YY"))</f>
        <v>01/31/24 - 01/30/24</v>
      </c>
      <c r="B6" s="3">
        <f>Log!B7-Log[[#This Row],[Weight (Pounds)]]</f>
        <v>-1</v>
      </c>
      <c r="C6" s="3">
        <f>Log!C7-Log[[#This Row],[Waist (Inches)]]</f>
        <v>0.5</v>
      </c>
      <c r="D6" s="3">
        <f>Log!D7-Log[[#This Row],[Neck (Inches)]]</f>
        <v>0</v>
      </c>
      <c r="E6" s="3">
        <f>Log!E7-Log[[#This Row],[Morning Body Temp]]</f>
        <v>-1.6000000000000085</v>
      </c>
      <c r="F6" s="3">
        <f>Log!F7-Log[[#This Row],[Morning Systolic Pressure]]</f>
        <v>9</v>
      </c>
      <c r="G6" s="3">
        <f>Log!G7-Log[[#This Row],[Morning Diastolic Pressure]]</f>
        <v>-4</v>
      </c>
      <c r="H6" s="3">
        <f>Log!H7-Log[[#This Row],[Morning Pulse]]</f>
        <v>-22</v>
      </c>
      <c r="I6" s="3">
        <f>Log!I7-Log[[#This Row],[Night Body Temp]]</f>
        <v>-2.0999999999999943</v>
      </c>
      <c r="J6" s="3">
        <f>Log!J7-Log[[#This Row],[Night Systolic Pressure]]</f>
        <v>36</v>
      </c>
      <c r="K6" s="3">
        <f>Log!K7-Log[[#This Row],[Night Diastolic Pressure]]</f>
        <v>12</v>
      </c>
      <c r="L6" s="3">
        <f>Log!L7-Log[[#This Row],[Night Pulse]]</f>
        <v>-8</v>
      </c>
      <c r="M6" s="3">
        <f>Log!M7-Log[[#This Row],[Sleep]]</f>
        <v>-1</v>
      </c>
      <c r="N6" s="3">
        <f>Log!N7-Log[[#This Row],[BMI]]</f>
        <v>-0.14346938775510409</v>
      </c>
      <c r="O6" s="3">
        <f>Log!O7-Log[[#This Row],[CBF]]</f>
        <v>0.62780752415636698</v>
      </c>
      <c r="P6" s="3"/>
      <c r="Q6" s="5">
        <f ca="1">SUMIF(Differences!D$2:INDIRECT(Measurements!E3),"&lt;0")</f>
        <v>-1</v>
      </c>
      <c r="R6" s="5" t="s">
        <v>38</v>
      </c>
    </row>
    <row r="7" spans="1:18" x14ac:dyDescent="0.25">
      <c r="A7" s="3" t="str">
        <f>_xlfn.CONCAT(TEXT(Log!A8, "MM/DD/YY")," - ",TEXT(Log!A7, "MM/DD/YY"))</f>
        <v>02/01/24 - 01/31/24</v>
      </c>
      <c r="B7" s="3">
        <f>Log!B8-Log[[#This Row],[Weight (Pounds)]]</f>
        <v>0.19999999999998863</v>
      </c>
      <c r="C7" s="3">
        <f>Log!C8-Log[[#This Row],[Waist (Inches)]]</f>
        <v>-0.5</v>
      </c>
      <c r="D7" s="3">
        <f>Log!D8-Log[[#This Row],[Neck (Inches)]]</f>
        <v>0</v>
      </c>
      <c r="E7" s="3">
        <f>Log!E8-Log[[#This Row],[Morning Body Temp]]</f>
        <v>0.30000000000001137</v>
      </c>
      <c r="F7" s="3">
        <f>Log!F8-Log[[#This Row],[Morning Systolic Pressure]]</f>
        <v>0</v>
      </c>
      <c r="G7" s="3">
        <f>Log!G8-Log[[#This Row],[Morning Diastolic Pressure]]</f>
        <v>-5</v>
      </c>
      <c r="H7" s="3">
        <f>Log!H8-Log[[#This Row],[Morning Pulse]]</f>
        <v>9</v>
      </c>
      <c r="I7" s="3">
        <f>Log!I8-Log[[#This Row],[Night Body Temp]]</f>
        <v>0.79999999999999716</v>
      </c>
      <c r="J7" s="3">
        <f>Log!J8-Log[[#This Row],[Night Systolic Pressure]]</f>
        <v>-43</v>
      </c>
      <c r="K7" s="3">
        <f>Log!K8-Log[[#This Row],[Night Diastolic Pressure]]</f>
        <v>-8</v>
      </c>
      <c r="L7" s="3">
        <f>Log!L8-Log[[#This Row],[Night Pulse]]</f>
        <v>16</v>
      </c>
      <c r="M7" s="3">
        <f>Log!M8-Log[[#This Row],[Sleep]]</f>
        <v>1</v>
      </c>
      <c r="N7" s="3">
        <f>Log!N8-Log[[#This Row],[BMI]]</f>
        <v>2.8693877551020819E-2</v>
      </c>
      <c r="O7" s="3">
        <f>Log!O8-Log[[#This Row],[CBF]]</f>
        <v>-0.62780752415636698</v>
      </c>
      <c r="P7" s="3"/>
      <c r="Q7" s="5">
        <f ca="1">SUMIF(Differences!D$2:INDIRECT(Measurements!E3),"&gt;0")</f>
        <v>0.5</v>
      </c>
      <c r="R7" s="5" t="s">
        <v>39</v>
      </c>
    </row>
    <row r="8" spans="1:18" x14ac:dyDescent="0.25">
      <c r="A8" s="3" t="str">
        <f>_xlfn.CONCAT(TEXT(Log!A9, "MM/DD/YY")," - ",TEXT(Log!A8, "MM/DD/YY"))</f>
        <v>02/02/24 - 02/01/24</v>
      </c>
      <c r="B8" s="3">
        <f>Log!B9-Log[[#This Row],[Weight (Pounds)]]</f>
        <v>0</v>
      </c>
      <c r="C8" s="3">
        <f>Log!C9-Log[[#This Row],[Waist (Inches)]]</f>
        <v>0</v>
      </c>
      <c r="D8" s="3">
        <f>Log!D9-Log[[#This Row],[Neck (Inches)]]</f>
        <v>0</v>
      </c>
      <c r="E8" s="3">
        <f>Log!E9-Log[[#This Row],[Morning Body Temp]]</f>
        <v>0</v>
      </c>
      <c r="F8" s="3">
        <f>Log!F9-Log[[#This Row],[Morning Systolic Pressure]]</f>
        <v>0</v>
      </c>
      <c r="G8" s="3">
        <f>Log!G9-Log[[#This Row],[Morning Diastolic Pressure]]</f>
        <v>0</v>
      </c>
      <c r="H8" s="3">
        <f>Log!H9-Log[[#This Row],[Morning Pulse]]</f>
        <v>0</v>
      </c>
      <c r="I8" s="3">
        <f>Log!I9-Log[[#This Row],[Night Body Temp]]</f>
        <v>0</v>
      </c>
      <c r="J8" s="3">
        <f>Log!J9-Log[[#This Row],[Night Systolic Pressure]]</f>
        <v>0</v>
      </c>
      <c r="K8" s="3">
        <f>Log!K9-Log[[#This Row],[Night Diastolic Pressure]]</f>
        <v>0</v>
      </c>
      <c r="L8" s="3">
        <f>Log!L9-Log[[#This Row],[Night Pulse]]</f>
        <v>0</v>
      </c>
      <c r="M8" s="3">
        <f>Log!M9-Log[[#This Row],[Sleep]]</f>
        <v>-10</v>
      </c>
      <c r="N8" s="3">
        <f>Log!N9-Log[[#This Row],[BMI]]</f>
        <v>0</v>
      </c>
      <c r="O8" s="3">
        <f>Log!O9-Log[[#This Row],[CBF]]</f>
        <v>0</v>
      </c>
      <c r="P8" s="3"/>
      <c r="Q8" s="5">
        <f ca="1">SUMIF(Differences!E$2:INDIRECT(Measurements!E4),"&lt;0")</f>
        <v>-26.999999999999972</v>
      </c>
      <c r="R8" s="5" t="s">
        <v>40</v>
      </c>
    </row>
    <row r="9" spans="1:18" x14ac:dyDescent="0.25">
      <c r="A9" s="3" t="str">
        <f>_xlfn.CONCAT(TEXT(Log!A10, "MM/DD/YY")," - ",TEXT(Log!A9, "MM/DD/YY"))</f>
        <v>02/03/24 - 02/02/24</v>
      </c>
      <c r="B9" s="3">
        <f>Log!B10-Log[[#This Row],[Weight (Pounds)]]</f>
        <v>0.59999999999996589</v>
      </c>
      <c r="C9" s="3">
        <f>Log!C10-Log[[#This Row],[Waist (Inches)]]</f>
        <v>0.5</v>
      </c>
      <c r="D9" s="3">
        <f>Log!D10-Log[[#This Row],[Neck (Inches)]]</f>
        <v>0</v>
      </c>
      <c r="E9" s="3">
        <f>Log!E10-Log[[#This Row],[Morning Body Temp]]</f>
        <v>1.2999999999999972</v>
      </c>
      <c r="F9" s="3">
        <f>Log!F10-Log[[#This Row],[Morning Systolic Pressure]]</f>
        <v>-12</v>
      </c>
      <c r="G9" s="3">
        <f>Log!G10-Log[[#This Row],[Morning Diastolic Pressure]]</f>
        <v>7</v>
      </c>
      <c r="H9" s="3">
        <f>Log!H10-Log[[#This Row],[Morning Pulse]]</f>
        <v>5</v>
      </c>
      <c r="I9" s="3">
        <f>Log!I10-Log[[#This Row],[Night Body Temp]]</f>
        <v>-0.79999999999999716</v>
      </c>
      <c r="J9" s="3">
        <f>Log!J10-Log[[#This Row],[Night Systolic Pressure]]</f>
        <v>11</v>
      </c>
      <c r="K9" s="3">
        <f>Log!K10-Log[[#This Row],[Night Diastolic Pressure]]</f>
        <v>0</v>
      </c>
      <c r="L9" s="3">
        <f>Log!L10-Log[[#This Row],[Night Pulse]]</f>
        <v>-23</v>
      </c>
      <c r="M9" s="3">
        <f>Log!M10-Log[[#This Row],[Sleep]]</f>
        <v>16.5</v>
      </c>
      <c r="N9" s="3">
        <f>Log!N10-Log[[#This Row],[BMI]]</f>
        <v>8.6081632653055351E-2</v>
      </c>
      <c r="O9" s="3">
        <f>Log!O10-Log[[#This Row],[CBF]]</f>
        <v>0.62780752415636698</v>
      </c>
      <c r="P9" s="3"/>
      <c r="Q9" s="5">
        <f ca="1">SUMIF(Differences!E$2:INDIRECT(Measurements!E4),"&gt;0")</f>
        <v>57.199999999999974</v>
      </c>
      <c r="R9" s="5" t="s">
        <v>41</v>
      </c>
    </row>
    <row r="10" spans="1:18" x14ac:dyDescent="0.25">
      <c r="A10" s="3" t="str">
        <f>_xlfn.CONCAT(TEXT(Log!A11, "MM/DD/YY")," - ",TEXT(Log!A10, "MM/DD/YY"))</f>
        <v>02/04/24 - 02/03/24</v>
      </c>
      <c r="B10" s="3">
        <f>Log!B11-Log[[#This Row],[Weight (Pounds)]]</f>
        <v>3.2000000000000455</v>
      </c>
      <c r="C10" s="3">
        <f>Log!C11-Log[[#This Row],[Waist (Inches)]]</f>
        <v>0</v>
      </c>
      <c r="D10" s="3">
        <f>Log!D11-Log[[#This Row],[Neck (Inches)]]</f>
        <v>0</v>
      </c>
      <c r="E10" s="3">
        <f>Log!E11-Log[[#This Row],[Morning Body Temp]]</f>
        <v>-1</v>
      </c>
      <c r="F10" s="3">
        <f>Log!F11-Log[[#This Row],[Morning Systolic Pressure]]</f>
        <v>-1</v>
      </c>
      <c r="G10" s="3">
        <f>Log!G11-Log[[#This Row],[Morning Diastolic Pressure]]</f>
        <v>-2</v>
      </c>
      <c r="H10" s="3">
        <f>Log!H11-Log[[#This Row],[Morning Pulse]]</f>
        <v>-5</v>
      </c>
      <c r="I10" s="3">
        <f>Log!I11-Log[[#This Row],[Night Body Temp]]</f>
        <v>-9.9999999999994316E-2</v>
      </c>
      <c r="J10" s="3">
        <f>Log!J11-Log[[#This Row],[Night Systolic Pressure]]</f>
        <v>-8</v>
      </c>
      <c r="K10" s="3">
        <f>Log!K11-Log[[#This Row],[Night Diastolic Pressure]]</f>
        <v>-1</v>
      </c>
      <c r="L10" s="3">
        <f>Log!L11-Log[[#This Row],[Night Pulse]]</f>
        <v>2</v>
      </c>
      <c r="M10" s="3">
        <f>Log!M11-Log[[#This Row],[Sleep]]</f>
        <v>-6.5</v>
      </c>
      <c r="N10" s="3">
        <f>Log!N11-Log[[#This Row],[BMI]]</f>
        <v>0.4591020408163331</v>
      </c>
      <c r="O10" s="3">
        <f>Log!O11-Log[[#This Row],[CBF]]</f>
        <v>0</v>
      </c>
      <c r="P10" s="3"/>
      <c r="Q10" s="5">
        <f ca="1">SUMIF(Differences!F$2:INDIRECT(Measurements!E5),"&lt;0")</f>
        <v>-471</v>
      </c>
      <c r="R10" s="5" t="s">
        <v>152</v>
      </c>
    </row>
    <row r="11" spans="1:18" x14ac:dyDescent="0.25">
      <c r="A11" s="3" t="str">
        <f>_xlfn.CONCAT(TEXT(Log!A12, "MM/DD/YY")," - ",TEXT(Log!A11, "MM/DD/YY"))</f>
        <v>02/05/24 - 02/04/24</v>
      </c>
      <c r="B11" s="3">
        <f>Log!B12-Log[[#This Row],[Weight (Pounds)]]</f>
        <v>-1.8000000000000114</v>
      </c>
      <c r="C11" s="3">
        <f>Log!C12-Log[[#This Row],[Waist (Inches)]]</f>
        <v>-0.5</v>
      </c>
      <c r="D11" s="3">
        <f>Log!D12-Log[[#This Row],[Neck (Inches)]]</f>
        <v>0</v>
      </c>
      <c r="E11" s="3">
        <f>Log!E12-Log[[#This Row],[Morning Body Temp]]</f>
        <v>0.29999999999999716</v>
      </c>
      <c r="F11" s="3">
        <f>Log!F12-Log[[#This Row],[Morning Systolic Pressure]]</f>
        <v>17</v>
      </c>
      <c r="G11" s="3">
        <f>Log!G12-Log[[#This Row],[Morning Diastolic Pressure]]</f>
        <v>-7</v>
      </c>
      <c r="H11" s="3">
        <f>Log!H12-Log[[#This Row],[Morning Pulse]]</f>
        <v>-4</v>
      </c>
      <c r="I11" s="3">
        <f>Log!I12-Log[[#This Row],[Night Body Temp]]</f>
        <v>0.29999999999999716</v>
      </c>
      <c r="J11" s="3">
        <f>Log!J12-Log[[#This Row],[Night Systolic Pressure]]</f>
        <v>11</v>
      </c>
      <c r="K11" s="3">
        <f>Log!K12-Log[[#This Row],[Night Diastolic Pressure]]</f>
        <v>-1</v>
      </c>
      <c r="L11" s="3">
        <f>Log!L12-Log[[#This Row],[Night Pulse]]</f>
        <v>-3</v>
      </c>
      <c r="M11" s="3">
        <f>Log!M12-Log[[#This Row],[Sleep]]</f>
        <v>-1.5</v>
      </c>
      <c r="N11" s="3">
        <f>Log!N12-Log[[#This Row],[BMI]]</f>
        <v>-0.25824489795918737</v>
      </c>
      <c r="O11" s="3">
        <f>Log!O12-Log[[#This Row],[CBF]]</f>
        <v>-0.62780752415636698</v>
      </c>
      <c r="P11" s="3"/>
      <c r="Q11" s="5">
        <f ca="1">SUMIF(Differences!F$2:INDIRECT(Measurements!E5),"&gt;0")</f>
        <v>433</v>
      </c>
      <c r="R11" s="5" t="s">
        <v>153</v>
      </c>
    </row>
    <row r="12" spans="1:18" x14ac:dyDescent="0.25">
      <c r="A12" s="3" t="str">
        <f>_xlfn.CONCAT(TEXT(Log!A13, "MM/DD/YY")," - ",TEXT(Log!A12, "MM/DD/YY"))</f>
        <v>02/06/24 - 02/05/24</v>
      </c>
      <c r="B12" s="3">
        <f>Log!B13-Log[[#This Row],[Weight (Pounds)]]</f>
        <v>-2.4000000000000341</v>
      </c>
      <c r="C12" s="3">
        <f>Log!C13-Log[[#This Row],[Waist (Inches)]]</f>
        <v>-0.5</v>
      </c>
      <c r="D12" s="3">
        <f>Log!D13-Log[[#This Row],[Neck (Inches)]]</f>
        <v>0</v>
      </c>
      <c r="E12" s="3">
        <f>Log!E13-Log[[#This Row],[Morning Body Temp]]</f>
        <v>-0.79999999999999716</v>
      </c>
      <c r="F12" s="3">
        <f>Log!F13-Log[[#This Row],[Morning Systolic Pressure]]</f>
        <v>-8</v>
      </c>
      <c r="G12" s="3">
        <f>Log!G13-Log[[#This Row],[Morning Diastolic Pressure]]</f>
        <v>6</v>
      </c>
      <c r="H12" s="3">
        <f>Log!H13-Log[[#This Row],[Morning Pulse]]</f>
        <v>-7</v>
      </c>
      <c r="I12" s="3">
        <f>Log!I13-Log[[#This Row],[Night Body Temp]]</f>
        <v>0.79999999999999716</v>
      </c>
      <c r="J12" s="3">
        <f>Log!J13-Log[[#This Row],[Night Systolic Pressure]]</f>
        <v>-19</v>
      </c>
      <c r="K12" s="3">
        <f>Log!K13-Log[[#This Row],[Night Diastolic Pressure]]</f>
        <v>-5</v>
      </c>
      <c r="L12" s="3">
        <f>Log!L13-Log[[#This Row],[Night Pulse]]</f>
        <v>9</v>
      </c>
      <c r="M12" s="3">
        <f>Log!M13-Log[[#This Row],[Sleep]]</f>
        <v>0.5</v>
      </c>
      <c r="N12" s="3">
        <f>Log!N13-Log[[#This Row],[BMI]]</f>
        <v>-0.34432653061224983</v>
      </c>
      <c r="O12" s="3">
        <f>Log!O13-Log[[#This Row],[CBF]]</f>
        <v>-0.63853979499258173</v>
      </c>
      <c r="P12" s="3"/>
      <c r="Q12" s="5">
        <f ca="1">SUMIF(Differences!G$2:INDIRECT(Measurements!E6),"&lt;0")</f>
        <v>-210</v>
      </c>
      <c r="R12" s="5" t="s">
        <v>174</v>
      </c>
    </row>
    <row r="13" spans="1:18" x14ac:dyDescent="0.25">
      <c r="A13" s="3" t="str">
        <f>_xlfn.CONCAT(TEXT(Log!A14, "MM/DD/YY")," - ",TEXT(Log!A13, "MM/DD/YY"))</f>
        <v>02/07/24 - 02/06/24</v>
      </c>
      <c r="B13" s="3">
        <f>Log!B14-Log[[#This Row],[Weight (Pounds)]]</f>
        <v>-1.7999999999999545</v>
      </c>
      <c r="C13" s="3">
        <f>Log!C14-Log[[#This Row],[Waist (Inches)]]</f>
        <v>0.5</v>
      </c>
      <c r="D13" s="3">
        <f>Log!D14-Log[[#This Row],[Neck (Inches)]]</f>
        <v>0</v>
      </c>
      <c r="E13" s="3">
        <f>Log!E14-Log[[#This Row],[Morning Body Temp]]</f>
        <v>0.39999999999999147</v>
      </c>
      <c r="F13" s="3">
        <f>Log!F14-Log[[#This Row],[Morning Systolic Pressure]]</f>
        <v>-1</v>
      </c>
      <c r="G13" s="3">
        <f>Log!G14-Log[[#This Row],[Morning Diastolic Pressure]]</f>
        <v>1</v>
      </c>
      <c r="H13" s="3">
        <f>Log!H14-Log[[#This Row],[Morning Pulse]]</f>
        <v>7</v>
      </c>
      <c r="I13" s="3">
        <f>Log!I14-Log[[#This Row],[Night Body Temp]]</f>
        <v>-0.20000000000000284</v>
      </c>
      <c r="J13" s="3">
        <f>Log!J14-Log[[#This Row],[Night Systolic Pressure]]</f>
        <v>36</v>
      </c>
      <c r="K13" s="3">
        <f>Log!K14-Log[[#This Row],[Night Diastolic Pressure]]</f>
        <v>4</v>
      </c>
      <c r="L13" s="3">
        <f>Log!L14-Log[[#This Row],[Night Pulse]]</f>
        <v>4</v>
      </c>
      <c r="M13" s="3">
        <f>Log!M14-Log[[#This Row],[Sleep]]</f>
        <v>-1</v>
      </c>
      <c r="N13" s="3">
        <f>Log!N14-Log[[#This Row],[BMI]]</f>
        <v>-0.25824489795918026</v>
      </c>
      <c r="O13" s="3">
        <f>Log!O14-Log[[#This Row],[CBF]]</f>
        <v>0.63853979499258173</v>
      </c>
      <c r="P13" s="3"/>
      <c r="Q13" s="5">
        <f ca="1">SUMIF(Differences!G$2:INDIRECT(Measurements!E6),"&gt;0")</f>
        <v>234</v>
      </c>
      <c r="R13" s="5" t="s">
        <v>173</v>
      </c>
    </row>
    <row r="14" spans="1:18" x14ac:dyDescent="0.25">
      <c r="A14" s="3" t="str">
        <f>_xlfn.CONCAT(TEXT(Log!A15, "MM/DD/YY")," - ",TEXT(Log!A14, "MM/DD/YY"))</f>
        <v>02/08/24 - 02/07/24</v>
      </c>
      <c r="B14" s="3">
        <f>Log!B15-Log[[#This Row],[Weight (Pounds)]]</f>
        <v>3</v>
      </c>
      <c r="C14" s="3">
        <f>Log!C15-Log[[#This Row],[Waist (Inches)]]</f>
        <v>-0.5</v>
      </c>
      <c r="D14" s="3">
        <f>Log!D15-Log[[#This Row],[Neck (Inches)]]</f>
        <v>0</v>
      </c>
      <c r="E14" s="3">
        <f>Log!E15-Log[[#This Row],[Morning Body Temp]]</f>
        <v>-0.29999999999999716</v>
      </c>
      <c r="F14" s="3">
        <f>Log!F15-Log[[#This Row],[Morning Systolic Pressure]]</f>
        <v>-12</v>
      </c>
      <c r="G14" s="3">
        <f>Log!G15-Log[[#This Row],[Morning Diastolic Pressure]]</f>
        <v>3</v>
      </c>
      <c r="H14" s="3">
        <f>Log!H15-Log[[#This Row],[Morning Pulse]]</f>
        <v>-5</v>
      </c>
      <c r="I14" s="3">
        <f>Log!I15-Log[[#This Row],[Night Body Temp]]</f>
        <v>-9.9999999999994316E-2</v>
      </c>
      <c r="J14" s="3">
        <f>Log!J15-Log[[#This Row],[Night Systolic Pressure]]</f>
        <v>-40</v>
      </c>
      <c r="K14" s="3">
        <f>Log!K15-Log[[#This Row],[Night Diastolic Pressure]]</f>
        <v>-14</v>
      </c>
      <c r="L14" s="3">
        <f>Log!L15-Log[[#This Row],[Night Pulse]]</f>
        <v>-18</v>
      </c>
      <c r="M14" s="3">
        <f>Log!M15-Log[[#This Row],[Sleep]]</f>
        <v>1</v>
      </c>
      <c r="N14" s="3">
        <f>Log!N15-Log[[#This Row],[BMI]]</f>
        <v>0.43040816326531228</v>
      </c>
      <c r="O14" s="3">
        <f>Log!O15-Log[[#This Row],[CBF]]</f>
        <v>-0.63853979499258173</v>
      </c>
      <c r="P14" s="3"/>
      <c r="Q14" s="5">
        <f ca="1">SUMIF(Differences!H$2:INDIRECT(Measurements!$E7),"&lt;0")</f>
        <v>-320</v>
      </c>
      <c r="R14" s="5" t="s">
        <v>44</v>
      </c>
    </row>
    <row r="15" spans="1:18" x14ac:dyDescent="0.25">
      <c r="A15" s="3" t="str">
        <f>_xlfn.CONCAT(TEXT(Log!A16, "MM/DD/YY")," - ",TEXT(Log!A15, "MM/DD/YY"))</f>
        <v>02/09/24 - 02/08/24</v>
      </c>
      <c r="B15" s="3">
        <f>Log!B16-Log[[#This Row],[Weight (Pounds)]]</f>
        <v>-2</v>
      </c>
      <c r="C15" s="3">
        <f>Log!C16-Log[[#This Row],[Waist (Inches)]]</f>
        <v>0</v>
      </c>
      <c r="D15" s="3">
        <f>Log!D16-Log[[#This Row],[Neck (Inches)]]</f>
        <v>0</v>
      </c>
      <c r="E15" s="3">
        <f>Log!E16-Log[[#This Row],[Morning Body Temp]]</f>
        <v>0.10000000000000853</v>
      </c>
      <c r="F15" s="3">
        <f>Log!F16-Log[[#This Row],[Morning Systolic Pressure]]</f>
        <v>12</v>
      </c>
      <c r="G15" s="3">
        <f>Log!G16-Log[[#This Row],[Morning Diastolic Pressure]]</f>
        <v>0</v>
      </c>
      <c r="H15" s="3">
        <f>Log!H16-Log[[#This Row],[Morning Pulse]]</f>
        <v>4</v>
      </c>
      <c r="I15" s="3">
        <f>Log!I16-Log[[#This Row],[Night Body Temp]]</f>
        <v>-0.29999999999999716</v>
      </c>
      <c r="J15" s="3">
        <f>Log!J16-Log[[#This Row],[Night Systolic Pressure]]</f>
        <v>21</v>
      </c>
      <c r="K15" s="3">
        <f>Log!K16-Log[[#This Row],[Night Diastolic Pressure]]</f>
        <v>10</v>
      </c>
      <c r="L15" s="3">
        <f>Log!L16-Log[[#This Row],[Night Pulse]]</f>
        <v>6</v>
      </c>
      <c r="M15" s="3">
        <f>Log!M16-Log[[#This Row],[Sleep]]</f>
        <v>0</v>
      </c>
      <c r="N15" s="3">
        <f>Log!N16-Log[[#This Row],[BMI]]</f>
        <v>-0.28693877551020819</v>
      </c>
      <c r="O15" s="3">
        <f>Log!O16-Log[[#This Row],[CBF]]</f>
        <v>0</v>
      </c>
      <c r="P15" s="3"/>
      <c r="Q15" s="5">
        <f ca="1">SUMIF(Differences!H$2:INDIRECT(Measurements!$E7),"&gt;0")</f>
        <v>282</v>
      </c>
      <c r="R15" s="5" t="s">
        <v>45</v>
      </c>
    </row>
    <row r="16" spans="1:18" x14ac:dyDescent="0.25">
      <c r="A16" s="3" t="str">
        <f>_xlfn.CONCAT(TEXT(Log!A17, "MM/DD/YY")," - ",TEXT(Log!A16, "MM/DD/YY"))</f>
        <v>02/10/24 - 02/09/24</v>
      </c>
      <c r="B16" s="3">
        <f>Log!B17-Log[[#This Row],[Weight (Pounds)]]</f>
        <v>0</v>
      </c>
      <c r="C16" s="3">
        <f>Log!C17-Log[[#This Row],[Waist (Inches)]]</f>
        <v>0</v>
      </c>
      <c r="D16" s="3">
        <f>Log!D17-Log[[#This Row],[Neck (Inches)]]</f>
        <v>0</v>
      </c>
      <c r="E16" s="3">
        <f>Log!E17-Log[[#This Row],[Morning Body Temp]]</f>
        <v>-0.90000000000000568</v>
      </c>
      <c r="F16" s="3">
        <f>Log!F17-Log[[#This Row],[Morning Systolic Pressure]]</f>
        <v>4</v>
      </c>
      <c r="G16" s="3">
        <f>Log!G17-Log[[#This Row],[Morning Diastolic Pressure]]</f>
        <v>-1</v>
      </c>
      <c r="H16" s="3">
        <f>Log!H17-Log[[#This Row],[Morning Pulse]]</f>
        <v>-6</v>
      </c>
      <c r="I16" s="3">
        <f>Log!I17-Log[[#This Row],[Night Body Temp]]</f>
        <v>0.79999999999999716</v>
      </c>
      <c r="J16" s="3">
        <f>Log!J17-Log[[#This Row],[Night Systolic Pressure]]</f>
        <v>-18</v>
      </c>
      <c r="K16" s="3">
        <f>Log!K17-Log[[#This Row],[Night Diastolic Pressure]]</f>
        <v>1</v>
      </c>
      <c r="L16" s="3">
        <f>Log!L17-Log[[#This Row],[Night Pulse]]</f>
        <v>5</v>
      </c>
      <c r="M16" s="3">
        <f>Log!M17-Log[[#This Row],[Sleep]]</f>
        <v>-1.5</v>
      </c>
      <c r="N16" s="3">
        <f>Log!N17-Log[[#This Row],[BMI]]</f>
        <v>0</v>
      </c>
      <c r="O16" s="3">
        <f>Log!O17-Log[[#This Row],[CBF]]</f>
        <v>0</v>
      </c>
      <c r="P16" s="3"/>
      <c r="Q16" s="5">
        <f ca="1">SUMIF(Differences!I$2:INDIRECT(Measurements!$E8),"&lt;0")</f>
        <v>-31.099999999999937</v>
      </c>
      <c r="R16" s="5" t="s">
        <v>42</v>
      </c>
    </row>
    <row r="17" spans="1:18" x14ac:dyDescent="0.25">
      <c r="A17" s="3" t="str">
        <f>_xlfn.CONCAT(TEXT(Log!A18, "MM/DD/YY")," - ",TEXT(Log!A17, "MM/DD/YY"))</f>
        <v>02/11/24 - 02/10/24</v>
      </c>
      <c r="B17" s="3">
        <f>Log!B18-Log[[#This Row],[Weight (Pounds)]]</f>
        <v>-2.8000000000000114</v>
      </c>
      <c r="C17" s="3">
        <f>Log!C18-Log[[#This Row],[Waist (Inches)]]</f>
        <v>0</v>
      </c>
      <c r="D17" s="3">
        <f>Log!D18-Log[[#This Row],[Neck (Inches)]]</f>
        <v>0</v>
      </c>
      <c r="E17" s="3">
        <f>Log!E18-Log[[#This Row],[Morning Body Temp]]</f>
        <v>1.2000000000000028</v>
      </c>
      <c r="F17" s="3">
        <f>Log!F18-Log[[#This Row],[Morning Systolic Pressure]]</f>
        <v>3</v>
      </c>
      <c r="G17" s="3">
        <f>Log!G18-Log[[#This Row],[Morning Diastolic Pressure]]</f>
        <v>-2</v>
      </c>
      <c r="H17" s="3">
        <f>Log!H18-Log[[#This Row],[Morning Pulse]]</f>
        <v>-3</v>
      </c>
      <c r="I17" s="3">
        <f>Log!I18-Log[[#This Row],[Night Body Temp]]</f>
        <v>-0.70000000000000284</v>
      </c>
      <c r="J17" s="3">
        <f>Log!J18-Log[[#This Row],[Night Systolic Pressure]]</f>
        <v>19</v>
      </c>
      <c r="K17" s="3">
        <f>Log!K18-Log[[#This Row],[Night Diastolic Pressure]]</f>
        <v>1</v>
      </c>
      <c r="L17" s="3">
        <f>Log!L18-Log[[#This Row],[Night Pulse]]</f>
        <v>-13</v>
      </c>
      <c r="M17" s="3">
        <f>Log!M18-Log[[#This Row],[Sleep]]</f>
        <v>3.5</v>
      </c>
      <c r="N17" s="3">
        <f>Log!N18-Log[[#This Row],[BMI]]</f>
        <v>-0.40171428571428436</v>
      </c>
      <c r="O17" s="3">
        <f>Log!O18-Log[[#This Row],[CBF]]</f>
        <v>0</v>
      </c>
      <c r="P17" s="3"/>
      <c r="Q17" s="5">
        <f ca="1">SUMIF(Differences!I$2:INDIRECT(Measurements!$E8),"&gt;0")</f>
        <v>30.599999999999937</v>
      </c>
      <c r="R17" s="5" t="s">
        <v>43</v>
      </c>
    </row>
    <row r="18" spans="1:18" x14ac:dyDescent="0.25">
      <c r="A18" s="3" t="str">
        <f>_xlfn.CONCAT(TEXT(Log!A19, "MM/DD/YY")," - ",TEXT(Log!A18, "MM/DD/YY"))</f>
        <v>02/12/24 - 02/11/24</v>
      </c>
      <c r="B18" s="3">
        <f>Log!B19-Log[[#This Row],[Weight (Pounds)]]</f>
        <v>-0.19999999999998863</v>
      </c>
      <c r="C18" s="3">
        <f>Log!C19-Log[[#This Row],[Waist (Inches)]]</f>
        <v>0</v>
      </c>
      <c r="D18" s="3">
        <f>Log!D19-Log[[#This Row],[Neck (Inches)]]</f>
        <v>0</v>
      </c>
      <c r="E18" s="3">
        <f>Log!E19-Log[[#This Row],[Morning Body Temp]]</f>
        <v>-0.10000000000000853</v>
      </c>
      <c r="F18" s="3">
        <f>Log!F19-Log[[#This Row],[Morning Systolic Pressure]]</f>
        <v>-13</v>
      </c>
      <c r="G18" s="3">
        <f>Log!G19-Log[[#This Row],[Morning Diastolic Pressure]]</f>
        <v>-2</v>
      </c>
      <c r="H18" s="3">
        <f>Log!H19-Log[[#This Row],[Morning Pulse]]</f>
        <v>10</v>
      </c>
      <c r="I18" s="3">
        <f>Log!I19-Log[[#This Row],[Night Body Temp]]</f>
        <v>0</v>
      </c>
      <c r="J18" s="3">
        <f>Log!J19-Log[[#This Row],[Night Systolic Pressure]]</f>
        <v>-2</v>
      </c>
      <c r="K18" s="3">
        <f>Log!K19-Log[[#This Row],[Night Diastolic Pressure]]</f>
        <v>-6</v>
      </c>
      <c r="L18" s="3">
        <f>Log!L19-Log[[#This Row],[Night Pulse]]</f>
        <v>5</v>
      </c>
      <c r="M18" s="3">
        <f>Log!M19-Log[[#This Row],[Sleep]]</f>
        <v>-4</v>
      </c>
      <c r="N18" s="3">
        <f>Log!N19-Log[[#This Row],[BMI]]</f>
        <v>-2.8693877551020819E-2</v>
      </c>
      <c r="O18" s="3">
        <f>Log!O19-Log[[#This Row],[CBF]]</f>
        <v>0</v>
      </c>
      <c r="P18" s="3"/>
      <c r="Q18" s="5">
        <f ca="1">SUMIF(Differences!J$2:INDIRECT(Measurements!$E9),"&lt;0")</f>
        <v>-504</v>
      </c>
      <c r="R18" s="5" t="s">
        <v>154</v>
      </c>
    </row>
    <row r="19" spans="1:18" x14ac:dyDescent="0.25">
      <c r="A19" s="3" t="str">
        <f>_xlfn.CONCAT(TEXT(Log!A20, "MM/DD/YY")," - ",TEXT(Log!A19, "MM/DD/YY"))</f>
        <v>02/13/24 - 02/12/24</v>
      </c>
      <c r="B19" s="3">
        <f>Log!B20-Log[[#This Row],[Weight (Pounds)]]</f>
        <v>-1.4000000000000341</v>
      </c>
      <c r="C19" s="3">
        <f>Log!C20-Log[[#This Row],[Waist (Inches)]]</f>
        <v>0</v>
      </c>
      <c r="D19" s="3">
        <f>Log!D20-Log[[#This Row],[Neck (Inches)]]</f>
        <v>0</v>
      </c>
      <c r="E19" s="3">
        <f>Log!E20-Log[[#This Row],[Morning Body Temp]]</f>
        <v>-9.9999999999994316E-2</v>
      </c>
      <c r="F19" s="3">
        <f>Log!F20-Log[[#This Row],[Morning Systolic Pressure]]</f>
        <v>11</v>
      </c>
      <c r="G19" s="3">
        <f>Log!G20-Log[[#This Row],[Morning Diastolic Pressure]]</f>
        <v>1</v>
      </c>
      <c r="H19" s="3">
        <f>Log!H20-Log[[#This Row],[Morning Pulse]]</f>
        <v>0</v>
      </c>
      <c r="I19" s="3">
        <f>Log!I20-Log[[#This Row],[Night Body Temp]]</f>
        <v>0.79999999999999716</v>
      </c>
      <c r="J19" s="3">
        <f>Log!J20-Log[[#This Row],[Night Systolic Pressure]]</f>
        <v>24</v>
      </c>
      <c r="K19" s="3">
        <f>Log!K20-Log[[#This Row],[Night Diastolic Pressure]]</f>
        <v>7</v>
      </c>
      <c r="L19" s="3">
        <f>Log!L20-Log[[#This Row],[Night Pulse]]</f>
        <v>11</v>
      </c>
      <c r="M19" s="3">
        <f>Log!M20-Log[[#This Row],[Sleep]]</f>
        <v>3.5</v>
      </c>
      <c r="N19" s="3">
        <f>Log!N20-Log[[#This Row],[BMI]]</f>
        <v>-0.20085714285714573</v>
      </c>
      <c r="O19" s="3">
        <f>Log!O20-Log[[#This Row],[CBF]]</f>
        <v>0</v>
      </c>
      <c r="P19" s="3"/>
      <c r="Q19" s="5">
        <f ca="1">SUMIF(Differences!J$2:INDIRECT(Measurements!$E9),"&gt;0")</f>
        <v>524</v>
      </c>
      <c r="R19" s="5" t="s">
        <v>155</v>
      </c>
    </row>
    <row r="20" spans="1:18" x14ac:dyDescent="0.25">
      <c r="A20" s="3" t="str">
        <f>_xlfn.CONCAT(TEXT(Log!A21, "MM/DD/YY")," - ",TEXT(Log!A20, "MM/DD/YY"))</f>
        <v>02/14/24 - 02/13/24</v>
      </c>
      <c r="B20" s="3">
        <f>Log!B21-Log[[#This Row],[Weight (Pounds)]]</f>
        <v>-0.19999999999998863</v>
      </c>
      <c r="C20" s="3">
        <f>Log!C21-Log[[#This Row],[Waist (Inches)]]</f>
        <v>0</v>
      </c>
      <c r="D20" s="3">
        <f>Log!D21-Log[[#This Row],[Neck (Inches)]]</f>
        <v>0</v>
      </c>
      <c r="E20" s="3">
        <f>Log!E21-Log[[#This Row],[Morning Body Temp]]</f>
        <v>0.40000000000000568</v>
      </c>
      <c r="F20" s="3">
        <f>Log!F21-Log[[#This Row],[Morning Systolic Pressure]]</f>
        <v>4</v>
      </c>
      <c r="G20" s="3">
        <f>Log!G21-Log[[#This Row],[Morning Diastolic Pressure]]</f>
        <v>-5</v>
      </c>
      <c r="H20" s="3">
        <f>Log!H21-Log[[#This Row],[Morning Pulse]]</f>
        <v>-7</v>
      </c>
      <c r="I20" s="3">
        <f>Log!I21-Log[[#This Row],[Night Body Temp]]</f>
        <v>-1</v>
      </c>
      <c r="J20" s="3">
        <f>Log!J21-Log[[#This Row],[Night Systolic Pressure]]</f>
        <v>-11</v>
      </c>
      <c r="K20" s="3">
        <f>Log!K21-Log[[#This Row],[Night Diastolic Pressure]]</f>
        <v>1</v>
      </c>
      <c r="L20" s="3">
        <f>Log!L21-Log[[#This Row],[Night Pulse]]</f>
        <v>-1</v>
      </c>
      <c r="M20" s="3">
        <f>Log!M21-Log[[#This Row],[Sleep]]</f>
        <v>-8.5</v>
      </c>
      <c r="N20" s="3">
        <f>Log!N21-Log[[#This Row],[BMI]]</f>
        <v>-2.8693877551020819E-2</v>
      </c>
      <c r="O20" s="3">
        <f>Log!O21-Log[[#This Row],[CBF]]</f>
        <v>0</v>
      </c>
      <c r="P20" s="3"/>
      <c r="Q20" s="5">
        <f ca="1">SUMIF(Differences!K$2:INDIRECT(Measurements!$E10),"&lt;0")</f>
        <v>-214</v>
      </c>
      <c r="R20" s="5" t="s">
        <v>171</v>
      </c>
    </row>
    <row r="21" spans="1:18" x14ac:dyDescent="0.25">
      <c r="A21" s="3" t="str">
        <f>_xlfn.CONCAT(TEXT(Log!A22, "MM/DD/YY")," - ",TEXT(Log!A21, "MM/DD/YY"))</f>
        <v>02/15/24 - 02/14/24</v>
      </c>
      <c r="B21" s="3">
        <f>Log!B22-Log[[#This Row],[Weight (Pounds)]]</f>
        <v>-1.1999999999999886</v>
      </c>
      <c r="C21" s="3">
        <f>Log!C22-Log[[#This Row],[Waist (Inches)]]</f>
        <v>0</v>
      </c>
      <c r="D21" s="3">
        <f>Log!D22-Log[[#This Row],[Neck (Inches)]]</f>
        <v>0</v>
      </c>
      <c r="E21" s="3">
        <f>Log!E22-Log[[#This Row],[Morning Body Temp]]</f>
        <v>-0.40000000000000568</v>
      </c>
      <c r="F21" s="3">
        <f>Log!F22-Log[[#This Row],[Morning Systolic Pressure]]</f>
        <v>-8</v>
      </c>
      <c r="G21" s="3">
        <f>Log!G22-Log[[#This Row],[Morning Diastolic Pressure]]</f>
        <v>7</v>
      </c>
      <c r="H21" s="3">
        <f>Log!H22-Log[[#This Row],[Morning Pulse]]</f>
        <v>14</v>
      </c>
      <c r="I21" s="3">
        <f>Log!I22-Log[[#This Row],[Night Body Temp]]</f>
        <v>0.29999999999999716</v>
      </c>
      <c r="J21" s="3">
        <f>Log!J22-Log[[#This Row],[Night Systolic Pressure]]</f>
        <v>-3</v>
      </c>
      <c r="K21" s="3">
        <f>Log!K22-Log[[#This Row],[Night Diastolic Pressure]]</f>
        <v>8</v>
      </c>
      <c r="L21" s="3">
        <f>Log!L22-Log[[#This Row],[Night Pulse]]</f>
        <v>-14</v>
      </c>
      <c r="M21" s="3">
        <f>Log!M22-Log[[#This Row],[Sleep]]</f>
        <v>11</v>
      </c>
      <c r="N21" s="3">
        <f>Log!N22-Log[[#This Row],[BMI]]</f>
        <v>-0.17216326530612491</v>
      </c>
      <c r="O21" s="3">
        <f>Log!O22-Log[[#This Row],[CBF]]</f>
        <v>0</v>
      </c>
      <c r="P21" s="3"/>
      <c r="Q21" s="5">
        <f ca="1">SUMIF(Differences!K$2:INDIRECT(Measurements!$E10),"&gt;0")</f>
        <v>216</v>
      </c>
      <c r="R21" s="5" t="s">
        <v>172</v>
      </c>
    </row>
    <row r="22" spans="1:18" x14ac:dyDescent="0.25">
      <c r="A22" s="3" t="str">
        <f>_xlfn.CONCAT(TEXT(Log!A23, "MM/DD/YY")," - ",TEXT(Log!A22, "MM/DD/YY"))</f>
        <v>02/16/24 - 02/15/24</v>
      </c>
      <c r="B22" s="3">
        <f>Log!B23-Log[[#This Row],[Weight (Pounds)]]</f>
        <v>0</v>
      </c>
      <c r="C22" s="3">
        <f>Log!C23-Log[[#This Row],[Waist (Inches)]]</f>
        <v>-0.5</v>
      </c>
      <c r="D22" s="3">
        <f>Log!D23-Log[[#This Row],[Neck (Inches)]]</f>
        <v>0</v>
      </c>
      <c r="E22" s="3">
        <f>Log!E23-Log[[#This Row],[Morning Body Temp]]</f>
        <v>-0.40000000000000568</v>
      </c>
      <c r="F22" s="3">
        <f>Log!F23-Log[[#This Row],[Morning Systolic Pressure]]</f>
        <v>8</v>
      </c>
      <c r="G22" s="3">
        <f>Log!G23-Log[[#This Row],[Morning Diastolic Pressure]]</f>
        <v>7</v>
      </c>
      <c r="H22" s="3">
        <f>Log!H23-Log[[#This Row],[Morning Pulse]]</f>
        <v>-13</v>
      </c>
      <c r="I22" s="3">
        <f>Log!I23-Log[[#This Row],[Night Body Temp]]</f>
        <v>-1.5999999999999943</v>
      </c>
      <c r="J22" s="3">
        <f>Log!J23-Log[[#This Row],[Night Systolic Pressure]]</f>
        <v>2</v>
      </c>
      <c r="K22" s="3">
        <f>Log!K23-Log[[#This Row],[Night Diastolic Pressure]]</f>
        <v>-7</v>
      </c>
      <c r="L22" s="3">
        <f>Log!L23-Log[[#This Row],[Night Pulse]]</f>
        <v>11</v>
      </c>
      <c r="M22" s="3">
        <f>Log!M23-Log[[#This Row],[Sleep]]</f>
        <v>-5.5</v>
      </c>
      <c r="N22" s="3">
        <f>Log!N23-Log[[#This Row],[BMI]]</f>
        <v>0</v>
      </c>
      <c r="O22" s="3">
        <f>Log!O23-Log[[#This Row],[CBF]]</f>
        <v>-0.64964538995725718</v>
      </c>
      <c r="P22" s="3"/>
      <c r="Q22" s="5">
        <f ca="1">SUMIF(Differences!L$2:INDIRECT(Measurements!$E11),"&lt;0")</f>
        <v>-369</v>
      </c>
      <c r="R22" s="5" t="s">
        <v>46</v>
      </c>
    </row>
    <row r="23" spans="1:18" x14ac:dyDescent="0.25">
      <c r="A23" s="3" t="str">
        <f>_xlfn.CONCAT(TEXT(Log!A24, "MM/DD/YY")," - ",TEXT(Log!A23, "MM/DD/YY"))</f>
        <v>02/17/24 - 02/16/24</v>
      </c>
      <c r="B23" s="3">
        <f>Log!B24-Log[[#This Row],[Weight (Pounds)]]</f>
        <v>-2</v>
      </c>
      <c r="C23" s="3">
        <f>Log!C24-Log[[#This Row],[Waist (Inches)]]</f>
        <v>0</v>
      </c>
      <c r="D23" s="3">
        <f>Log!D24-Log[[#This Row],[Neck (Inches)]]</f>
        <v>0</v>
      </c>
      <c r="E23" s="3">
        <f>Log!E24-Log[[#This Row],[Morning Body Temp]]</f>
        <v>0.90000000000000568</v>
      </c>
      <c r="F23" s="3">
        <f>Log!F24-Log[[#This Row],[Morning Systolic Pressure]]</f>
        <v>1</v>
      </c>
      <c r="G23" s="3">
        <f>Log!G24-Log[[#This Row],[Morning Diastolic Pressure]]</f>
        <v>-6</v>
      </c>
      <c r="H23" s="3">
        <f>Log!H24-Log[[#This Row],[Morning Pulse]]</f>
        <v>8</v>
      </c>
      <c r="I23" s="3">
        <f>Log!I24-Log[[#This Row],[Night Body Temp]]</f>
        <v>2.0999999999999943</v>
      </c>
      <c r="J23" s="3">
        <f>Log!J24-Log[[#This Row],[Night Systolic Pressure]]</f>
        <v>-4</v>
      </c>
      <c r="K23" s="3">
        <f>Log!K24-Log[[#This Row],[Night Diastolic Pressure]]</f>
        <v>1</v>
      </c>
      <c r="L23" s="3">
        <f>Log!L24-Log[[#This Row],[Night Pulse]]</f>
        <v>3</v>
      </c>
      <c r="M23" s="3">
        <f>Log!M24-Log[[#This Row],[Sleep]]</f>
        <v>4</v>
      </c>
      <c r="N23" s="3">
        <f>Log!N24-Log[[#This Row],[BMI]]</f>
        <v>-0.28693877551020108</v>
      </c>
      <c r="O23" s="3">
        <f>Log!O24-Log[[#This Row],[CBF]]</f>
        <v>0</v>
      </c>
      <c r="P23" s="3"/>
      <c r="Q23" s="5">
        <f ca="1">SUMIF(Differences!L$2:INDIRECT(Measurements!$E11),"&gt;0")</f>
        <v>378</v>
      </c>
      <c r="R23" s="5" t="s">
        <v>47</v>
      </c>
    </row>
    <row r="24" spans="1:18" x14ac:dyDescent="0.25">
      <c r="A24" s="3" t="str">
        <f>_xlfn.CONCAT(TEXT(Log!A25, "MM/DD/YY")," - ",TEXT(Log!A24, "MM/DD/YY"))</f>
        <v>02/18/24 - 02/17/24</v>
      </c>
      <c r="B24" s="3">
        <f>Log!B25-Log[[#This Row],[Weight (Pounds)]]</f>
        <v>0.39999999999997726</v>
      </c>
      <c r="C24" s="3">
        <f>Log!C25-Log[[#This Row],[Waist (Inches)]]</f>
        <v>-0.5</v>
      </c>
      <c r="D24" s="3">
        <f>Log!D25-Log[[#This Row],[Neck (Inches)]]</f>
        <v>0</v>
      </c>
      <c r="E24" s="3">
        <f>Log!E25-Log[[#This Row],[Morning Body Temp]]</f>
        <v>-0.59999999999999432</v>
      </c>
      <c r="F24" s="3">
        <f>Log!F25-Log[[#This Row],[Morning Systolic Pressure]]</f>
        <v>-1</v>
      </c>
      <c r="G24" s="3">
        <f>Log!G25-Log[[#This Row],[Morning Diastolic Pressure]]</f>
        <v>-1</v>
      </c>
      <c r="H24" s="3">
        <f>Log!H25-Log[[#This Row],[Morning Pulse]]</f>
        <v>-11</v>
      </c>
      <c r="I24" s="3">
        <f>Log!I25-Log[[#This Row],[Night Body Temp]]</f>
        <v>-1.8999999999999915</v>
      </c>
      <c r="J24" s="3">
        <f>Log!J25-Log[[#This Row],[Night Systolic Pressure]]</f>
        <v>7</v>
      </c>
      <c r="K24" s="3">
        <f>Log!K25-Log[[#This Row],[Night Diastolic Pressure]]</f>
        <v>3</v>
      </c>
      <c r="L24" s="3">
        <f>Log!L25-Log[[#This Row],[Night Pulse]]</f>
        <v>0</v>
      </c>
      <c r="M24" s="3">
        <f>Log!M25-Log[[#This Row],[Sleep]]</f>
        <v>-1.5</v>
      </c>
      <c r="N24" s="3">
        <f>Log!N25-Log[[#This Row],[BMI]]</f>
        <v>5.7387755102041638E-2</v>
      </c>
      <c r="O24" s="3">
        <f>Log!O25-Log[[#This Row],[CBF]]</f>
        <v>-0.66114413358768331</v>
      </c>
      <c r="P24" s="3"/>
      <c r="Q24" s="5">
        <f ca="1">SUMIF(Differences!M$2:INDIRECT(Measurements!$E12),"&lt;0")</f>
        <v>-179.5</v>
      </c>
      <c r="R24" s="5" t="s">
        <v>106</v>
      </c>
    </row>
    <row r="25" spans="1:18" x14ac:dyDescent="0.25">
      <c r="A25" s="3" t="str">
        <f>_xlfn.CONCAT(TEXT(Log!A26, "MM/DD/YY")," - ",TEXT(Log!A25, "MM/DD/YY"))</f>
        <v>02/19/24 - 02/18/24</v>
      </c>
      <c r="B25" s="3">
        <f>Log!B26-Log[[#This Row],[Weight (Pounds)]]</f>
        <v>-1.1999999999999886</v>
      </c>
      <c r="C25" s="3">
        <f>Log!C26-Log[[#This Row],[Waist (Inches)]]</f>
        <v>0.5</v>
      </c>
      <c r="D25" s="3">
        <f>Log!D26-Log[[#This Row],[Neck (Inches)]]</f>
        <v>0</v>
      </c>
      <c r="E25" s="3">
        <f>Log!E26-Log[[#This Row],[Morning Body Temp]]</f>
        <v>-0.70000000000000284</v>
      </c>
      <c r="F25" s="3">
        <f>Log!F26-Log[[#This Row],[Morning Systolic Pressure]]</f>
        <v>-23</v>
      </c>
      <c r="G25" s="3">
        <f>Log!G26-Log[[#This Row],[Morning Diastolic Pressure]]</f>
        <v>-2</v>
      </c>
      <c r="H25" s="3">
        <f>Log!H26-Log[[#This Row],[Morning Pulse]]</f>
        <v>1</v>
      </c>
      <c r="I25" s="3">
        <f>Log!I26-Log[[#This Row],[Night Body Temp]]</f>
        <v>0.59999999999999432</v>
      </c>
      <c r="J25" s="3">
        <f>Log!J26-Log[[#This Row],[Night Systolic Pressure]]</f>
        <v>-11</v>
      </c>
      <c r="K25" s="3">
        <f>Log!K26-Log[[#This Row],[Night Diastolic Pressure]]</f>
        <v>-5</v>
      </c>
      <c r="L25" s="3">
        <f>Log!L26-Log[[#This Row],[Night Pulse]]</f>
        <v>-4</v>
      </c>
      <c r="M25" s="3">
        <f>Log!M26-Log[[#This Row],[Sleep]]</f>
        <v>-5</v>
      </c>
      <c r="N25" s="3">
        <f>Log!N26-Log[[#This Row],[BMI]]</f>
        <v>-0.17216326530612491</v>
      </c>
      <c r="O25" s="3">
        <f>Log!O26-Log[[#This Row],[CBF]]</f>
        <v>0.66114413358768331</v>
      </c>
      <c r="P25" s="3"/>
      <c r="Q25" s="5">
        <f ca="1">SUMIF(Differences!M$2:INDIRECT(Measurements!$E12),"&gt;0")</f>
        <v>175</v>
      </c>
      <c r="R25" s="5" t="s">
        <v>107</v>
      </c>
    </row>
    <row r="26" spans="1:18" x14ac:dyDescent="0.25">
      <c r="A26" s="3" t="str">
        <f>_xlfn.CONCAT(TEXT(Log!A27, "MM/DD/YY")," - ",TEXT(Log!A26, "MM/DD/YY"))</f>
        <v>02/20/24 - 02/19/24</v>
      </c>
      <c r="B26" s="3">
        <f>Log!B27-Log[[#This Row],[Weight (Pounds)]]</f>
        <v>-2</v>
      </c>
      <c r="C26" s="3">
        <f>Log!C27-Log[[#This Row],[Waist (Inches)]]</f>
        <v>-0.5</v>
      </c>
      <c r="D26" s="3">
        <f>Log!D27-Log[[#This Row],[Neck (Inches)]]</f>
        <v>0</v>
      </c>
      <c r="E26" s="3">
        <f>Log!E27-Log[[#This Row],[Morning Body Temp]]</f>
        <v>0.5</v>
      </c>
      <c r="F26" s="3">
        <f>Log!F27-Log[[#This Row],[Morning Systolic Pressure]]</f>
        <v>0</v>
      </c>
      <c r="G26" s="3">
        <f>Log!G27-Log[[#This Row],[Morning Diastolic Pressure]]</f>
        <v>2</v>
      </c>
      <c r="H26" s="3">
        <f>Log!H27-Log[[#This Row],[Morning Pulse]]</f>
        <v>3</v>
      </c>
      <c r="I26" s="3">
        <f>Log!I27-Log[[#This Row],[Night Body Temp]]</f>
        <v>0.90000000000000568</v>
      </c>
      <c r="J26" s="3">
        <f>Log!J27-Log[[#This Row],[Night Systolic Pressure]]</f>
        <v>7</v>
      </c>
      <c r="K26" s="3">
        <f>Log!K27-Log[[#This Row],[Night Diastolic Pressure]]</f>
        <v>-3</v>
      </c>
      <c r="L26" s="3">
        <f>Log!L27-Log[[#This Row],[Night Pulse]]</f>
        <v>-10</v>
      </c>
      <c r="M26" s="3">
        <f>Log!M27-Log[[#This Row],[Sleep]]</f>
        <v>7</v>
      </c>
      <c r="N26" s="3">
        <f>Log!N27-Log[[#This Row],[BMI]]</f>
        <v>-0.28693877551020819</v>
      </c>
      <c r="O26" s="3">
        <f>Log!O27-Log[[#This Row],[CBF]]</f>
        <v>-0.66114413358768331</v>
      </c>
      <c r="P26" s="3"/>
      <c r="Q26" s="5">
        <f ca="1">SUMIF(Differences!N$2:INDIRECT(Measurements!$E13),"&lt;0")</f>
        <v>-11.850571428571456</v>
      </c>
      <c r="R26" s="5" t="s">
        <v>110</v>
      </c>
    </row>
    <row r="27" spans="1:18" x14ac:dyDescent="0.25">
      <c r="A27" s="3" t="str">
        <f>_xlfn.CONCAT(TEXT(Log!A28, "MM/DD/YY")," - ",TEXT(Log!A27, "MM/DD/YY"))</f>
        <v>02/21/24 - 02/20/24</v>
      </c>
      <c r="B27" s="3">
        <f>Log!B28-Log[[#This Row],[Weight (Pounds)]]</f>
        <v>2.8000000000000114</v>
      </c>
      <c r="C27" s="3">
        <f>Log!C28-Log[[#This Row],[Waist (Inches)]]</f>
        <v>1</v>
      </c>
      <c r="D27" s="3">
        <f>Log!D28-Log[[#This Row],[Neck (Inches)]]</f>
        <v>0</v>
      </c>
      <c r="E27" s="3">
        <f>Log!E28-Log[[#This Row],[Morning Body Temp]]</f>
        <v>0.89999999999999147</v>
      </c>
      <c r="F27" s="3">
        <f>Log!F28-Log[[#This Row],[Morning Systolic Pressure]]</f>
        <v>35</v>
      </c>
      <c r="G27" s="3">
        <f>Log!G28-Log[[#This Row],[Morning Diastolic Pressure]]</f>
        <v>3</v>
      </c>
      <c r="H27" s="3">
        <f>Log!H28-Log[[#This Row],[Morning Pulse]]</f>
        <v>3</v>
      </c>
      <c r="I27" s="3">
        <f>Log!I28-Log[[#This Row],[Night Body Temp]]</f>
        <v>9.9999999999994316E-2</v>
      </c>
      <c r="J27" s="3">
        <f>Log!J28-Log[[#This Row],[Night Systolic Pressure]]</f>
        <v>1</v>
      </c>
      <c r="K27" s="3">
        <f>Log!K28-Log[[#This Row],[Night Diastolic Pressure]]</f>
        <v>-2</v>
      </c>
      <c r="L27" s="3">
        <f>Log!L28-Log[[#This Row],[Night Pulse]]</f>
        <v>14</v>
      </c>
      <c r="M27" s="3">
        <f>Log!M28-Log[[#This Row],[Sleep]]</f>
        <v>-12</v>
      </c>
      <c r="N27" s="3">
        <f>Log!N28-Log[[#This Row],[BMI]]</f>
        <v>0.40171428571429146</v>
      </c>
      <c r="O27" s="3">
        <f>Log!O28-Log[[#This Row],[CBF]]</f>
        <v>1.3107895235449405</v>
      </c>
      <c r="P27" s="3"/>
      <c r="Q27" s="5">
        <f ca="1">SUMIF(Differences!N$2:INDIRECT(Measurements!$E13),"&gt;0")</f>
        <v>8.9811836734694097</v>
      </c>
      <c r="R27" s="5" t="s">
        <v>111</v>
      </c>
    </row>
    <row r="28" spans="1:18" x14ac:dyDescent="0.25">
      <c r="A28" s="3" t="str">
        <f>_xlfn.CONCAT(TEXT(Log!A29, "MM/DD/YY")," - ",TEXT(Log!A28, "MM/DD/YY"))</f>
        <v>02/22/24 - 02/21/24</v>
      </c>
      <c r="B28" s="3">
        <f>Log!B29-Log[[#This Row],[Weight (Pounds)]]</f>
        <v>0</v>
      </c>
      <c r="C28" s="3">
        <f>Log!C29-Log[[#This Row],[Waist (Inches)]]</f>
        <v>-1</v>
      </c>
      <c r="D28" s="3">
        <f>Log!D29-Log[[#This Row],[Neck (Inches)]]</f>
        <v>0</v>
      </c>
      <c r="E28" s="3">
        <f>Log!E29-Log[[#This Row],[Morning Body Temp]]</f>
        <v>-0.59999999999999432</v>
      </c>
      <c r="F28" s="3">
        <f>Log!F29-Log[[#This Row],[Morning Systolic Pressure]]</f>
        <v>-10</v>
      </c>
      <c r="G28" s="3">
        <f>Log!G29-Log[[#This Row],[Morning Diastolic Pressure]]</f>
        <v>-5</v>
      </c>
      <c r="H28" s="3">
        <f>Log!H29-Log[[#This Row],[Morning Pulse]]</f>
        <v>8</v>
      </c>
      <c r="I28" s="3">
        <f>Log!I29-Log[[#This Row],[Night Body Temp]]</f>
        <v>-0.20000000000000284</v>
      </c>
      <c r="J28" s="3">
        <f>Log!J29-Log[[#This Row],[Night Systolic Pressure]]</f>
        <v>2</v>
      </c>
      <c r="K28" s="3">
        <f>Log!K29-Log[[#This Row],[Night Diastolic Pressure]]</f>
        <v>6</v>
      </c>
      <c r="L28" s="3">
        <f>Log!L29-Log[[#This Row],[Night Pulse]]</f>
        <v>-12</v>
      </c>
      <c r="M28" s="3">
        <f>Log!M29-Log[[#This Row],[Sleep]]</f>
        <v>8</v>
      </c>
      <c r="N28" s="3">
        <f>Log!N29-Log[[#This Row],[BMI]]</f>
        <v>0</v>
      </c>
      <c r="O28" s="3">
        <f>Log!O29-Log[[#This Row],[CBF]]</f>
        <v>-1.3107895235449405</v>
      </c>
      <c r="P28" s="3"/>
      <c r="Q28" s="5">
        <f ca="1">SUMIF(Differences!O$2:INDIRECT(Measurements!$E14),"&lt;0")</f>
        <v>-15.985152043317797</v>
      </c>
      <c r="R28" s="5" t="s">
        <v>112</v>
      </c>
    </row>
    <row r="29" spans="1:18" x14ac:dyDescent="0.25">
      <c r="A29" s="3" t="str">
        <f>_xlfn.CONCAT(TEXT(Log!A30, "MM/DD/YY")," - ",TEXT(Log!A29, "MM/DD/YY"))</f>
        <v>02/23/24 - 02/22/24</v>
      </c>
      <c r="B29" s="3">
        <f>Log!B30-Log[[#This Row],[Weight (Pounds)]]</f>
        <v>-0.80000000000001137</v>
      </c>
      <c r="C29" s="3">
        <f>Log!C30-Log[[#This Row],[Waist (Inches)]]</f>
        <v>0</v>
      </c>
      <c r="D29" s="3">
        <f>Log!D30-Log[[#This Row],[Neck (Inches)]]</f>
        <v>0</v>
      </c>
      <c r="E29" s="3">
        <f>Log!E30-Log[[#This Row],[Morning Body Temp]]</f>
        <v>-0.20000000000000284</v>
      </c>
      <c r="F29" s="3">
        <f>Log!F30-Log[[#This Row],[Morning Systolic Pressure]]</f>
        <v>-26</v>
      </c>
      <c r="G29" s="3">
        <f>Log!G30-Log[[#This Row],[Morning Diastolic Pressure]]</f>
        <v>-6</v>
      </c>
      <c r="H29" s="3">
        <f>Log!H30-Log[[#This Row],[Morning Pulse]]</f>
        <v>-12</v>
      </c>
      <c r="I29" s="3">
        <f>Log!I30-Log[[#This Row],[Night Body Temp]]</f>
        <v>-0.89999999999999147</v>
      </c>
      <c r="J29" s="3">
        <f>Log!J30-Log[[#This Row],[Night Systolic Pressure]]</f>
        <v>-6</v>
      </c>
      <c r="K29" s="3">
        <f>Log!K30-Log[[#This Row],[Night Diastolic Pressure]]</f>
        <v>0</v>
      </c>
      <c r="L29" s="3">
        <f>Log!L30-Log[[#This Row],[Night Pulse]]</f>
        <v>1</v>
      </c>
      <c r="M29" s="3">
        <f>Log!M30-Log[[#This Row],[Sleep]]</f>
        <v>-3</v>
      </c>
      <c r="N29" s="3">
        <f>Log!N30-Log[[#This Row],[BMI]]</f>
        <v>-0.11477551020408328</v>
      </c>
      <c r="O29" s="3">
        <f>Log!O30-Log[[#This Row],[CBF]]</f>
        <v>0</v>
      </c>
      <c r="P29" s="3"/>
      <c r="Q29" s="5">
        <f ca="1">SUMIF(Differences!O$2:INDIRECT(Measurements!$E14),"&gt;0")</f>
        <v>12.790585136845024</v>
      </c>
      <c r="R29" s="5" t="s">
        <v>113</v>
      </c>
    </row>
    <row r="30" spans="1:18" x14ac:dyDescent="0.25">
      <c r="A30" s="3" t="str">
        <f>_xlfn.CONCAT(TEXT(Log!A31, "MM/DD/YY")," - ",TEXT(Log!A30, "MM/DD/YY"))</f>
        <v>02/24/24 - 02/23/24</v>
      </c>
      <c r="B30" s="3">
        <f>Log!B31-Log[[#This Row],[Weight (Pounds)]]</f>
        <v>-0.80000000000001137</v>
      </c>
      <c r="C30" s="3">
        <f>Log!C31-Log[[#This Row],[Waist (Inches)]]</f>
        <v>0</v>
      </c>
      <c r="D30" s="3">
        <f>Log!D31-Log[[#This Row],[Neck (Inches)]]</f>
        <v>0</v>
      </c>
      <c r="E30" s="3">
        <f>Log!E31-Log[[#This Row],[Morning Body Temp]]</f>
        <v>-0.20000000000000284</v>
      </c>
      <c r="F30" s="3">
        <f>Log!F31-Log[[#This Row],[Morning Systolic Pressure]]</f>
        <v>22</v>
      </c>
      <c r="G30" s="3">
        <f>Log!G31-Log[[#This Row],[Morning Diastolic Pressure]]</f>
        <v>8</v>
      </c>
      <c r="H30" s="3">
        <f>Log!H31-Log[[#This Row],[Morning Pulse]]</f>
        <v>11</v>
      </c>
      <c r="I30" s="3">
        <f>Log!I31-Log[[#This Row],[Night Body Temp]]</f>
        <v>1</v>
      </c>
      <c r="J30" s="3">
        <f>Log!J31-Log[[#This Row],[Night Systolic Pressure]]</f>
        <v>2</v>
      </c>
      <c r="K30" s="3">
        <f>Log!K31-Log[[#This Row],[Night Diastolic Pressure]]</f>
        <v>-2</v>
      </c>
      <c r="L30" s="3">
        <f>Log!L31-Log[[#This Row],[Night Pulse]]</f>
        <v>9</v>
      </c>
      <c r="M30" s="3">
        <f>Log!M31-Log[[#This Row],[Sleep]]</f>
        <v>5</v>
      </c>
      <c r="N30" s="3">
        <f>Log!N31-Log[[#This Row],[BMI]]</f>
        <v>-0.11477551020408328</v>
      </c>
      <c r="O30" s="3">
        <f>Log!O31-Log[[#This Row],[CBF]]</f>
        <v>0</v>
      </c>
      <c r="P30" s="3"/>
      <c r="Q30" s="5">
        <f ca="1">AVERAGE(Differences!B$2:INDIRECT(Measurements!$E1))</f>
        <v>-0.21505376344086052</v>
      </c>
      <c r="R30" s="5" t="s">
        <v>179</v>
      </c>
    </row>
    <row r="31" spans="1:18" x14ac:dyDescent="0.25">
      <c r="A31" s="3" t="str">
        <f>_xlfn.CONCAT(TEXT(Log!A32, "MM/DD/YY")," - ",TEXT(Log!A31, "MM/DD/YY"))</f>
        <v>02/25/24 - 02/24/24</v>
      </c>
      <c r="B31" s="3">
        <f>Log!B32-Log[[#This Row],[Weight (Pounds)]]</f>
        <v>-0.19999999999998863</v>
      </c>
      <c r="C31" s="3">
        <f>Log!C32-Log[[#This Row],[Waist (Inches)]]</f>
        <v>0</v>
      </c>
      <c r="D31" s="3">
        <f>Log!D32-Log[[#This Row],[Neck (Inches)]]</f>
        <v>0</v>
      </c>
      <c r="E31" s="3">
        <f>Log!E32-Log[[#This Row],[Morning Body Temp]]</f>
        <v>0.70000000000000284</v>
      </c>
      <c r="F31" s="3">
        <f>Log!F32-Log[[#This Row],[Morning Systolic Pressure]]</f>
        <v>-6</v>
      </c>
      <c r="G31" s="3">
        <f>Log!G32-Log[[#This Row],[Morning Diastolic Pressure]]</f>
        <v>-6</v>
      </c>
      <c r="H31" s="3">
        <f>Log!H32-Log[[#This Row],[Morning Pulse]]</f>
        <v>-2</v>
      </c>
      <c r="I31" s="3">
        <f>Log!I32-Log[[#This Row],[Night Body Temp]]</f>
        <v>0.79999999999999716</v>
      </c>
      <c r="J31" s="3">
        <f>Log!J32-Log[[#This Row],[Night Systolic Pressure]]</f>
        <v>-9</v>
      </c>
      <c r="K31" s="3">
        <f>Log!K32-Log[[#This Row],[Night Diastolic Pressure]]</f>
        <v>-2</v>
      </c>
      <c r="L31" s="3">
        <f>Log!L32-Log[[#This Row],[Night Pulse]]</f>
        <v>-2</v>
      </c>
      <c r="M31" s="3">
        <f>Log!M32-Log[[#This Row],[Sleep]]</f>
        <v>0</v>
      </c>
      <c r="N31" s="3">
        <f>Log!N32-Log[[#This Row],[BMI]]</f>
        <v>-2.8693877551020819E-2</v>
      </c>
      <c r="O31" s="3">
        <f>Log!O32-Log[[#This Row],[CBF]]</f>
        <v>0</v>
      </c>
      <c r="P31" s="3"/>
      <c r="Q31" s="5">
        <f ca="1">AVERAGE(Differences!C$2:INDIRECT(Measurements!$E2))</f>
        <v>-3.2258064516129031E-2</v>
      </c>
      <c r="R31" s="5" t="s">
        <v>181</v>
      </c>
    </row>
    <row r="32" spans="1:18" x14ac:dyDescent="0.25">
      <c r="A32" s="3" t="str">
        <f>_xlfn.CONCAT(TEXT(Log!A33, "MM/DD/YY")," - ",TEXT(Log!A32, "MM/DD/YY"))</f>
        <v>02/26/24 - 02/25/24</v>
      </c>
      <c r="B32" s="3">
        <f>Log!B33-Log[[#This Row],[Weight (Pounds)]]</f>
        <v>-2</v>
      </c>
      <c r="C32" s="3">
        <f>Log!C33-Log[[#This Row],[Waist (Inches)]]</f>
        <v>0</v>
      </c>
      <c r="D32" s="3">
        <f>Log!D33-Log[[#This Row],[Neck (Inches)]]</f>
        <v>0</v>
      </c>
      <c r="E32" s="3">
        <f>Log!E33-Log[[#This Row],[Morning Body Temp]]</f>
        <v>-0.39999999999999147</v>
      </c>
      <c r="F32" s="3">
        <f>Log!F33-Log[[#This Row],[Morning Systolic Pressure]]</f>
        <v>-8</v>
      </c>
      <c r="G32" s="3">
        <f>Log!G33-Log[[#This Row],[Morning Diastolic Pressure]]</f>
        <v>1</v>
      </c>
      <c r="H32" s="3">
        <f>Log!H33-Log[[#This Row],[Morning Pulse]]</f>
        <v>0</v>
      </c>
      <c r="I32" s="3">
        <f>Log!I33-Log[[#This Row],[Night Body Temp]]</f>
        <v>-1.5</v>
      </c>
      <c r="J32" s="3">
        <f>Log!J33-Log[[#This Row],[Night Systolic Pressure]]</f>
        <v>-3</v>
      </c>
      <c r="K32" s="3">
        <f>Log!K33-Log[[#This Row],[Night Diastolic Pressure]]</f>
        <v>8</v>
      </c>
      <c r="L32" s="3">
        <f>Log!L33-Log[[#This Row],[Night Pulse]]</f>
        <v>0</v>
      </c>
      <c r="M32" s="3">
        <f>Log!M33-Log[[#This Row],[Sleep]]</f>
        <v>-2.5</v>
      </c>
      <c r="N32" s="3">
        <f>Log!N33-Log[[#This Row],[BMI]]</f>
        <v>-0.28693877551020108</v>
      </c>
      <c r="O32" s="3">
        <f>Log!O33-Log[[#This Row],[CBF]]</f>
        <v>0</v>
      </c>
      <c r="P32" s="3"/>
      <c r="Q32" s="5">
        <f ca="1">AVERAGE(Differences!D$2:INDIRECT(Measurements!$E3))</f>
        <v>-5.3763440860215058E-3</v>
      </c>
      <c r="R32" s="5" t="s">
        <v>182</v>
      </c>
    </row>
    <row r="33" spans="1:18" x14ac:dyDescent="0.25">
      <c r="A33" s="3" t="str">
        <f>_xlfn.CONCAT(TEXT(Log!A34, "MM/DD/YY")," - ",TEXT(Log!A33, "MM/DD/YY"))</f>
        <v>02/27/24 - 02/26/24</v>
      </c>
      <c r="B33" s="3">
        <f>Log!B34-Log[[#This Row],[Weight (Pounds)]]</f>
        <v>0</v>
      </c>
      <c r="C33" s="3">
        <f>Log!C34-Log[[#This Row],[Waist (Inches)]]</f>
        <v>-0.5</v>
      </c>
      <c r="D33" s="3">
        <f>Log!D34-Log[[#This Row],[Neck (Inches)]]</f>
        <v>0</v>
      </c>
      <c r="E33" s="3">
        <f>Log!E34-Log[[#This Row],[Morning Body Temp]]</f>
        <v>0.29999999999999716</v>
      </c>
      <c r="F33" s="3">
        <f>Log!F34-Log[[#This Row],[Morning Systolic Pressure]]</f>
        <v>8</v>
      </c>
      <c r="G33" s="3">
        <f>Log!G34-Log[[#This Row],[Morning Diastolic Pressure]]</f>
        <v>8</v>
      </c>
      <c r="H33" s="3">
        <f>Log!H34-Log[[#This Row],[Morning Pulse]]</f>
        <v>-6</v>
      </c>
      <c r="I33" s="3">
        <f>Log!I34-Log[[#This Row],[Night Body Temp]]</f>
        <v>0</v>
      </c>
      <c r="J33" s="3">
        <f>Log!J34-Log[[#This Row],[Night Systolic Pressure]]</f>
        <v>5</v>
      </c>
      <c r="K33" s="3">
        <f>Log!K34-Log[[#This Row],[Night Diastolic Pressure]]</f>
        <v>-1</v>
      </c>
      <c r="L33" s="3">
        <f>Log!L34-Log[[#This Row],[Night Pulse]]</f>
        <v>2</v>
      </c>
      <c r="M33" s="3">
        <f>Log!M34-Log[[#This Row],[Sleep]]</f>
        <v>1.5</v>
      </c>
      <c r="N33" s="3">
        <f>Log!N34-Log[[#This Row],[BMI]]</f>
        <v>0</v>
      </c>
      <c r="O33" s="3">
        <f>Log!O34-Log[[#This Row],[CBF]]</f>
        <v>-0.67305727940338045</v>
      </c>
      <c r="P33" s="3"/>
      <c r="Q33" s="5">
        <f ca="1">AVERAGE(Differences!E$2:INDIRECT(Measurements!$E4))</f>
        <v>0.32473118279569896</v>
      </c>
      <c r="R33" s="5" t="s">
        <v>183</v>
      </c>
    </row>
    <row r="34" spans="1:18" x14ac:dyDescent="0.25">
      <c r="A34" s="3" t="str">
        <f>_xlfn.CONCAT(TEXT(Log!A35, "MM/DD/YY")," - ",TEXT(Log!A34, "MM/DD/YY"))</f>
        <v>02/28/24 - 02/27/24</v>
      </c>
      <c r="B34" s="3">
        <f>Log!B35-Log[[#This Row],[Weight (Pounds)]]</f>
        <v>-1</v>
      </c>
      <c r="C34" s="3">
        <f>Log!C35-Log[[#This Row],[Waist (Inches)]]</f>
        <v>0</v>
      </c>
      <c r="D34" s="3">
        <f>Log!D35-Log[[#This Row],[Neck (Inches)]]</f>
        <v>0</v>
      </c>
      <c r="E34" s="3">
        <f>Log!E35-Log[[#This Row],[Morning Body Temp]]</f>
        <v>0.39999999999999147</v>
      </c>
      <c r="F34" s="3">
        <f>Log!F35-Log[[#This Row],[Morning Systolic Pressure]]</f>
        <v>-4</v>
      </c>
      <c r="G34" s="3">
        <f>Log!G35-Log[[#This Row],[Morning Diastolic Pressure]]</f>
        <v>-5</v>
      </c>
      <c r="H34" s="3">
        <f>Log!H35-Log[[#This Row],[Morning Pulse]]</f>
        <v>-9</v>
      </c>
      <c r="I34" s="3">
        <f>Log!I35-Log[[#This Row],[Night Body Temp]]</f>
        <v>-0.40000000000000568</v>
      </c>
      <c r="J34" s="3">
        <f>Log!J35-Log[[#This Row],[Night Systolic Pressure]]</f>
        <v>1</v>
      </c>
      <c r="K34" s="3">
        <f>Log!K35-Log[[#This Row],[Night Diastolic Pressure]]</f>
        <v>0</v>
      </c>
      <c r="L34" s="3">
        <f>Log!L35-Log[[#This Row],[Night Pulse]]</f>
        <v>-18</v>
      </c>
      <c r="M34" s="3">
        <f>Log!M35-Log[[#This Row],[Sleep]]</f>
        <v>0.5</v>
      </c>
      <c r="N34" s="3">
        <f>Log!N35-Log[[#This Row],[BMI]]</f>
        <v>-0.14346938775510409</v>
      </c>
      <c r="O34" s="3">
        <f>Log!O35-Log[[#This Row],[CBF]]</f>
        <v>0</v>
      </c>
      <c r="P34" s="3"/>
      <c r="Q34" s="5">
        <f ca="1">AVERAGE(Differences!F$2:INDIRECT(Measurements!$E5))</f>
        <v>-0.40860215053763443</v>
      </c>
      <c r="R34" s="5" t="s">
        <v>184</v>
      </c>
    </row>
    <row r="35" spans="1:18" x14ac:dyDescent="0.25">
      <c r="A35" s="3" t="str">
        <f>_xlfn.CONCAT(TEXT(Log!A36, "MM/DD/YY")," - ",TEXT(Log!A35, "MM/DD/YY"))</f>
        <v>02/29/24 - 02/28/24</v>
      </c>
      <c r="B35" s="3">
        <f>Log!B36-Log[[#This Row],[Weight (Pounds)]]</f>
        <v>0.59999999999999432</v>
      </c>
      <c r="C35" s="3">
        <f>Log!C36-Log[[#This Row],[Waist (Inches)]]</f>
        <v>0</v>
      </c>
      <c r="D35" s="3">
        <f>Log!D36-Log[[#This Row],[Neck (Inches)]]</f>
        <v>0</v>
      </c>
      <c r="E35" s="3">
        <f>Log!E36-Log[[#This Row],[Morning Body Temp]]</f>
        <v>-0.89999999999999147</v>
      </c>
      <c r="F35" s="3">
        <f>Log!F36-Log[[#This Row],[Morning Systolic Pressure]]</f>
        <v>13</v>
      </c>
      <c r="G35" s="3">
        <f>Log!G36-Log[[#This Row],[Morning Diastolic Pressure]]</f>
        <v>1</v>
      </c>
      <c r="H35" s="3">
        <f>Log!H36-Log[[#This Row],[Morning Pulse]]</f>
        <v>5</v>
      </c>
      <c r="I35" s="3">
        <f>Log!I36-Log[[#This Row],[Night Body Temp]]</f>
        <v>1.9000000000000057</v>
      </c>
      <c r="J35" s="3">
        <f>Log!J36-Log[[#This Row],[Night Systolic Pressure]]</f>
        <v>4</v>
      </c>
      <c r="K35" s="3">
        <f>Log!K36-Log[[#This Row],[Night Diastolic Pressure]]</f>
        <v>-4</v>
      </c>
      <c r="L35" s="3">
        <f>Log!L36-Log[[#This Row],[Night Pulse]]</f>
        <v>12</v>
      </c>
      <c r="M35" s="3">
        <f>Log!M36-Log[[#This Row],[Sleep]]</f>
        <v>-3</v>
      </c>
      <c r="N35" s="3">
        <f>Log!N36-Log[[#This Row],[BMI]]</f>
        <v>8.6081632653062456E-2</v>
      </c>
      <c r="O35" s="3">
        <f>Log!O36-Log[[#This Row],[CBF]]</f>
        <v>0</v>
      </c>
      <c r="P35" s="3"/>
      <c r="Q35" s="5">
        <f ca="1">AVERAGE(Differences!G$2:INDIRECT(Measurements!$E6))</f>
        <v>0.25806451612903225</v>
      </c>
      <c r="R35" s="5" t="s">
        <v>185</v>
      </c>
    </row>
    <row r="36" spans="1:18" x14ac:dyDescent="0.25">
      <c r="A36" s="3" t="str">
        <f>_xlfn.CONCAT(TEXT(Log!A37, "MM/DD/YY")," - ",TEXT(Log!A36, "MM/DD/YY"))</f>
        <v>03/01/24 - 02/29/24</v>
      </c>
      <c r="B36" s="3">
        <f>Log!B37-Log[[#This Row],[Weight (Pounds)]]</f>
        <v>0</v>
      </c>
      <c r="C36" s="3">
        <f>Log!C37-Log[[#This Row],[Waist (Inches)]]</f>
        <v>0</v>
      </c>
      <c r="D36" s="3">
        <f>Log!D37-Log[[#This Row],[Neck (Inches)]]</f>
        <v>0</v>
      </c>
      <c r="E36" s="3">
        <f>Log!E37-Log[[#This Row],[Morning Body Temp]]</f>
        <v>0</v>
      </c>
      <c r="F36" s="3">
        <f>Log!F37-Log[[#This Row],[Morning Systolic Pressure]]</f>
        <v>4</v>
      </c>
      <c r="G36" s="3">
        <f>Log!G37-Log[[#This Row],[Morning Diastolic Pressure]]</f>
        <v>-3</v>
      </c>
      <c r="H36" s="3">
        <f>Log!H37-Log[[#This Row],[Morning Pulse]]</f>
        <v>4</v>
      </c>
      <c r="I36" s="3">
        <f>Log!I37-Log[[#This Row],[Night Body Temp]]</f>
        <v>-0.5</v>
      </c>
      <c r="J36" s="3">
        <f>Log!J37-Log[[#This Row],[Night Systolic Pressure]]</f>
        <v>-5</v>
      </c>
      <c r="K36" s="3">
        <f>Log!K37-Log[[#This Row],[Night Diastolic Pressure]]</f>
        <v>-5</v>
      </c>
      <c r="L36" s="3">
        <f>Log!L37-Log[[#This Row],[Night Pulse]]</f>
        <v>5</v>
      </c>
      <c r="M36" s="3">
        <f>Log!M37-Log[[#This Row],[Sleep]]</f>
        <v>-5.5</v>
      </c>
      <c r="N36" s="3">
        <f>Log!N37-Log[[#This Row],[BMI]]</f>
        <v>0</v>
      </c>
      <c r="O36" s="3">
        <f>Log!O37-Log[[#This Row],[CBF]]</f>
        <v>0</v>
      </c>
      <c r="P36" s="3"/>
      <c r="Q36" s="5" t="e">
        <f ca="1">AVERAGE(Differences!H$2:INDIRECT(Measurements!$E7))</f>
        <v>#REF!</v>
      </c>
      <c r="R36" s="5" t="s">
        <v>186</v>
      </c>
    </row>
    <row r="37" spans="1:18" x14ac:dyDescent="0.25">
      <c r="A37" s="3" t="str">
        <f>_xlfn.CONCAT(TEXT(Log!A38, "MM/DD/YY")," - ",TEXT(Log!A37, "MM/DD/YY"))</f>
        <v>03/02/24 - 03/01/24</v>
      </c>
      <c r="B37" s="3">
        <f>Log!B38-Log[[#This Row],[Weight (Pounds)]]</f>
        <v>-2.7999999999999829</v>
      </c>
      <c r="C37" s="3">
        <f>Log!C38-Log[[#This Row],[Waist (Inches)]]</f>
        <v>0</v>
      </c>
      <c r="D37" s="3">
        <f>Log!D38-Log[[#This Row],[Neck (Inches)]]</f>
        <v>0</v>
      </c>
      <c r="E37" s="3">
        <f>Log!E38-Log[[#This Row],[Morning Body Temp]]</f>
        <v>-0.10000000000000853</v>
      </c>
      <c r="F37" s="3">
        <f>Log!F38-Log[[#This Row],[Morning Systolic Pressure]]</f>
        <v>-13</v>
      </c>
      <c r="G37" s="3">
        <f>Log!G38-Log[[#This Row],[Morning Diastolic Pressure]]</f>
        <v>0</v>
      </c>
      <c r="H37" s="3">
        <f>Log!H38-Log[[#This Row],[Morning Pulse]]</f>
        <v>4</v>
      </c>
      <c r="I37" s="3">
        <f>Log!I38-Log[[#This Row],[Night Body Temp]]</f>
        <v>0.5</v>
      </c>
      <c r="J37" s="3">
        <f>Log!J38-Log[[#This Row],[Night Systolic Pressure]]</f>
        <v>13</v>
      </c>
      <c r="K37" s="3">
        <f>Log!K38-Log[[#This Row],[Night Diastolic Pressure]]</f>
        <v>12</v>
      </c>
      <c r="L37" s="3">
        <f>Log!L38-Log[[#This Row],[Night Pulse]]</f>
        <v>17</v>
      </c>
      <c r="M37" s="3">
        <f>Log!M38-Log[[#This Row],[Sleep]]</f>
        <v>8.5</v>
      </c>
      <c r="N37" s="3">
        <f>Log!N38-Log[[#This Row],[BMI]]</f>
        <v>-0.40171428571428436</v>
      </c>
      <c r="O37" s="3">
        <f>Log!O38-Log[[#This Row],[CBF]]</f>
        <v>0</v>
      </c>
      <c r="P37" s="3"/>
      <c r="Q37" s="5">
        <f ca="1">AVERAGE(Differences!I$2:INDIRECT(Measurements!$E8))</f>
        <v>-5.434782608695652E-3</v>
      </c>
      <c r="R37" s="5" t="s">
        <v>187</v>
      </c>
    </row>
    <row r="38" spans="1:18" x14ac:dyDescent="0.25">
      <c r="A38" s="3" t="str">
        <f>_xlfn.CONCAT(TEXT(Log!A39, "MM/DD/YY")," - ",TEXT(Log!A38, "MM/DD/YY"))</f>
        <v>03/03/24 - 03/02/24</v>
      </c>
      <c r="B38" s="3">
        <f>Log!B39-Log[[#This Row],[Weight (Pounds)]]</f>
        <v>0</v>
      </c>
      <c r="C38" s="3">
        <f>Log!C39-Log[[#This Row],[Waist (Inches)]]</f>
        <v>0</v>
      </c>
      <c r="D38" s="3">
        <f>Log!D39-Log[[#This Row],[Neck (Inches)]]</f>
        <v>0</v>
      </c>
      <c r="E38" s="3">
        <f>Log!E39-Log[[#This Row],[Morning Body Temp]]</f>
        <v>0.20000000000000284</v>
      </c>
      <c r="F38" s="3">
        <f>Log!F39-Log[[#This Row],[Morning Systolic Pressure]]</f>
        <v>-2</v>
      </c>
      <c r="G38" s="3">
        <f>Log!G39-Log[[#This Row],[Morning Diastolic Pressure]]</f>
        <v>-4</v>
      </c>
      <c r="H38" s="3">
        <f>Log!H39-Log[[#This Row],[Morning Pulse]]</f>
        <v>5</v>
      </c>
      <c r="I38" s="3">
        <f>Log!I39-Log[[#This Row],[Night Body Temp]]</f>
        <v>-1</v>
      </c>
      <c r="J38" s="3">
        <f>Log!J39-Log[[#This Row],[Night Systolic Pressure]]</f>
        <v>19</v>
      </c>
      <c r="K38" s="3">
        <f>Log!K39-Log[[#This Row],[Night Diastolic Pressure]]</f>
        <v>-9</v>
      </c>
      <c r="L38" s="3">
        <f>Log!L39-Log[[#This Row],[Night Pulse]]</f>
        <v>10</v>
      </c>
      <c r="M38" s="3">
        <f>Log!M39-Log[[#This Row],[Sleep]]</f>
        <v>-7.5</v>
      </c>
      <c r="N38" s="3">
        <f>Log!N39-Log[[#This Row],[BMI]]</f>
        <v>0</v>
      </c>
      <c r="O38" s="3">
        <f>Log!O39-Log[[#This Row],[CBF]]</f>
        <v>0</v>
      </c>
      <c r="P38" s="3"/>
      <c r="Q38" s="5">
        <f ca="1">AVERAGE(Differences!J$2:INDIRECT(Measurements!$E9))</f>
        <v>0.21739130434782608</v>
      </c>
      <c r="R38" s="5" t="s">
        <v>188</v>
      </c>
    </row>
    <row r="39" spans="1:18" x14ac:dyDescent="0.25">
      <c r="A39" s="3" t="str">
        <f>_xlfn.CONCAT(TEXT(Log!A40, "MM/DD/YY")," - ",TEXT(Log!A39, "MM/DD/YY"))</f>
        <v>03/04/24 - 03/03/24</v>
      </c>
      <c r="B39" s="3">
        <f>Log!B40-Log[[#This Row],[Weight (Pounds)]]</f>
        <v>4.1999999999999886</v>
      </c>
      <c r="C39" s="3">
        <f>Log!C40-Log[[#This Row],[Waist (Inches)]]</f>
        <v>0.5</v>
      </c>
      <c r="D39" s="3">
        <f>Log!D40-Log[[#This Row],[Neck (Inches)]]</f>
        <v>0</v>
      </c>
      <c r="E39" s="3">
        <f>Log!E40-Log[[#This Row],[Morning Body Temp]]</f>
        <v>0.79999999999999716</v>
      </c>
      <c r="F39" s="3">
        <f>Log!F40-Log[[#This Row],[Morning Systolic Pressure]]</f>
        <v>14</v>
      </c>
      <c r="G39" s="3">
        <f>Log!G40-Log[[#This Row],[Morning Diastolic Pressure]]</f>
        <v>13</v>
      </c>
      <c r="H39" s="3">
        <f>Log!H40-Log[[#This Row],[Morning Pulse]]</f>
        <v>-4</v>
      </c>
      <c r="I39" s="3">
        <f>Log!I40-Log[[#This Row],[Night Body Temp]]</f>
        <v>1</v>
      </c>
      <c r="J39" s="3">
        <f>Log!J40-Log[[#This Row],[Night Systolic Pressure]]</f>
        <v>-41</v>
      </c>
      <c r="K39" s="3">
        <f>Log!K40-Log[[#This Row],[Night Diastolic Pressure]]</f>
        <v>13</v>
      </c>
      <c r="L39" s="3">
        <f>Log!L40-Log[[#This Row],[Night Pulse]]</f>
        <v>-26</v>
      </c>
      <c r="M39" s="3">
        <f>Log!M40-Log[[#This Row],[Sleep]]</f>
        <v>10</v>
      </c>
      <c r="N39" s="11">
        <f>Log!N40-Log[[#This Row],[BMI]]</f>
        <v>0.60257142857142298</v>
      </c>
      <c r="O39" s="11">
        <f>Log!O40-Log[[#This Row],[CBF]]</f>
        <v>0.67305727940338045</v>
      </c>
      <c r="Q39" s="5">
        <f ca="1">AVERAGE(Differences!K$2:INDIRECT(Measurements!$E10))</f>
        <v>2.1739130434782608E-2</v>
      </c>
      <c r="R39" s="5" t="s">
        <v>189</v>
      </c>
    </row>
    <row r="40" spans="1:18" x14ac:dyDescent="0.25">
      <c r="A40" s="3" t="str">
        <f>_xlfn.CONCAT(TEXT(Log!A41, "MM/DD/YY")," - ",TEXT(Log!A40, "MM/DD/YY"))</f>
        <v>03/05/24 - 03/04/24</v>
      </c>
      <c r="B40" s="3">
        <f>Log!B41-Log[[#This Row],[Weight (Pounds)]]</f>
        <v>4.1999999999999886</v>
      </c>
      <c r="C40" s="3">
        <f>Log!C41-Log[[#This Row],[Waist (Inches)]]</f>
        <v>0</v>
      </c>
      <c r="D40" s="3">
        <f>Log!D41-Log[[#This Row],[Neck (Inches)]]</f>
        <v>0</v>
      </c>
      <c r="E40" s="3">
        <f>Log!E41-Log[[#This Row],[Morning Body Temp]]</f>
        <v>-9.9999999999994316E-2</v>
      </c>
      <c r="F40" s="3">
        <f>Log!F41-Log[[#This Row],[Morning Systolic Pressure]]</f>
        <v>9</v>
      </c>
      <c r="G40" s="3">
        <f>Log!G41-Log[[#This Row],[Morning Diastolic Pressure]]</f>
        <v>8</v>
      </c>
      <c r="H40" s="3">
        <f>Log!H41-Log[[#This Row],[Morning Pulse]]</f>
        <v>7</v>
      </c>
      <c r="I40" s="3">
        <f>Log!I41-Log[[#This Row],[Night Body Temp]]</f>
        <v>0</v>
      </c>
      <c r="J40" s="3">
        <f>Log!J41-Log[[#This Row],[Night Systolic Pressure]]</f>
        <v>22</v>
      </c>
      <c r="K40" s="3">
        <f>Log!K41-Log[[#This Row],[Night Diastolic Pressure]]</f>
        <v>0</v>
      </c>
      <c r="L40" s="3">
        <f>Log!L41-Log[[#This Row],[Night Pulse]]</f>
        <v>11</v>
      </c>
      <c r="M40" s="3">
        <f>Log!M41-Log[[#This Row],[Sleep]]</f>
        <v>0</v>
      </c>
      <c r="N40" s="11">
        <f>Log!N41-Log[[#This Row],[BMI]]</f>
        <v>0.60257142857143009</v>
      </c>
      <c r="O40" s="11">
        <f>Log!O41-Log[[#This Row],[CBF]]</f>
        <v>0</v>
      </c>
      <c r="Q40" s="5">
        <f ca="1">AVERAGE(Differences!L$2:INDIRECT(Measurements!$E11))</f>
        <v>9.7826086956521743E-2</v>
      </c>
      <c r="R40" s="5" t="s">
        <v>190</v>
      </c>
    </row>
    <row r="41" spans="1:18" x14ac:dyDescent="0.25">
      <c r="A41" s="3" t="str">
        <f>_xlfn.CONCAT(TEXT(Log!A42, "MM/DD/YY")," - ",TEXT(Log!A41, "MM/DD/YY"))</f>
        <v>03/06/24 - 03/05/24</v>
      </c>
      <c r="B41" s="3">
        <f>Log!B42-Log[[#This Row],[Weight (Pounds)]]</f>
        <v>-0.19999999999998863</v>
      </c>
      <c r="C41" s="3">
        <f>Log!C42-Log[[#This Row],[Waist (Inches)]]</f>
        <v>-1</v>
      </c>
      <c r="D41" s="3">
        <f>Log!D42-Log[[#This Row],[Neck (Inches)]]</f>
        <v>0</v>
      </c>
      <c r="E41" s="3">
        <f>Log!E42-Log[[#This Row],[Morning Body Temp]]</f>
        <v>-0.29999999999999716</v>
      </c>
      <c r="F41" s="3">
        <f>Log!F42-Log[[#This Row],[Morning Systolic Pressure]]</f>
        <v>-6</v>
      </c>
      <c r="G41" s="3">
        <f>Log!G42-Log[[#This Row],[Morning Diastolic Pressure]]</f>
        <v>-11</v>
      </c>
      <c r="H41" s="3">
        <f>Log!H42-Log[[#This Row],[Morning Pulse]]</f>
        <v>7</v>
      </c>
      <c r="I41" s="3">
        <f>Log!I42-Log[[#This Row],[Night Body Temp]]</f>
        <v>1.2000000000000028</v>
      </c>
      <c r="J41" s="3">
        <f>Log!J42-Log[[#This Row],[Night Systolic Pressure]]</f>
        <v>-2</v>
      </c>
      <c r="K41" s="3">
        <f>Log!K42-Log[[#This Row],[Night Diastolic Pressure]]</f>
        <v>10</v>
      </c>
      <c r="L41" s="3">
        <f>Log!L42-Log[[#This Row],[Night Pulse]]</f>
        <v>14</v>
      </c>
      <c r="M41" s="3">
        <f>Log!M42-Log[[#This Row],[Sleep]]</f>
        <v>-7</v>
      </c>
      <c r="N41" s="11">
        <f>Log!N42-Log[[#This Row],[BMI]]</f>
        <v>-2.8693877551013713E-2</v>
      </c>
      <c r="O41" s="11">
        <f>Log!O42-Log[[#This Row],[CBF]]</f>
        <v>-1.3584649204297676</v>
      </c>
      <c r="Q41" s="5" t="e">
        <f ca="1">AVERAGE(Differences!M$2:INDIRECT(Measurements!$E12))</f>
        <v>#REF!</v>
      </c>
      <c r="R41" s="5" t="s">
        <v>191</v>
      </c>
    </row>
    <row r="42" spans="1:18" x14ac:dyDescent="0.25">
      <c r="A42" s="3" t="str">
        <f>_xlfn.CONCAT(TEXT(Log!A43, "MM/DD/YY")," - ",TEXT(Log!A42, "MM/DD/YY"))</f>
        <v>03/07/24 - 03/06/24</v>
      </c>
      <c r="B42" s="3">
        <f>Log!B43-Log[[#This Row],[Weight (Pounds)]]</f>
        <v>-2.3999999999999773</v>
      </c>
      <c r="C42" s="3">
        <f>Log!C43-Log[[#This Row],[Waist (Inches)]]</f>
        <v>0.5</v>
      </c>
      <c r="D42" s="3">
        <f>Log!D43-Log[[#This Row],[Neck (Inches)]]</f>
        <v>0</v>
      </c>
      <c r="E42" s="3">
        <f>Log!E43-Log[[#This Row],[Morning Body Temp]]</f>
        <v>-0.29999999999999716</v>
      </c>
      <c r="F42" s="3">
        <f>Log!F43-Log[[#This Row],[Morning Systolic Pressure]]</f>
        <v>-10</v>
      </c>
      <c r="G42" s="3">
        <f>Log!G43-Log[[#This Row],[Morning Diastolic Pressure]]</f>
        <v>8</v>
      </c>
      <c r="H42" s="3">
        <f>Log!H43-Log[[#This Row],[Morning Pulse]]</f>
        <v>-2</v>
      </c>
      <c r="I42" s="3">
        <f>Log!I43-Log[[#This Row],[Night Body Temp]]</f>
        <v>-1.6000000000000085</v>
      </c>
      <c r="J42" s="3">
        <f>Log!J43-Log[[#This Row],[Night Systolic Pressure]]</f>
        <v>14</v>
      </c>
      <c r="K42" s="3">
        <f>Log!K43-Log[[#This Row],[Night Diastolic Pressure]]</f>
        <v>-4</v>
      </c>
      <c r="L42" s="3">
        <f>Log!L43-Log[[#This Row],[Night Pulse]]</f>
        <v>-15</v>
      </c>
      <c r="M42" s="3">
        <f>Log!M43-Log[[#This Row],[Sleep]]</f>
        <v>5</v>
      </c>
      <c r="N42" s="11">
        <f>Log!N43-Log[[#This Row],[BMI]]</f>
        <v>-0.34432653061224272</v>
      </c>
      <c r="O42" s="11">
        <f>Log!O43-Log[[#This Row],[CBF]]</f>
        <v>0.68540764102638718</v>
      </c>
      <c r="Q42" s="5">
        <f ca="1">AVERAGE(Differences!N$2:INDIRECT(Measurements!$E13))</f>
        <v>-3.0853631775290821E-2</v>
      </c>
      <c r="R42" s="5" t="s">
        <v>192</v>
      </c>
    </row>
    <row r="43" spans="1:18" x14ac:dyDescent="0.25">
      <c r="A43" s="3" t="str">
        <f>_xlfn.CONCAT(TEXT(Log!A44, "MM/DD/YY")," - ",TEXT(Log!A43, "MM/DD/YY"))</f>
        <v>03/08/24 - 03/07/24</v>
      </c>
      <c r="B43" s="3">
        <f>Log!B44-Log[[#This Row],[Weight (Pounds)]]</f>
        <v>-0.60000000000002274</v>
      </c>
      <c r="C43" s="3">
        <f>Log!C44-Log[[#This Row],[Waist (Inches)]]</f>
        <v>0</v>
      </c>
      <c r="D43" s="3">
        <f>Log!D44-Log[[#This Row],[Neck (Inches)]]</f>
        <v>0</v>
      </c>
      <c r="E43" s="3">
        <f>Log!E44-Log[[#This Row],[Morning Body Temp]]</f>
        <v>1.1999999999999886</v>
      </c>
      <c r="F43" s="3">
        <f>Log!F44-Log[[#This Row],[Morning Systolic Pressure]]</f>
        <v>8</v>
      </c>
      <c r="G43" s="3">
        <f>Log!G44-Log[[#This Row],[Morning Diastolic Pressure]]</f>
        <v>-3</v>
      </c>
      <c r="H43" s="3">
        <f>Log!H44-Log[[#This Row],[Morning Pulse]]</f>
        <v>-8</v>
      </c>
      <c r="I43" s="3">
        <f>Log!I44-Log[[#This Row],[Night Body Temp]]</f>
        <v>-0.29999999999999716</v>
      </c>
      <c r="J43" s="3">
        <f>Log!J44-Log[[#This Row],[Night Systolic Pressure]]</f>
        <v>-14</v>
      </c>
      <c r="K43" s="3">
        <f>Log!K44-Log[[#This Row],[Night Diastolic Pressure]]</f>
        <v>-2</v>
      </c>
      <c r="L43" s="3">
        <f>Log!L44-Log[[#This Row],[Night Pulse]]</f>
        <v>-7</v>
      </c>
      <c r="M43" s="3">
        <f>Log!M44-Log[[#This Row],[Sleep]]</f>
        <v>-4</v>
      </c>
      <c r="N43" s="11">
        <f>Log!N44-Log[[#This Row],[BMI]]</f>
        <v>-8.6081632653069562E-2</v>
      </c>
      <c r="O43" s="11">
        <f>Log!O44-Log[[#This Row],[CBF]]</f>
        <v>0</v>
      </c>
      <c r="Q43" s="5">
        <f ca="1">AVERAGE(Differences!O$2:INDIRECT(Measurements!$E14))</f>
        <v>-3.4350181790029813E-2</v>
      </c>
      <c r="R43" s="5" t="s">
        <v>193</v>
      </c>
    </row>
    <row r="44" spans="1:18" x14ac:dyDescent="0.25">
      <c r="A44" s="3" t="str">
        <f>_xlfn.CONCAT(TEXT(Log!A45, "MM/DD/YY")," - ",TEXT(Log!A44, "MM/DD/YY"))</f>
        <v>03/09/24 - 03/08/24</v>
      </c>
      <c r="B44" s="3">
        <f>Log!B45-Log[[#This Row],[Weight (Pounds)]]</f>
        <v>2</v>
      </c>
      <c r="C44" s="3">
        <f>Log!C45-Log[[#This Row],[Waist (Inches)]]</f>
        <v>0</v>
      </c>
      <c r="D44" s="3">
        <f>Log!D45-Log[[#This Row],[Neck (Inches)]]</f>
        <v>0</v>
      </c>
      <c r="E44" s="3">
        <f>Log!E45-Log[[#This Row],[Morning Body Temp]]</f>
        <v>-1.5999999999999943</v>
      </c>
      <c r="F44" s="3">
        <f>Log!F45-Log[[#This Row],[Morning Systolic Pressure]]</f>
        <v>2</v>
      </c>
      <c r="G44" s="3">
        <f>Log!G45-Log[[#This Row],[Morning Diastolic Pressure]]</f>
        <v>9</v>
      </c>
      <c r="H44" s="3">
        <f>Log!H45-Log[[#This Row],[Morning Pulse]]</f>
        <v>-1</v>
      </c>
      <c r="I44" s="3">
        <f>Log!I45-Log[[#This Row],[Night Body Temp]]</f>
        <v>-9.9999999999994316E-2</v>
      </c>
      <c r="J44" s="3">
        <f>Log!J45-Log[[#This Row],[Night Systolic Pressure]]</f>
        <v>14</v>
      </c>
      <c r="K44" s="3">
        <f>Log!K45-Log[[#This Row],[Night Diastolic Pressure]]</f>
        <v>5</v>
      </c>
      <c r="L44" s="3">
        <f>Log!L45-Log[[#This Row],[Night Pulse]]</f>
        <v>8</v>
      </c>
      <c r="M44" s="3">
        <f>Log!M45-Log[[#This Row],[Sleep]]</f>
        <v>2</v>
      </c>
      <c r="N44" s="11">
        <f>Log!N45-Log[[#This Row],[BMI]]</f>
        <v>0.28693877551020819</v>
      </c>
      <c r="O44" s="11">
        <f>Log!O45-Log[[#This Row],[CBF]]</f>
        <v>0</v>
      </c>
    </row>
    <row r="45" spans="1:18" x14ac:dyDescent="0.25">
      <c r="A45" s="3" t="str">
        <f>_xlfn.CONCAT(TEXT(Log!A46, "MM/DD/YY")," - ",TEXT(Log!A45, "MM/DD/YY"))</f>
        <v>03/10/24 - 03/09/24</v>
      </c>
      <c r="B45" s="3">
        <f>Log!B46-Log[[#This Row],[Weight (Pounds)]]</f>
        <v>-0.80000000000001137</v>
      </c>
      <c r="C45" s="3">
        <f>Log!C46-Log[[#This Row],[Waist (Inches)]]</f>
        <v>0</v>
      </c>
      <c r="D45" s="3">
        <f>Log!D46-Log[[#This Row],[Neck (Inches)]]</f>
        <v>0</v>
      </c>
      <c r="E45" s="3">
        <f>Log!E46-Log[[#This Row],[Morning Body Temp]]</f>
        <v>-9.9999999999994316E-2</v>
      </c>
      <c r="F45" s="3">
        <f>Log!F46-Log[[#This Row],[Morning Systolic Pressure]]</f>
        <v>-2</v>
      </c>
      <c r="G45" s="3">
        <f>Log!G46-Log[[#This Row],[Morning Diastolic Pressure]]</f>
        <v>-5</v>
      </c>
      <c r="H45" s="3">
        <f>Log!H46-Log[[#This Row],[Morning Pulse]]</f>
        <v>4</v>
      </c>
      <c r="I45" s="3">
        <f>Log!I46-Log[[#This Row],[Night Body Temp]]</f>
        <v>0.39999999999999147</v>
      </c>
      <c r="J45" s="3">
        <f>Log!J46-Log[[#This Row],[Night Systolic Pressure]]</f>
        <v>3</v>
      </c>
      <c r="K45" s="3">
        <f>Log!K46-Log[[#This Row],[Night Diastolic Pressure]]</f>
        <v>-5</v>
      </c>
      <c r="L45" s="3">
        <f>Log!L46-Log[[#This Row],[Night Pulse]]</f>
        <v>-1</v>
      </c>
      <c r="M45" s="3">
        <f>Log!M46-Log[[#This Row],[Sleep]]</f>
        <v>4</v>
      </c>
      <c r="N45" s="11">
        <f>Log!N46-Log[[#This Row],[BMI]]</f>
        <v>-0.11477551020408328</v>
      </c>
      <c r="O45" s="11">
        <f>Log!O46-Log[[#This Row],[CBF]]</f>
        <v>0</v>
      </c>
    </row>
    <row r="46" spans="1:18" x14ac:dyDescent="0.25">
      <c r="A46" s="3" t="str">
        <f>_xlfn.CONCAT(TEXT(Log!A47, "MM/DD/YY")," - ",TEXT(Log!A46, "MM/DD/YY"))</f>
        <v>03/11/24 - 03/10/24</v>
      </c>
      <c r="B46" s="3">
        <f>Log!B47-Log[[#This Row],[Weight (Pounds)]]</f>
        <v>1.6000000000000227</v>
      </c>
      <c r="C46" s="3">
        <f>Log!C47-Log[[#This Row],[Waist (Inches)]]</f>
        <v>0.5</v>
      </c>
      <c r="D46" s="3">
        <f>Log!D47-Log[[#This Row],[Neck (Inches)]]</f>
        <v>0</v>
      </c>
      <c r="E46" s="3">
        <f>Log!E47-Log[[#This Row],[Morning Body Temp]]</f>
        <v>0.79999999999999716</v>
      </c>
      <c r="F46" s="3">
        <f>Log!F47-Log[[#This Row],[Morning Systolic Pressure]]</f>
        <v>-7</v>
      </c>
      <c r="G46" s="3">
        <f>Log!G47-Log[[#This Row],[Morning Diastolic Pressure]]</f>
        <v>-10</v>
      </c>
      <c r="H46" s="3">
        <f>Log!H47-Log[[#This Row],[Morning Pulse]]</f>
        <v>-2</v>
      </c>
      <c r="I46" s="3">
        <f>Log!I47-Log[[#This Row],[Night Body Temp]]</f>
        <v>-0.29999999999999716</v>
      </c>
      <c r="J46" s="3">
        <f>Log!J47-Log[[#This Row],[Night Systolic Pressure]]</f>
        <v>-11</v>
      </c>
      <c r="K46" s="3">
        <f>Log!K47-Log[[#This Row],[Night Diastolic Pressure]]</f>
        <v>-11</v>
      </c>
      <c r="L46" s="3">
        <f>Log!L47-Log[[#This Row],[Night Pulse]]</f>
        <v>5</v>
      </c>
      <c r="M46" s="3">
        <f>Log!M47-Log[[#This Row],[Sleep]]</f>
        <v>-1</v>
      </c>
      <c r="N46" s="11">
        <f>Log!N47-Log[[#This Row],[BMI]]</f>
        <v>0.22955102040816655</v>
      </c>
      <c r="O46" s="11">
        <f>Log!O47-Log[[#This Row],[CBF]]</f>
        <v>0.67305727940338045</v>
      </c>
    </row>
    <row r="47" spans="1:18" x14ac:dyDescent="0.25">
      <c r="A47" s="3" t="str">
        <f>_xlfn.CONCAT(TEXT(Log!A48, "MM/DD/YY")," - ",TEXT(Log!A47, "MM/DD/YY"))</f>
        <v>03/12/24 - 03/11/24</v>
      </c>
      <c r="B47" s="3">
        <f>Log!B48-Log[[#This Row],[Weight (Pounds)]]</f>
        <v>1</v>
      </c>
      <c r="C47" s="3">
        <f>Log!C48-Log[[#This Row],[Waist (Inches)]]</f>
        <v>0</v>
      </c>
      <c r="D47" s="3">
        <f>Log!D48-Log[[#This Row],[Neck (Inches)]]</f>
        <v>0</v>
      </c>
      <c r="E47" s="3">
        <f>Log!E48-Log[[#This Row],[Morning Body Temp]]</f>
        <v>0.29999999999999716</v>
      </c>
      <c r="F47" s="3">
        <f>Log!F48-Log[[#This Row],[Morning Systolic Pressure]]</f>
        <v>-23</v>
      </c>
      <c r="G47" s="3">
        <f>Log!G48-Log[[#This Row],[Morning Diastolic Pressure]]</f>
        <v>8</v>
      </c>
      <c r="H47" s="3">
        <f>Log!H48-Log[[#This Row],[Morning Pulse]]</f>
        <v>12</v>
      </c>
      <c r="I47" s="3">
        <f>Log!I48-Log[[#This Row],[Night Body Temp]]</f>
        <v>0.29999999999999716</v>
      </c>
      <c r="J47" s="3">
        <f>Log!J48-Log[[#This Row],[Night Systolic Pressure]]</f>
        <v>-4</v>
      </c>
      <c r="K47" s="3">
        <f>Log!K48-Log[[#This Row],[Night Diastolic Pressure]]</f>
        <v>-1</v>
      </c>
      <c r="L47" s="3">
        <f>Log!L48-Log[[#This Row],[Night Pulse]]</f>
        <v>-9</v>
      </c>
      <c r="M47" s="3">
        <f>Log!M48-Log[[#This Row],[Sleep]]</f>
        <v>-2.5</v>
      </c>
      <c r="N47" s="11">
        <f>Log!N48-Log[[#This Row],[BMI]]</f>
        <v>0.14346938775509699</v>
      </c>
      <c r="O47" s="11">
        <f>Log!O48-Log[[#This Row],[CBF]]</f>
        <v>0</v>
      </c>
    </row>
    <row r="48" spans="1:18" x14ac:dyDescent="0.25">
      <c r="A48" s="3" t="str">
        <f>_xlfn.CONCAT(TEXT(Log!A49, "MM/DD/YY")," - ",TEXT(Log!A48, "MM/DD/YY"))</f>
        <v>03/13/24 - 03/12/24</v>
      </c>
      <c r="B48" s="3">
        <f>Log!B49-Log[[#This Row],[Weight (Pounds)]]</f>
        <v>-4</v>
      </c>
      <c r="C48" s="3">
        <f>Log!C49-Log[[#This Row],[Waist (Inches)]]</f>
        <v>-0.5</v>
      </c>
      <c r="D48" s="3">
        <f>Log!D49-Log[[#This Row],[Neck (Inches)]]</f>
        <v>0</v>
      </c>
      <c r="E48" s="3">
        <f>Log!E49-Log[[#This Row],[Morning Body Temp]]</f>
        <v>-0.5</v>
      </c>
      <c r="F48" s="3">
        <f>Log!F49-Log[[#This Row],[Morning Systolic Pressure]]</f>
        <v>21</v>
      </c>
      <c r="G48" s="3">
        <f>Log!G49-Log[[#This Row],[Morning Diastolic Pressure]]</f>
        <v>-1</v>
      </c>
      <c r="H48" s="3">
        <f>Log!H49-Log[[#This Row],[Morning Pulse]]</f>
        <v>-16</v>
      </c>
      <c r="I48" s="3">
        <f>Log!I49-Log[[#This Row],[Night Body Temp]]</f>
        <v>-0.39999999999999147</v>
      </c>
      <c r="J48" s="3">
        <f>Log!J49-Log[[#This Row],[Night Systolic Pressure]]</f>
        <v>19</v>
      </c>
      <c r="K48" s="3">
        <f>Log!K49-Log[[#This Row],[Night Diastolic Pressure]]</f>
        <v>14</v>
      </c>
      <c r="L48" s="3">
        <f>Log!L49-Log[[#This Row],[Night Pulse]]</f>
        <v>-10</v>
      </c>
      <c r="M48" s="3">
        <f>Log!M49-Log[[#This Row],[Sleep]]</f>
        <v>-3.5</v>
      </c>
      <c r="N48" s="11">
        <f>Log!N49-Log[[#This Row],[BMI]]</f>
        <v>-0.57387755102040217</v>
      </c>
      <c r="O48" s="11">
        <f>Log!O49-Log[[#This Row],[CBF]]</f>
        <v>-0.67305727940338045</v>
      </c>
    </row>
    <row r="49" spans="1:15" x14ac:dyDescent="0.25">
      <c r="A49" s="3" t="str">
        <f>_xlfn.CONCAT(TEXT(Log!A50, "MM/DD/YY")," - ",TEXT(Log!A49, "MM/DD/YY"))</f>
        <v>03/14/24 - 03/13/24</v>
      </c>
      <c r="B49" s="3">
        <f>Log!B50-Log[[#This Row],[Weight (Pounds)]]</f>
        <v>-2</v>
      </c>
      <c r="C49" s="3">
        <f>Log!C50-Log[[#This Row],[Waist (Inches)]]</f>
        <v>0</v>
      </c>
      <c r="D49" s="3">
        <f>Log!D50-Log[[#This Row],[Neck (Inches)]]</f>
        <v>0</v>
      </c>
      <c r="E49" s="3">
        <f>Log!E50-Log[[#This Row],[Morning Body Temp]]</f>
        <v>-9.9999999999994316E-2</v>
      </c>
      <c r="F49" s="3">
        <f>Log!F50-Log[[#This Row],[Morning Systolic Pressure]]</f>
        <v>1</v>
      </c>
      <c r="G49" s="3">
        <f>Log!G50-Log[[#This Row],[Morning Diastolic Pressure]]</f>
        <v>-8</v>
      </c>
      <c r="H49" s="3">
        <f>Log!H50-Log[[#This Row],[Morning Pulse]]</f>
        <v>-2</v>
      </c>
      <c r="I49" s="3">
        <f>Log!I50-Log[[#This Row],[Night Body Temp]]</f>
        <v>-0.20000000000000284</v>
      </c>
      <c r="J49" s="3">
        <f>Log!J50-Log[[#This Row],[Night Systolic Pressure]]</f>
        <v>-6</v>
      </c>
      <c r="K49" s="3">
        <f>Log!K50-Log[[#This Row],[Night Diastolic Pressure]]</f>
        <v>2</v>
      </c>
      <c r="L49" s="3">
        <f>Log!L50-Log[[#This Row],[Night Pulse]]</f>
        <v>9</v>
      </c>
      <c r="M49" s="3">
        <f>Log!M50-Log[[#This Row],[Sleep]]</f>
        <v>5</v>
      </c>
      <c r="N49" s="11">
        <f>Log!N50-Log[[#This Row],[BMI]]</f>
        <v>-0.28693877551020819</v>
      </c>
      <c r="O49" s="11">
        <f>Log!O50-Log[[#This Row],[CBF]]</f>
        <v>0</v>
      </c>
    </row>
    <row r="50" spans="1:15" x14ac:dyDescent="0.25">
      <c r="A50" s="3" t="str">
        <f>_xlfn.CONCAT(TEXT(Log!A51, "MM/DD/YY")," - ",TEXT(Log!A50, "MM/DD/YY"))</f>
        <v>03/15/24 - 03/14/24</v>
      </c>
      <c r="B50" s="3">
        <f>Log!B51-Log[[#This Row],[Weight (Pounds)]]</f>
        <v>-1.8000000000000114</v>
      </c>
      <c r="C50" s="3">
        <f>Log!C51-Log[[#This Row],[Waist (Inches)]]</f>
        <v>0</v>
      </c>
      <c r="D50" s="3">
        <f>Log!D51-Log[[#This Row],[Neck (Inches)]]</f>
        <v>0</v>
      </c>
      <c r="E50" s="3">
        <f>Log!E51-Log[[#This Row],[Morning Body Temp]]</f>
        <v>-0.30000000000001137</v>
      </c>
      <c r="F50" s="3">
        <f>Log!F51-Log[[#This Row],[Morning Systolic Pressure]]</f>
        <v>5</v>
      </c>
      <c r="G50" s="3">
        <f>Log!G51-Log[[#This Row],[Morning Diastolic Pressure]]</f>
        <v>6</v>
      </c>
      <c r="H50" s="3">
        <f>Log!H51-Log[[#This Row],[Morning Pulse]]</f>
        <v>-1</v>
      </c>
      <c r="I50" s="3">
        <f>Log!I51-Log[[#This Row],[Night Body Temp]]</f>
        <v>0.5</v>
      </c>
      <c r="J50" s="3">
        <f>Log!J51-Log[[#This Row],[Night Systolic Pressure]]</f>
        <v>6</v>
      </c>
      <c r="K50" s="3">
        <f>Log!K51-Log[[#This Row],[Night Diastolic Pressure]]</f>
        <v>-5</v>
      </c>
      <c r="L50" s="3">
        <f>Log!L51-Log[[#This Row],[Night Pulse]]</f>
        <v>-6</v>
      </c>
      <c r="M50" s="3">
        <f>Log!M51-Log[[#This Row],[Sleep]]</f>
        <v>1</v>
      </c>
      <c r="N50" s="11">
        <f>Log!N51-Log[[#This Row],[BMI]]</f>
        <v>-0.25824489795918737</v>
      </c>
      <c r="O50" s="11">
        <f>Log!O51-Log[[#This Row],[CBF]]</f>
        <v>0</v>
      </c>
    </row>
    <row r="51" spans="1:15" x14ac:dyDescent="0.25">
      <c r="A51" s="3" t="str">
        <f>_xlfn.CONCAT(TEXT(Log!A52, "MM/DD/YY")," - ",TEXT(Log!A51, "MM/DD/YY"))</f>
        <v>03/16/24 - 03/15/24</v>
      </c>
      <c r="B51" s="3">
        <f>Log!B52-Log[[#This Row],[Weight (Pounds)]]</f>
        <v>-1</v>
      </c>
      <c r="C51" s="3">
        <f>Log!C52-Log[[#This Row],[Waist (Inches)]]</f>
        <v>0</v>
      </c>
      <c r="D51" s="3">
        <f>Log!D52-Log[[#This Row],[Neck (Inches)]]</f>
        <v>0</v>
      </c>
      <c r="E51" s="3">
        <f>Log!E52-Log[[#This Row],[Morning Body Temp]]</f>
        <v>-9.9999999999994316E-2</v>
      </c>
      <c r="F51" s="3">
        <f>Log!F52-Log[[#This Row],[Morning Systolic Pressure]]</f>
        <v>0</v>
      </c>
      <c r="G51" s="3">
        <f>Log!G52-Log[[#This Row],[Morning Diastolic Pressure]]</f>
        <v>-9</v>
      </c>
      <c r="H51" s="3">
        <f>Log!H52-Log[[#This Row],[Morning Pulse]]</f>
        <v>-2</v>
      </c>
      <c r="I51" s="3">
        <f>Log!I52-Log[[#This Row],[Night Body Temp]]</f>
        <v>0.90000000000000568</v>
      </c>
      <c r="J51" s="3">
        <f>Log!J52-Log[[#This Row],[Night Systolic Pressure]]</f>
        <v>-10</v>
      </c>
      <c r="K51" s="3">
        <f>Log!K52-Log[[#This Row],[Night Diastolic Pressure]]</f>
        <v>-8</v>
      </c>
      <c r="L51" s="3">
        <f>Log!L52-Log[[#This Row],[Night Pulse]]</f>
        <v>7</v>
      </c>
      <c r="M51" s="3">
        <f>Log!M52-Log[[#This Row],[Sleep]]</f>
        <v>-4</v>
      </c>
      <c r="N51" s="11">
        <f>Log!N52-Log[[#This Row],[BMI]]</f>
        <v>-0.14346938775509699</v>
      </c>
      <c r="O51" s="11">
        <f>Log!O52-Log[[#This Row],[CBF]]</f>
        <v>0</v>
      </c>
    </row>
    <row r="52" spans="1:15" x14ac:dyDescent="0.25">
      <c r="A52" s="3" t="str">
        <f>_xlfn.CONCAT(TEXT(Log!A53, "MM/DD/YY")," - ",TEXT(Log!A52, "MM/DD/YY"))</f>
        <v>03/17/24 - 03/16/24</v>
      </c>
      <c r="B52" s="3">
        <f>Log!B53-Log[[#This Row],[Weight (Pounds)]]</f>
        <v>-0.40000000000000568</v>
      </c>
      <c r="C52" s="3">
        <f>Log!C53-Log[[#This Row],[Waist (Inches)]]</f>
        <v>0</v>
      </c>
      <c r="D52" s="3">
        <f>Log!D53-Log[[#This Row],[Neck (Inches)]]</f>
        <v>0</v>
      </c>
      <c r="E52" s="3">
        <f>Log!E53-Log[[#This Row],[Morning Body Temp]]</f>
        <v>-9.9999999999994316E-2</v>
      </c>
      <c r="F52" s="3">
        <f>Log!F53-Log[[#This Row],[Morning Systolic Pressure]]</f>
        <v>-2</v>
      </c>
      <c r="G52" s="3">
        <f>Log!G53-Log[[#This Row],[Morning Diastolic Pressure]]</f>
        <v>2</v>
      </c>
      <c r="H52" s="3">
        <f>Log!H53-Log[[#This Row],[Morning Pulse]]</f>
        <v>6</v>
      </c>
      <c r="I52" s="3">
        <f>Log!I53-Log[[#This Row],[Night Body Temp]]</f>
        <v>-2.3000000000000114</v>
      </c>
      <c r="J52" s="3">
        <f>Log!J53-Log[[#This Row],[Night Systolic Pressure]]</f>
        <v>-13</v>
      </c>
      <c r="K52" s="3">
        <f>Log!K53-Log[[#This Row],[Night Diastolic Pressure]]</f>
        <v>3</v>
      </c>
      <c r="L52" s="3">
        <f>Log!L53-Log[[#This Row],[Night Pulse]]</f>
        <v>-14</v>
      </c>
      <c r="M52" s="3">
        <f>Log!M53-Log[[#This Row],[Sleep]]</f>
        <v>0</v>
      </c>
      <c r="N52" s="11">
        <f>Log!N53-Log[[#This Row],[BMI]]</f>
        <v>-5.7387755102041638E-2</v>
      </c>
      <c r="O52" s="11">
        <f>Log!O53-Log[[#This Row],[CBF]]</f>
        <v>0</v>
      </c>
    </row>
    <row r="53" spans="1:15" x14ac:dyDescent="0.25">
      <c r="A53" s="3" t="str">
        <f>_xlfn.CONCAT(TEXT(Log!A54, "MM/DD/YY")," - ",TEXT(Log!A53, "MM/DD/YY"))</f>
        <v>03/18/24 - 03/17/24</v>
      </c>
      <c r="B53" s="3">
        <f>Log!B54-Log[[#This Row],[Weight (Pounds)]]</f>
        <v>1.8000000000000114</v>
      </c>
      <c r="C53" s="3">
        <f>Log!C54-Log[[#This Row],[Waist (Inches)]]</f>
        <v>0</v>
      </c>
      <c r="D53" s="3">
        <f>Log!D54-Log[[#This Row],[Neck (Inches)]]</f>
        <v>0</v>
      </c>
      <c r="E53" s="3">
        <f>Log!E54-Log[[#This Row],[Morning Body Temp]]</f>
        <v>1</v>
      </c>
      <c r="F53" s="3">
        <f>Log!F54-Log[[#This Row],[Morning Systolic Pressure]]</f>
        <v>-28</v>
      </c>
      <c r="G53" s="3">
        <f>Log!G54-Log[[#This Row],[Morning Diastolic Pressure]]</f>
        <v>6</v>
      </c>
      <c r="H53" s="3">
        <f>Log!H54-Log[[#This Row],[Morning Pulse]]</f>
        <v>-2</v>
      </c>
      <c r="I53" s="3">
        <f>Log!I54-Log[[#This Row],[Night Body Temp]]</f>
        <v>0.80000000000001137</v>
      </c>
      <c r="J53" s="3">
        <f>Log!J54-Log[[#This Row],[Night Systolic Pressure]]</f>
        <v>4</v>
      </c>
      <c r="K53" s="3">
        <f>Log!K54-Log[[#This Row],[Night Diastolic Pressure]]</f>
        <v>2</v>
      </c>
      <c r="L53" s="3">
        <f>Log!L54-Log[[#This Row],[Night Pulse]]</f>
        <v>2</v>
      </c>
      <c r="M53" s="3">
        <f>Log!M54-Log[[#This Row],[Sleep]]</f>
        <v>6</v>
      </c>
      <c r="N53" s="11">
        <f>Log!N54-Log[[#This Row],[BMI]]</f>
        <v>0.25824489795918737</v>
      </c>
      <c r="O53" s="11">
        <f>Log!O54-Log[[#This Row],[CBF]]</f>
        <v>0</v>
      </c>
    </row>
    <row r="54" spans="1:15" x14ac:dyDescent="0.25">
      <c r="A54" s="3" t="str">
        <f>_xlfn.CONCAT(TEXT(Log!A55, "MM/DD/YY")," - ",TEXT(Log!A54, "MM/DD/YY"))</f>
        <v>03/19/24 - 03/18/24</v>
      </c>
      <c r="B54" s="3">
        <f>Log!B55-Log[[#This Row],[Weight (Pounds)]]</f>
        <v>-1.5999999999999943</v>
      </c>
      <c r="C54" s="3">
        <f>Log!C55-Log[[#This Row],[Waist (Inches)]]</f>
        <v>0</v>
      </c>
      <c r="D54" s="3">
        <f>Log!D55-Log[[#This Row],[Neck (Inches)]]</f>
        <v>0</v>
      </c>
      <c r="E54" s="3">
        <f>Log!E55-Log[[#This Row],[Morning Body Temp]]</f>
        <v>-0.90000000000000568</v>
      </c>
      <c r="F54" s="3">
        <f>Log!F55-Log[[#This Row],[Morning Systolic Pressure]]</f>
        <v>34</v>
      </c>
      <c r="G54" s="3">
        <f>Log!G55-Log[[#This Row],[Morning Diastolic Pressure]]</f>
        <v>-5</v>
      </c>
      <c r="H54" s="3">
        <f>Log!H55-Log[[#This Row],[Morning Pulse]]</f>
        <v>-5</v>
      </c>
      <c r="I54" s="3">
        <f>Log!I55-Log[[#This Row],[Night Body Temp]]</f>
        <v>-1.1000000000000085</v>
      </c>
      <c r="J54" s="3">
        <f>Log!J55-Log[[#This Row],[Night Systolic Pressure]]</f>
        <v>-7</v>
      </c>
      <c r="K54" s="3">
        <f>Log!K55-Log[[#This Row],[Night Diastolic Pressure]]</f>
        <v>-2</v>
      </c>
      <c r="L54" s="3">
        <f>Log!L55-Log[[#This Row],[Night Pulse]]</f>
        <v>-2</v>
      </c>
      <c r="M54" s="3">
        <f>Log!M55-Log[[#This Row],[Sleep]]</f>
        <v>-9.5</v>
      </c>
      <c r="N54" s="11">
        <f>Log!N55-Log[[#This Row],[BMI]]</f>
        <v>-0.22955102040816655</v>
      </c>
      <c r="O54" s="11">
        <f>Log!O55-Log[[#This Row],[CBF]]</f>
        <v>0</v>
      </c>
    </row>
    <row r="55" spans="1:15" x14ac:dyDescent="0.25">
      <c r="A55" s="3" t="str">
        <f>_xlfn.CONCAT(TEXT(Log!A56, "MM/DD/YY")," - ",TEXT(Log!A55, "MM/DD/YY"))</f>
        <v>03/20/24 - 03/19/24</v>
      </c>
      <c r="B55" s="3">
        <f>Log!B56-Log[[#This Row],[Weight (Pounds)]]</f>
        <v>0.39999999999997726</v>
      </c>
      <c r="C55" s="3">
        <f>Log!C56-Log[[#This Row],[Waist (Inches)]]</f>
        <v>-0.5</v>
      </c>
      <c r="D55" s="3">
        <f>Log!D56-Log[[#This Row],[Neck (Inches)]]</f>
        <v>0</v>
      </c>
      <c r="E55" s="3">
        <f>Log!E56-Log[[#This Row],[Morning Body Temp]]</f>
        <v>1.5999999999999943</v>
      </c>
      <c r="F55" s="3">
        <f>Log!F56-Log[[#This Row],[Morning Systolic Pressure]]</f>
        <v>-14</v>
      </c>
      <c r="G55" s="3">
        <f>Log!G56-Log[[#This Row],[Morning Diastolic Pressure]]</f>
        <v>-4</v>
      </c>
      <c r="H55" s="3">
        <f>Log!H56-Log[[#This Row],[Morning Pulse]]</f>
        <v>14</v>
      </c>
      <c r="I55" s="3">
        <f>Log!I56-Log[[#This Row],[Night Body Temp]]</f>
        <v>0.70000000000000284</v>
      </c>
      <c r="J55" s="3">
        <f>Log!J56-Log[[#This Row],[Night Systolic Pressure]]</f>
        <v>9</v>
      </c>
      <c r="K55" s="3">
        <f>Log!K56-Log[[#This Row],[Night Diastolic Pressure]]</f>
        <v>1</v>
      </c>
      <c r="L55" s="3">
        <f>Log!L56-Log[[#This Row],[Night Pulse]]</f>
        <v>-9</v>
      </c>
      <c r="M55" s="3">
        <f>Log!M56-Log[[#This Row],[Sleep]]</f>
        <v>8.5</v>
      </c>
      <c r="N55" s="11">
        <f>Log!N56-Log[[#This Row],[BMI]]</f>
        <v>5.7387755102034532E-2</v>
      </c>
      <c r="O55" s="11">
        <f>Log!O56-Log[[#This Row],[CBF]]</f>
        <v>-0.68540764102638718</v>
      </c>
    </row>
    <row r="56" spans="1:15" x14ac:dyDescent="0.25">
      <c r="A56" s="3" t="str">
        <f>_xlfn.CONCAT(TEXT(Log!A57, "MM/DD/YY")," - ",TEXT(Log!A56, "MM/DD/YY"))</f>
        <v>03/21/24 - 03/20/24</v>
      </c>
      <c r="B56" s="3">
        <f>Log!B57-Log[[#This Row],[Weight (Pounds)]]</f>
        <v>-1.5999999999999943</v>
      </c>
      <c r="C56" s="3">
        <f>Log!C57-Log[[#This Row],[Waist (Inches)]]</f>
        <v>0</v>
      </c>
      <c r="D56" s="3">
        <f>Log!D57-Log[[#This Row],[Neck (Inches)]]</f>
        <v>0</v>
      </c>
      <c r="E56" s="3">
        <f>Log!E57-Log[[#This Row],[Morning Body Temp]]</f>
        <v>-0.89999999999999147</v>
      </c>
      <c r="F56" s="3">
        <f>Log!F57-Log[[#This Row],[Morning Systolic Pressure]]</f>
        <v>6</v>
      </c>
      <c r="G56" s="3">
        <f>Log!G57-Log[[#This Row],[Morning Diastolic Pressure]]</f>
        <v>6</v>
      </c>
      <c r="H56" s="3">
        <f>Log!H57-Log[[#This Row],[Morning Pulse]]</f>
        <v>-14</v>
      </c>
      <c r="I56" s="3">
        <f>Log!I57-Log[[#This Row],[Night Body Temp]]</f>
        <v>1</v>
      </c>
      <c r="J56" s="3">
        <f>Log!J57-Log[[#This Row],[Night Systolic Pressure]]</f>
        <v>-8</v>
      </c>
      <c r="K56" s="3">
        <f>Log!K57-Log[[#This Row],[Night Diastolic Pressure]]</f>
        <v>-8</v>
      </c>
      <c r="L56" s="3">
        <f>Log!L57-Log[[#This Row],[Night Pulse]]</f>
        <v>26</v>
      </c>
      <c r="M56" s="3">
        <f>Log!M57-Log[[#This Row],[Sleep]]</f>
        <v>-5</v>
      </c>
      <c r="N56" s="11">
        <f>Log!N57-Log[[#This Row],[BMI]]</f>
        <v>-0.22955102040815234</v>
      </c>
      <c r="O56" s="11">
        <f>Log!O57-Log[[#This Row],[CBF]]</f>
        <v>0</v>
      </c>
    </row>
    <row r="57" spans="1:15" x14ac:dyDescent="0.25">
      <c r="A57" s="3" t="str">
        <f>_xlfn.CONCAT(TEXT(Log!A58, "MM/DD/YY")," - ",TEXT(Log!A57, "MM/DD/YY"))</f>
        <v>03/22/24 - 03/21/24</v>
      </c>
      <c r="B57" s="3">
        <f>Log!B58-Log[[#This Row],[Weight (Pounds)]]</f>
        <v>-0.19999999999998863</v>
      </c>
      <c r="C57" s="3">
        <f>Log!C58-Log[[#This Row],[Waist (Inches)]]</f>
        <v>0</v>
      </c>
      <c r="D57" s="3">
        <f>Log!D58-Log[[#This Row],[Neck (Inches)]]</f>
        <v>0</v>
      </c>
      <c r="E57" s="3">
        <f>Log!E58-Log[[#This Row],[Morning Body Temp]]</f>
        <v>0.29999999999999716</v>
      </c>
      <c r="F57" s="3">
        <f>Log!F58-Log[[#This Row],[Morning Systolic Pressure]]</f>
        <v>0</v>
      </c>
      <c r="G57" s="3">
        <f>Log!G58-Log[[#This Row],[Morning Diastolic Pressure]]</f>
        <v>6</v>
      </c>
      <c r="H57" s="3">
        <f>Log!H58-Log[[#This Row],[Morning Pulse]]</f>
        <v>14</v>
      </c>
      <c r="I57" s="3">
        <f>Log!I58-Log[[#This Row],[Night Body Temp]]</f>
        <v>-0.29999999999999716</v>
      </c>
      <c r="J57" s="3">
        <f>Log!J58-Log[[#This Row],[Night Systolic Pressure]]</f>
        <v>-8</v>
      </c>
      <c r="K57" s="3">
        <f>Log!K58-Log[[#This Row],[Night Diastolic Pressure]]</f>
        <v>-3</v>
      </c>
      <c r="L57" s="3">
        <f>Log!L58-Log[[#This Row],[Night Pulse]]</f>
        <v>-10</v>
      </c>
      <c r="M57" s="3">
        <f>Log!M58-Log[[#This Row],[Sleep]]</f>
        <v>2.5</v>
      </c>
      <c r="N57" s="11">
        <f>Log!N58-Log[[#This Row],[BMI]]</f>
        <v>-2.8693877551027924E-2</v>
      </c>
      <c r="O57" s="11">
        <f>Log!O58-Log[[#This Row],[CBF]]</f>
        <v>0</v>
      </c>
    </row>
    <row r="58" spans="1:15" x14ac:dyDescent="0.25">
      <c r="A58" s="3" t="str">
        <f>_xlfn.CONCAT(TEXT(Log!A59, "MM/DD/YY")," - ",TEXT(Log!A58, "MM/DD/YY"))</f>
        <v>03/23/24 - 03/22/24</v>
      </c>
      <c r="B58" s="3">
        <f>Log!B59-Log[[#This Row],[Weight (Pounds)]]</f>
        <v>-1.4000000000000057</v>
      </c>
      <c r="C58" s="3">
        <f>Log!C59-Log[[#This Row],[Waist (Inches)]]</f>
        <v>0</v>
      </c>
      <c r="D58" s="3">
        <f>Log!D59-Log[[#This Row],[Neck (Inches)]]</f>
        <v>0</v>
      </c>
      <c r="E58" s="3">
        <f>Log!E59-Log[[#This Row],[Morning Body Temp]]</f>
        <v>-0.70000000000000284</v>
      </c>
      <c r="F58" s="3">
        <f>Log!F59-Log[[#This Row],[Morning Systolic Pressure]]</f>
        <v>2</v>
      </c>
      <c r="G58" s="3">
        <f>Log!G59-Log[[#This Row],[Morning Diastolic Pressure]]</f>
        <v>-8</v>
      </c>
      <c r="H58" s="3">
        <f>Log!H59-Log[[#This Row],[Morning Pulse]]</f>
        <v>-17</v>
      </c>
      <c r="I58" s="3">
        <f>Log!I59-Log[[#This Row],[Night Body Temp]]</f>
        <v>-0.29999999999999716</v>
      </c>
      <c r="J58" s="3">
        <f>Log!J59-Log[[#This Row],[Night Systolic Pressure]]</f>
        <v>30</v>
      </c>
      <c r="K58" s="3">
        <f>Log!K59-Log[[#This Row],[Night Diastolic Pressure]]</f>
        <v>5</v>
      </c>
      <c r="L58" s="3">
        <f>Log!L59-Log[[#This Row],[Night Pulse]]</f>
        <v>-10</v>
      </c>
      <c r="M58" s="3">
        <f>Log!M59-Log[[#This Row],[Sleep]]</f>
        <v>-2.5</v>
      </c>
      <c r="N58" s="11">
        <f>Log!N59-Log[[#This Row],[BMI]]</f>
        <v>-0.20085714285713863</v>
      </c>
      <c r="O58" s="11">
        <f>Log!O59-Log[[#This Row],[CBF]]</f>
        <v>0</v>
      </c>
    </row>
    <row r="59" spans="1:15" x14ac:dyDescent="0.25">
      <c r="A59" s="3" t="str">
        <f>_xlfn.CONCAT(TEXT(Log!A60, "MM/DD/YY")," - ",TEXT(Log!A59, "MM/DD/YY"))</f>
        <v>03/24/24 - 03/23/24</v>
      </c>
      <c r="B59" s="3">
        <f>Log!B60-Log[[#This Row],[Weight (Pounds)]]</f>
        <v>-0.40000000000000568</v>
      </c>
      <c r="C59" s="3">
        <f>Log!C60-Log[[#This Row],[Waist (Inches)]]</f>
        <v>0</v>
      </c>
      <c r="D59" s="3">
        <f>Log!D60-Log[[#This Row],[Neck (Inches)]]</f>
        <v>0</v>
      </c>
      <c r="E59" s="3">
        <f>Log!E60-Log[[#This Row],[Morning Body Temp]]</f>
        <v>0.60000000000000853</v>
      </c>
      <c r="F59" s="3">
        <f>Log!F60-Log[[#This Row],[Morning Systolic Pressure]]</f>
        <v>10</v>
      </c>
      <c r="G59" s="3">
        <f>Log!G60-Log[[#This Row],[Morning Diastolic Pressure]]</f>
        <v>6</v>
      </c>
      <c r="H59" s="3">
        <f>Log!H60-Log[[#This Row],[Morning Pulse]]</f>
        <v>1</v>
      </c>
      <c r="I59" s="3">
        <f>Log!I60-Log[[#This Row],[Night Body Temp]]</f>
        <v>-0.10000000000000853</v>
      </c>
      <c r="J59" s="3">
        <f>Log!J60-Log[[#This Row],[Night Systolic Pressure]]</f>
        <v>-3</v>
      </c>
      <c r="K59" s="3">
        <f>Log!K60-Log[[#This Row],[Night Diastolic Pressure]]</f>
        <v>2</v>
      </c>
      <c r="L59" s="3">
        <f>Log!L60-Log[[#This Row],[Night Pulse]]</f>
        <v>5</v>
      </c>
      <c r="M59" s="3">
        <f>Log!M60-Log[[#This Row],[Sleep]]</f>
        <v>1</v>
      </c>
      <c r="N59" s="11">
        <f>Log!N60-Log[[#This Row],[BMI]]</f>
        <v>-5.7387755102041638E-2</v>
      </c>
      <c r="O59" s="11">
        <f>Log!O60-Log[[#This Row],[CBF]]</f>
        <v>0</v>
      </c>
    </row>
    <row r="60" spans="1:15" x14ac:dyDescent="0.25">
      <c r="A60" s="3" t="str">
        <f>_xlfn.CONCAT(TEXT(Log!A61, "MM/DD/YY")," - ",TEXT(Log!A60, "MM/DD/YY"))</f>
        <v>03/25/24 - 03/24/24</v>
      </c>
      <c r="B60" s="3">
        <f>Log!B61-Log[[#This Row],[Weight (Pounds)]]</f>
        <v>-0.40000000000000568</v>
      </c>
      <c r="C60" s="3">
        <f>Log!C61-Log[[#This Row],[Waist (Inches)]]</f>
        <v>-0.5</v>
      </c>
      <c r="D60" s="3">
        <f>Log!D61-Log[[#This Row],[Neck (Inches)]]</f>
        <v>0</v>
      </c>
      <c r="E60" s="3">
        <f>Log!E61-Log[[#This Row],[Morning Body Temp]]</f>
        <v>-0.90000000000000568</v>
      </c>
      <c r="F60" s="3">
        <f>Log!F61-Log[[#This Row],[Morning Systolic Pressure]]</f>
        <v>-15</v>
      </c>
      <c r="G60" s="3">
        <f>Log!G61-Log[[#This Row],[Morning Diastolic Pressure]]</f>
        <v>-6</v>
      </c>
      <c r="H60" s="3">
        <f>Log!H61-Log[[#This Row],[Morning Pulse]]</f>
        <v>1</v>
      </c>
      <c r="I60" s="3">
        <f>Log!I61-Log[[#This Row],[Night Body Temp]]</f>
        <v>0.60000000000000853</v>
      </c>
      <c r="J60" s="3">
        <f>Log!J61-Log[[#This Row],[Night Systolic Pressure]]</f>
        <v>-5</v>
      </c>
      <c r="K60" s="3">
        <f>Log!K61-Log[[#This Row],[Night Diastolic Pressure]]</f>
        <v>-5</v>
      </c>
      <c r="L60" s="3">
        <f>Log!L61-Log[[#This Row],[Night Pulse]]</f>
        <v>1</v>
      </c>
      <c r="M60" s="3">
        <f>Log!M61-Log[[#This Row],[Sleep]]</f>
        <v>0.5</v>
      </c>
      <c r="N60" s="11">
        <f>Log!N61-Log[[#This Row],[BMI]]</f>
        <v>-5.7387755102041638E-2</v>
      </c>
      <c r="O60" s="11">
        <f>Log!O61-Log[[#This Row],[CBF]]</f>
        <v>-0.69821973800965509</v>
      </c>
    </row>
    <row r="61" spans="1:15" x14ac:dyDescent="0.25">
      <c r="A61" s="3" t="str">
        <f>_xlfn.CONCAT(TEXT(Log!A62, "MM/DD/YY")," - ",TEXT(Log!A61, "MM/DD/YY"))</f>
        <v>03/26/24 - 03/25/24</v>
      </c>
      <c r="B61" s="3">
        <f>Log!B62-Log[[#This Row],[Weight (Pounds)]]</f>
        <v>-0.79999999999998295</v>
      </c>
      <c r="C61" s="3">
        <f>Log!C62-Log[[#This Row],[Waist (Inches)]]</f>
        <v>0</v>
      </c>
      <c r="D61" s="3">
        <f>Log!D62-Log[[#This Row],[Neck (Inches)]]</f>
        <v>0</v>
      </c>
      <c r="E61" s="3">
        <f>Log!E62-Log[[#This Row],[Morning Body Temp]]</f>
        <v>1.2999999999999972</v>
      </c>
      <c r="F61" s="3">
        <f>Log!F62-Log[[#This Row],[Morning Systolic Pressure]]</f>
        <v>13</v>
      </c>
      <c r="G61" s="3">
        <f>Log!G62-Log[[#This Row],[Morning Diastolic Pressure]]</f>
        <v>-5</v>
      </c>
      <c r="H61" s="3">
        <f>Log!H62-Log[[#This Row],[Morning Pulse]]</f>
        <v>2</v>
      </c>
      <c r="I61" s="3">
        <f>Log!I62-Log[[#This Row],[Night Body Temp]]</f>
        <v>9.9999999999994316E-2</v>
      </c>
      <c r="J61" s="3">
        <f>Log!J62-Log[[#This Row],[Night Systolic Pressure]]</f>
        <v>-18</v>
      </c>
      <c r="K61" s="3">
        <f>Log!K62-Log[[#This Row],[Night Diastolic Pressure]]</f>
        <v>1</v>
      </c>
      <c r="L61" s="3">
        <f>Log!L62-Log[[#This Row],[Night Pulse]]</f>
        <v>7</v>
      </c>
      <c r="M61" s="3">
        <f>Log!M62-Log[[#This Row],[Sleep]]</f>
        <v>-8.5</v>
      </c>
      <c r="N61" s="11">
        <f>Log!N62-Log[[#This Row],[BMI]]</f>
        <v>-0.11477551020408328</v>
      </c>
      <c r="O61" s="11">
        <f>Log!O62-Log[[#This Row],[CBF]]</f>
        <v>0</v>
      </c>
    </row>
    <row r="62" spans="1:15" x14ac:dyDescent="0.25">
      <c r="A62" s="3" t="str">
        <f>_xlfn.CONCAT(TEXT(Log!A63, "MM/DD/YY")," - ",TEXT(Log!A62, "MM/DD/YY"))</f>
        <v>03/27/24 - 03/26/24</v>
      </c>
      <c r="B62" s="3">
        <f>Log!B63-Log[[#This Row],[Weight (Pounds)]]</f>
        <v>-0.80000000000001137</v>
      </c>
      <c r="C62" s="3">
        <f>Log!C63-Log[[#This Row],[Waist (Inches)]]</f>
        <v>0</v>
      </c>
      <c r="D62" s="3">
        <f>Log!D63-Log[[#This Row],[Neck (Inches)]]</f>
        <v>-0.5</v>
      </c>
      <c r="E62" s="3">
        <f>Log!E63-Log[[#This Row],[Morning Body Temp]]</f>
        <v>-1.2999999999999972</v>
      </c>
      <c r="F62" s="3">
        <f>Log!F63-Log[[#This Row],[Morning Systolic Pressure]]</f>
        <v>3</v>
      </c>
      <c r="G62" s="3">
        <f>Log!G63-Log[[#This Row],[Morning Diastolic Pressure]]</f>
        <v>7</v>
      </c>
      <c r="H62" s="3">
        <f>Log!H63-Log[[#This Row],[Morning Pulse]]</f>
        <v>-3</v>
      </c>
      <c r="I62" s="3">
        <f>Log!I63-Log[[#This Row],[Night Body Temp]]</f>
        <v>-0.40000000000000568</v>
      </c>
      <c r="J62" s="3">
        <f>Log!J63-Log[[#This Row],[Night Systolic Pressure]]</f>
        <v>13</v>
      </c>
      <c r="K62" s="3">
        <f>Log!K63-Log[[#This Row],[Night Diastolic Pressure]]</f>
        <v>5</v>
      </c>
      <c r="L62" s="3">
        <f>Log!L63-Log[[#This Row],[Night Pulse]]</f>
        <v>-2</v>
      </c>
      <c r="M62" s="3">
        <f>Log!M63-Log[[#This Row],[Sleep]]</f>
        <v>5.5</v>
      </c>
      <c r="N62" s="11">
        <f>Log!N63-Log[[#This Row],[BMI]]</f>
        <v>-0.11477551020408328</v>
      </c>
      <c r="O62" s="11">
        <f>Log!O63-Log[[#This Row],[CBF]]</f>
        <v>0.69821973800965509</v>
      </c>
    </row>
    <row r="63" spans="1:15" x14ac:dyDescent="0.25">
      <c r="A63" s="3" t="str">
        <f>_xlfn.CONCAT(TEXT(Log!A64, "MM/DD/YY")," - ",TEXT(Log!A63, "MM/DD/YY"))</f>
        <v>03/28/24 - 03/27/24</v>
      </c>
      <c r="B63" s="3">
        <f>Log!B64-Log[[#This Row],[Weight (Pounds)]]</f>
        <v>-1</v>
      </c>
      <c r="C63" s="3">
        <f>Log!C64-Log[[#This Row],[Waist (Inches)]]</f>
        <v>0</v>
      </c>
      <c r="D63" s="3">
        <f>Log!D64-Log[[#This Row],[Neck (Inches)]]</f>
        <v>-0.5</v>
      </c>
      <c r="E63" s="3">
        <f>Log!E64-Log[[#This Row],[Morning Body Temp]]</f>
        <v>-0.79999999999999716</v>
      </c>
      <c r="F63" s="3">
        <f>Log!F64-Log[[#This Row],[Morning Systolic Pressure]]</f>
        <v>-7</v>
      </c>
      <c r="G63" s="3">
        <f>Log!G64-Log[[#This Row],[Morning Diastolic Pressure]]</f>
        <v>-2</v>
      </c>
      <c r="H63" s="3">
        <f>Log!H64-Log[[#This Row],[Morning Pulse]]</f>
        <v>2</v>
      </c>
      <c r="I63" s="3">
        <f>Log!I64-Log[[#This Row],[Night Body Temp]]</f>
        <v>-0.39999999999999147</v>
      </c>
      <c r="J63" s="3">
        <f>Log!J64-Log[[#This Row],[Night Systolic Pressure]]</f>
        <v>-7</v>
      </c>
      <c r="K63" s="3">
        <f>Log!K64-Log[[#This Row],[Night Diastolic Pressure]]</f>
        <v>-10</v>
      </c>
      <c r="L63" s="3">
        <f>Log!L64-Log[[#This Row],[Night Pulse]]</f>
        <v>4</v>
      </c>
      <c r="M63" s="3">
        <f>Log!M64-Log[[#This Row],[Sleep]]</f>
        <v>3.5</v>
      </c>
      <c r="N63" s="11">
        <f>Log!N64-Log[[#This Row],[BMI]]</f>
        <v>-0.14346938775510409</v>
      </c>
      <c r="O63" s="11">
        <f>Log!O64-Log[[#This Row],[CBF]]</f>
        <v>0.68540764102638718</v>
      </c>
    </row>
    <row r="64" spans="1:15" x14ac:dyDescent="0.25">
      <c r="A64" s="3" t="str">
        <f>_xlfn.CONCAT(TEXT(Log!A65, "MM/DD/YY")," - ",TEXT(Log!A64, "MM/DD/YY"))</f>
        <v>03/29/24 - 03/28/24</v>
      </c>
      <c r="B64" s="3">
        <f>Log!B65-Log[[#This Row],[Weight (Pounds)]]</f>
        <v>0</v>
      </c>
      <c r="C64" s="3">
        <f>Log!C65-Log[[#This Row],[Waist (Inches)]]</f>
        <v>-0.5</v>
      </c>
      <c r="D64" s="3">
        <f>Log!D65-Log[[#This Row],[Neck (Inches)]]</f>
        <v>0</v>
      </c>
      <c r="E64" s="3">
        <f>Log!E65-Log[[#This Row],[Morning Body Temp]]</f>
        <v>1.0999999999999943</v>
      </c>
      <c r="F64" s="3">
        <f>Log!F65-Log[[#This Row],[Morning Systolic Pressure]]</f>
        <v>-6</v>
      </c>
      <c r="G64" s="3">
        <f>Log!G65-Log[[#This Row],[Morning Diastolic Pressure]]</f>
        <v>-5</v>
      </c>
      <c r="H64" s="3">
        <f>Log!H65-Log[[#This Row],[Morning Pulse]]</f>
        <v>2</v>
      </c>
      <c r="I64" s="3">
        <f>Log!I65-Log[[#This Row],[Night Body Temp]]</f>
        <v>-0.40000000000000568</v>
      </c>
      <c r="J64" s="3">
        <f>Log!J65-Log[[#This Row],[Night Systolic Pressure]]</f>
        <v>8</v>
      </c>
      <c r="K64" s="3">
        <f>Log!K65-Log[[#This Row],[Night Diastolic Pressure]]</f>
        <v>7</v>
      </c>
      <c r="L64" s="3">
        <f>Log!L65-Log[[#This Row],[Night Pulse]]</f>
        <v>-5</v>
      </c>
      <c r="M64" s="3">
        <f>Log!M65-Log[[#This Row],[Sleep]]</f>
        <v>2</v>
      </c>
      <c r="N64" s="11">
        <f>Log!N65-Log[[#This Row],[BMI]]</f>
        <v>0</v>
      </c>
      <c r="O64" s="11">
        <f>Log!O65-Log[[#This Row],[CBF]]</f>
        <v>-0.68540764102638718</v>
      </c>
    </row>
    <row r="65" spans="1:15" x14ac:dyDescent="0.25">
      <c r="A65" s="3" t="str">
        <f>_xlfn.CONCAT(TEXT(Log!A66, "MM/DD/YY")," - ",TEXT(Log!A65, "MM/DD/YY"))</f>
        <v>03/30/24 - 03/29/24</v>
      </c>
      <c r="B65" s="3">
        <f>Log!B66-Log[[#This Row],[Weight (Pounds)]]</f>
        <v>0.40000000000000568</v>
      </c>
      <c r="C65" s="3">
        <f>Log!C66-Log[[#This Row],[Waist (Inches)]]</f>
        <v>0</v>
      </c>
      <c r="D65" s="3">
        <f>Log!D66-Log[[#This Row],[Neck (Inches)]]</f>
        <v>0</v>
      </c>
      <c r="E65" s="3">
        <f>Log!E66-Log[[#This Row],[Morning Body Temp]]</f>
        <v>-0.20000000000000284</v>
      </c>
      <c r="F65" s="3">
        <f>Log!F66-Log[[#This Row],[Morning Systolic Pressure]]</f>
        <v>-6</v>
      </c>
      <c r="G65" s="3">
        <f>Log!G66-Log[[#This Row],[Morning Diastolic Pressure]]</f>
        <v>4</v>
      </c>
      <c r="H65" s="3">
        <f>Log!H66-Log[[#This Row],[Morning Pulse]]</f>
        <v>-1</v>
      </c>
      <c r="I65" s="3">
        <f>Log!I66-Log[[#This Row],[Night Body Temp]]</f>
        <v>2.2999999999999972</v>
      </c>
      <c r="J65" s="3">
        <f>Log!J66-Log[[#This Row],[Night Systolic Pressure]]</f>
        <v>-7</v>
      </c>
      <c r="K65" s="3">
        <f>Log!K66-Log[[#This Row],[Night Diastolic Pressure]]</f>
        <v>0</v>
      </c>
      <c r="L65" s="3">
        <f>Log!L66-Log[[#This Row],[Night Pulse]]</f>
        <v>29</v>
      </c>
      <c r="M65" s="3">
        <f>Log!M66-Log[[#This Row],[Sleep]]</f>
        <v>-2</v>
      </c>
      <c r="N65" s="11">
        <f>Log!N66-Log[[#This Row],[BMI]]</f>
        <v>5.7387755102048743E-2</v>
      </c>
      <c r="O65" s="11">
        <f>Log!O66-Log[[#This Row],[CBF]]</f>
        <v>0</v>
      </c>
    </row>
    <row r="66" spans="1:15" x14ac:dyDescent="0.25">
      <c r="A66" s="3" t="str">
        <f>_xlfn.CONCAT(TEXT(Log!A67, "MM/DD/YY")," - ",TEXT(Log!A66, "MM/DD/YY"))</f>
        <v>03/31/24 - 03/30/24</v>
      </c>
      <c r="B66" s="3">
        <f>Log!B67-Log[[#This Row],[Weight (Pounds)]]</f>
        <v>3.8000000000000114</v>
      </c>
      <c r="C66" s="3">
        <f>Log!C67-Log[[#This Row],[Waist (Inches)]]</f>
        <v>0.5</v>
      </c>
      <c r="D66" s="3">
        <f>Log!D67-Log[[#This Row],[Neck (Inches)]]</f>
        <v>0.5</v>
      </c>
      <c r="E66" s="3">
        <f>Log!E67-Log[[#This Row],[Morning Body Temp]]</f>
        <v>-0.39999999999999147</v>
      </c>
      <c r="F66" s="3">
        <f>Log!F67-Log[[#This Row],[Morning Systolic Pressure]]</f>
        <v>18</v>
      </c>
      <c r="G66" s="3">
        <f>Log!G67-Log[[#This Row],[Morning Diastolic Pressure]]</f>
        <v>3</v>
      </c>
      <c r="H66" s="3">
        <f>Log!H67-Log[[#This Row],[Morning Pulse]]</f>
        <v>15</v>
      </c>
      <c r="I66" s="3">
        <f>Log!I67-Log[[#This Row],[Night Body Temp]]</f>
        <v>-1.5999999999999943</v>
      </c>
      <c r="J66" s="3">
        <f>Log!J67-Log[[#This Row],[Night Systolic Pressure]]</f>
        <v>12</v>
      </c>
      <c r="K66" s="3">
        <f>Log!K67-Log[[#This Row],[Night Diastolic Pressure]]</f>
        <v>8</v>
      </c>
      <c r="L66" s="3">
        <f>Log!L67-Log[[#This Row],[Night Pulse]]</f>
        <v>-26</v>
      </c>
      <c r="M66" s="3">
        <f>Log!M67-Log[[#This Row],[Sleep]]</f>
        <v>2</v>
      </c>
      <c r="N66" s="11">
        <f>Log!N67-Log[[#This Row],[BMI]]</f>
        <v>0.54518367346938845</v>
      </c>
      <c r="O66" s="11">
        <f>Log!O67-Log[[#This Row],[CBF]]</f>
        <v>0</v>
      </c>
    </row>
    <row r="67" spans="1:15" x14ac:dyDescent="0.25">
      <c r="A67" s="3" t="str">
        <f>_xlfn.CONCAT(TEXT(Log!A68, "MM/DD/YY")," - ",TEXT(Log!A67, "MM/DD/YY"))</f>
        <v>04/01/24 - 03/31/24</v>
      </c>
      <c r="B67" s="3">
        <f>Log!B68-Log[[#This Row],[Weight (Pounds)]]</f>
        <v>-1.8000000000000114</v>
      </c>
      <c r="C67" s="3">
        <f>Log!C68-Log[[#This Row],[Waist (Inches)]]</f>
        <v>0</v>
      </c>
      <c r="D67" s="3">
        <f>Log!D68-Log[[#This Row],[Neck (Inches)]]</f>
        <v>0</v>
      </c>
      <c r="E67" s="3">
        <f>Log!E68-Log[[#This Row],[Morning Body Temp]]</f>
        <v>0</v>
      </c>
      <c r="F67" s="3">
        <f>Log!F68-Log[[#This Row],[Morning Systolic Pressure]]</f>
        <v>-22</v>
      </c>
      <c r="G67" s="3">
        <f>Log!G68-Log[[#This Row],[Morning Diastolic Pressure]]</f>
        <v>-11</v>
      </c>
      <c r="H67" s="3">
        <f>Log!H68-Log[[#This Row],[Morning Pulse]]</f>
        <v>-1</v>
      </c>
      <c r="I67" s="3">
        <f>Log!I68-Log[[#This Row],[Night Body Temp]]</f>
        <v>0.59999999999999432</v>
      </c>
      <c r="J67" s="3">
        <f>Log!J68-Log[[#This Row],[Night Systolic Pressure]]</f>
        <v>-14</v>
      </c>
      <c r="K67" s="3">
        <f>Log!K68-Log[[#This Row],[Night Diastolic Pressure]]</f>
        <v>-7</v>
      </c>
      <c r="L67" s="3">
        <f>Log!L68-Log[[#This Row],[Night Pulse]]</f>
        <v>-3</v>
      </c>
      <c r="M67" s="3">
        <f>Log!M68-Log[[#This Row],[Sleep]]</f>
        <v>-10</v>
      </c>
      <c r="N67" s="11">
        <f>Log!N68-Log[[#This Row],[BMI]]</f>
        <v>-0.25824489795918737</v>
      </c>
      <c r="O67" s="11">
        <f>Log!O68-Log[[#This Row],[CBF]]</f>
        <v>0</v>
      </c>
    </row>
    <row r="68" spans="1:15" x14ac:dyDescent="0.25">
      <c r="A68" s="3" t="str">
        <f>_xlfn.CONCAT(TEXT(Log!A69, "MM/DD/YY")," - ",TEXT(Log!A68, "MM/DD/YY"))</f>
        <v>04/02/24 - 04/01/24</v>
      </c>
      <c r="B68" s="3">
        <f>Log!B69-Log[[#This Row],[Weight (Pounds)]]</f>
        <v>-0.19999999999998863</v>
      </c>
      <c r="C68" s="3">
        <f>Log!C69-Log[[#This Row],[Waist (Inches)]]</f>
        <v>0</v>
      </c>
      <c r="D68" s="3">
        <f>Log!D69-Log[[#This Row],[Neck (Inches)]]</f>
        <v>0</v>
      </c>
      <c r="E68" s="3">
        <f>Log!E69-Log[[#This Row],[Morning Body Temp]]</f>
        <v>-0.79999999999999716</v>
      </c>
      <c r="F68" s="3">
        <f>Log!F69-Log[[#This Row],[Morning Systolic Pressure]]</f>
        <v>4</v>
      </c>
      <c r="G68" s="3">
        <f>Log!G69-Log[[#This Row],[Morning Diastolic Pressure]]</f>
        <v>6</v>
      </c>
      <c r="H68" s="3">
        <f>Log!H69-Log[[#This Row],[Morning Pulse]]</f>
        <v>-18</v>
      </c>
      <c r="I68" s="3">
        <f>Log!I69-Log[[#This Row],[Night Body Temp]]</f>
        <v>-0.59999999999999432</v>
      </c>
      <c r="J68" s="3">
        <f>Log!J69-Log[[#This Row],[Night Systolic Pressure]]</f>
        <v>-6</v>
      </c>
      <c r="K68" s="3">
        <f>Log!K69-Log[[#This Row],[Night Diastolic Pressure]]</f>
        <v>5</v>
      </c>
      <c r="L68" s="3">
        <f>Log!L69-Log[[#This Row],[Night Pulse]]</f>
        <v>0</v>
      </c>
      <c r="M68" s="3">
        <f>Log!M69-Log[[#This Row],[Sleep]]</f>
        <v>7</v>
      </c>
      <c r="N68" s="11">
        <f>Log!N69-Log[[#This Row],[BMI]]</f>
        <v>-2.8693877551020819E-2</v>
      </c>
      <c r="O68" s="11">
        <f>Log!O69-Log[[#This Row],[CBF]]</f>
        <v>0</v>
      </c>
    </row>
    <row r="69" spans="1:15" x14ac:dyDescent="0.25">
      <c r="A69" s="3" t="str">
        <f>_xlfn.CONCAT(TEXT(Log!A70, "MM/DD/YY")," - ",TEXT(Log!A69, "MM/DD/YY"))</f>
        <v>04/03/24 - 04/02/24</v>
      </c>
      <c r="B69" s="3">
        <f>Log!B70-Log[[#This Row],[Weight (Pounds)]]</f>
        <v>3.5999999999999943</v>
      </c>
      <c r="C69" s="3">
        <f>Log!C70-Log[[#This Row],[Waist (Inches)]]</f>
        <v>0.5</v>
      </c>
      <c r="D69" s="3">
        <f>Log!D70-Log[[#This Row],[Neck (Inches)]]</f>
        <v>0</v>
      </c>
      <c r="E69" s="3">
        <f>Log!E70-Log[[#This Row],[Morning Body Temp]]</f>
        <v>1.1999999999999886</v>
      </c>
      <c r="F69" s="3">
        <f>Log!F70-Log[[#This Row],[Morning Systolic Pressure]]</f>
        <v>-5</v>
      </c>
      <c r="G69" s="3">
        <f>Log!G70-Log[[#This Row],[Morning Diastolic Pressure]]</f>
        <v>6</v>
      </c>
      <c r="H69" s="3">
        <f>Log!H70-Log[[#This Row],[Morning Pulse]]</f>
        <v>9</v>
      </c>
      <c r="I69" s="3">
        <f>Log!I70-Log[[#This Row],[Night Body Temp]]</f>
        <v>-0.59999999999999432</v>
      </c>
      <c r="J69" s="3">
        <f>Log!J70-Log[[#This Row],[Night Systolic Pressure]]</f>
        <v>15</v>
      </c>
      <c r="K69" s="3">
        <f>Log!K70-Log[[#This Row],[Night Diastolic Pressure]]</f>
        <v>-5</v>
      </c>
      <c r="L69" s="3">
        <f>Log!L70-Log[[#This Row],[Night Pulse]]</f>
        <v>-8</v>
      </c>
      <c r="M69" s="3">
        <f>Log!M70-Log[[#This Row],[Sleep]]</f>
        <v>3</v>
      </c>
      <c r="N69" s="11">
        <f>Log!N70-Log[[#This Row],[BMI]]</f>
        <v>0.51648979591836763</v>
      </c>
      <c r="O69" s="11">
        <f>Log!O70-Log[[#This Row],[CBF]]</f>
        <v>0.68540764102638718</v>
      </c>
    </row>
    <row r="70" spans="1:15" x14ac:dyDescent="0.25">
      <c r="A70" s="3" t="str">
        <f>_xlfn.CONCAT(TEXT(Log!A71, "MM/DD/YY")," - ",TEXT(Log!A70, "MM/DD/YY"))</f>
        <v>04/04/24 - 04/03/24</v>
      </c>
      <c r="B70" s="3">
        <f>Log!B71-Log[[#This Row],[Weight (Pounds)]]</f>
        <v>-2.8000000000000114</v>
      </c>
      <c r="C70" s="3">
        <f>Log!C71-Log[[#This Row],[Waist (Inches)]]</f>
        <v>-0.5</v>
      </c>
      <c r="D70" s="3">
        <f>Log!D71-Log[[#This Row],[Neck (Inches)]]</f>
        <v>0</v>
      </c>
      <c r="E70" s="3">
        <f>Log!E71-Log[[#This Row],[Morning Body Temp]]</f>
        <v>0.30000000000001137</v>
      </c>
      <c r="F70" s="3">
        <f>Log!F71-Log[[#This Row],[Morning Systolic Pressure]]</f>
        <v>18</v>
      </c>
      <c r="G70" s="3">
        <f>Log!G71-Log[[#This Row],[Morning Diastolic Pressure]]</f>
        <v>1</v>
      </c>
      <c r="H70" s="3">
        <f>Log!H71-Log[[#This Row],[Morning Pulse]]</f>
        <v>1</v>
      </c>
      <c r="I70" s="3">
        <f>Log!I71-Log[[#This Row],[Night Body Temp]]</f>
        <v>0.59999999999999432</v>
      </c>
      <c r="J70" s="3">
        <f>Log!J71-Log[[#This Row],[Night Systolic Pressure]]</f>
        <v>-12</v>
      </c>
      <c r="K70" s="3">
        <f>Log!K71-Log[[#This Row],[Night Diastolic Pressure]]</f>
        <v>-5</v>
      </c>
      <c r="L70" s="3">
        <f>Log!L71-Log[[#This Row],[Night Pulse]]</f>
        <v>0</v>
      </c>
      <c r="M70" s="3">
        <f>Log!M71-Log[[#This Row],[Sleep]]</f>
        <v>-3</v>
      </c>
      <c r="N70" s="11">
        <f>Log!N71-Log[[#This Row],[BMI]]</f>
        <v>-0.40171428571428436</v>
      </c>
      <c r="O70" s="11">
        <f>Log!O71-Log[[#This Row],[CBF]]</f>
        <v>-0.68540764102638718</v>
      </c>
    </row>
    <row r="71" spans="1:15" x14ac:dyDescent="0.25">
      <c r="A71" s="3" t="str">
        <f>_xlfn.CONCAT(TEXT(Log!A72, "MM/DD/YY")," - ",TEXT(Log!A71, "MM/DD/YY"))</f>
        <v>04/05/24 - 04/04/24</v>
      </c>
      <c r="B71" s="3">
        <f>Log!B72-Log[[#This Row],[Weight (Pounds)]]</f>
        <v>-2.1999999999999886</v>
      </c>
      <c r="C71" s="3">
        <f>Log!C72-Log[[#This Row],[Waist (Inches)]]</f>
        <v>0</v>
      </c>
      <c r="D71" s="3">
        <f>Log!D72-Log[[#This Row],[Neck (Inches)]]</f>
        <v>0</v>
      </c>
      <c r="E71" s="3">
        <f>Log!E72-Log[[#This Row],[Morning Body Temp]]</f>
        <v>0.39999999999999147</v>
      </c>
      <c r="F71" s="3">
        <f>Log!F72-Log[[#This Row],[Morning Systolic Pressure]]</f>
        <v>2</v>
      </c>
      <c r="G71" s="3">
        <f>Log!G72-Log[[#This Row],[Morning Diastolic Pressure]]</f>
        <v>-8</v>
      </c>
      <c r="H71" s="3">
        <f>Log!H72-Log[[#This Row],[Morning Pulse]]</f>
        <v>-2</v>
      </c>
      <c r="I71" s="3">
        <f>Log!I72-Log[[#This Row],[Night Body Temp]]</f>
        <v>-9.9999999999994316E-2</v>
      </c>
      <c r="J71" s="3">
        <f>Log!J72-Log[[#This Row],[Night Systolic Pressure]]</f>
        <v>5</v>
      </c>
      <c r="K71" s="3">
        <f>Log!K72-Log[[#This Row],[Night Diastolic Pressure]]</f>
        <v>3</v>
      </c>
      <c r="L71" s="3">
        <f>Log!L72-Log[[#This Row],[Night Pulse]]</f>
        <v>1</v>
      </c>
      <c r="M71" s="3">
        <f>Log!M72-Log[[#This Row],[Sleep]]</f>
        <v>1</v>
      </c>
      <c r="N71" s="11">
        <f>Log!N72-Log[[#This Row],[BMI]]</f>
        <v>-0.3156326530612219</v>
      </c>
      <c r="O71" s="11">
        <f>Log!O72-Log[[#This Row],[CBF]]</f>
        <v>0</v>
      </c>
    </row>
    <row r="72" spans="1:15" x14ac:dyDescent="0.25">
      <c r="A72" s="3" t="str">
        <f>_xlfn.CONCAT(TEXT(Log!A73, "MM/DD/YY")," - ",TEXT(Log!A72, "MM/DD/YY"))</f>
        <v>04/06/24 - 04/05/24</v>
      </c>
      <c r="B72" s="3">
        <f>Log!B73-Log[[#This Row],[Weight (Pounds)]]</f>
        <v>-1.5999999999999943</v>
      </c>
      <c r="C72" s="3">
        <f>Log!C73-Log[[#This Row],[Waist (Inches)]]</f>
        <v>-0.5</v>
      </c>
      <c r="D72" s="3">
        <f>Log!D73-Log[[#This Row],[Neck (Inches)]]</f>
        <v>0</v>
      </c>
      <c r="E72" s="3">
        <f>Log!E73-Log[[#This Row],[Morning Body Temp]]</f>
        <v>-0.59999999999999432</v>
      </c>
      <c r="F72" s="3">
        <f>Log!F73-Log[[#This Row],[Morning Systolic Pressure]]</f>
        <v>-15</v>
      </c>
      <c r="G72" s="3">
        <f>Log!G73-Log[[#This Row],[Morning Diastolic Pressure]]</f>
        <v>5</v>
      </c>
      <c r="H72" s="3">
        <f>Log!H73-Log[[#This Row],[Morning Pulse]]</f>
        <v>-6</v>
      </c>
      <c r="I72" s="3">
        <f>Log!I73-Log[[#This Row],[Night Body Temp]]</f>
        <v>1.3999999999999915</v>
      </c>
      <c r="J72" s="3">
        <f>Log!J73-Log[[#This Row],[Night Systolic Pressure]]</f>
        <v>23</v>
      </c>
      <c r="K72" s="3">
        <f>Log!K73-Log[[#This Row],[Night Diastolic Pressure]]</f>
        <v>1</v>
      </c>
      <c r="L72" s="3">
        <f>Log!L73-Log[[#This Row],[Night Pulse]]</f>
        <v>31</v>
      </c>
      <c r="M72" s="3">
        <f>Log!M73-Log[[#This Row],[Sleep]]</f>
        <v>-2</v>
      </c>
      <c r="N72" s="11">
        <f>Log!N73-Log[[#This Row],[BMI]]</f>
        <v>-0.22955102040816655</v>
      </c>
      <c r="O72" s="11">
        <f>Log!O73-Log[[#This Row],[CBF]]</f>
        <v>-0.69821973800965509</v>
      </c>
    </row>
    <row r="73" spans="1:15" x14ac:dyDescent="0.25">
      <c r="A73" s="3" t="str">
        <f>_xlfn.CONCAT(TEXT(Log!A74, "MM/DD/YY")," - ",TEXT(Log!A73, "MM/DD/YY"))</f>
        <v>04/07/24 - 04/06/24</v>
      </c>
      <c r="B73" s="3">
        <f>Log!B74-Log[[#This Row],[Weight (Pounds)]]</f>
        <v>6.1999999999999886</v>
      </c>
      <c r="C73" s="3">
        <f>Log!C74-Log[[#This Row],[Waist (Inches)]]</f>
        <v>0</v>
      </c>
      <c r="D73" s="3">
        <f>Log!D74-Log[[#This Row],[Neck (Inches)]]</f>
        <v>0</v>
      </c>
      <c r="E73" s="3">
        <f>Log!E74-Log[[#This Row],[Morning Body Temp]]</f>
        <v>0.29999999999999716</v>
      </c>
      <c r="F73" s="3">
        <f>Log!F74-Log[[#This Row],[Morning Systolic Pressure]]</f>
        <v>3</v>
      </c>
      <c r="G73" s="3">
        <f>Log!G74-Log[[#This Row],[Morning Diastolic Pressure]]</f>
        <v>-1</v>
      </c>
      <c r="H73" s="3">
        <f>Log!H74-Log[[#This Row],[Morning Pulse]]</f>
        <v>5</v>
      </c>
      <c r="I73" s="3">
        <f>Log!I74-Log[[#This Row],[Night Body Temp]]</f>
        <v>-1.0999999999999943</v>
      </c>
      <c r="J73" s="3">
        <f>Log!J74-Log[[#This Row],[Night Systolic Pressure]]</f>
        <v>-25</v>
      </c>
      <c r="K73" s="3">
        <f>Log!K74-Log[[#This Row],[Night Diastolic Pressure]]</f>
        <v>0</v>
      </c>
      <c r="L73" s="3">
        <f>Log!L74-Log[[#This Row],[Night Pulse]]</f>
        <v>-22</v>
      </c>
      <c r="M73" s="3">
        <f>Log!M74-Log[[#This Row],[Sleep]]</f>
        <v>-3</v>
      </c>
      <c r="N73" s="11">
        <f>Log!N74-Log[[#This Row],[BMI]]</f>
        <v>0.88951020408163117</v>
      </c>
      <c r="O73" s="11">
        <f>Log!O74-Log[[#This Row],[CBF]]</f>
        <v>0</v>
      </c>
    </row>
    <row r="74" spans="1:15" x14ac:dyDescent="0.25">
      <c r="A74" s="3" t="str">
        <f>_xlfn.CONCAT(TEXT(Log!A75, "MM/DD/YY")," - ",TEXT(Log!A74, "MM/DD/YY"))</f>
        <v>04/08/24 - 04/07/24</v>
      </c>
      <c r="B74" s="3">
        <f>Log!B75-Log[[#This Row],[Weight (Pounds)]]</f>
        <v>0</v>
      </c>
      <c r="C74" s="3">
        <f>Log!C75-Log[[#This Row],[Waist (Inches)]]</f>
        <v>0</v>
      </c>
      <c r="D74" s="3">
        <f>Log!D75-Log[[#This Row],[Neck (Inches)]]</f>
        <v>0</v>
      </c>
      <c r="E74" s="3">
        <f>Log!E75-Log[[#This Row],[Morning Body Temp]]</f>
        <v>0</v>
      </c>
      <c r="F74" s="3">
        <f>Log!F75-Log[[#This Row],[Morning Systolic Pressure]]</f>
        <v>1</v>
      </c>
      <c r="G74" s="3">
        <f>Log!G75-Log[[#This Row],[Morning Diastolic Pressure]]</f>
        <v>1</v>
      </c>
      <c r="H74" s="3">
        <f>Log!H75-Log[[#This Row],[Morning Pulse]]</f>
        <v>1</v>
      </c>
      <c r="I74" s="3">
        <f>Log!I75-Log[[#This Row],[Night Body Temp]]</f>
        <v>9.9999999999994316E-2</v>
      </c>
      <c r="J74" s="3">
        <f>Log!J75-Log[[#This Row],[Night Systolic Pressure]]</f>
        <v>1</v>
      </c>
      <c r="K74" s="3">
        <f>Log!K75-Log[[#This Row],[Night Diastolic Pressure]]</f>
        <v>1</v>
      </c>
      <c r="L74" s="3">
        <f>Log!L75-Log[[#This Row],[Night Pulse]]</f>
        <v>1</v>
      </c>
      <c r="M74" s="3">
        <f>Log!M75-Log[[#This Row],[Sleep]]</f>
        <v>0</v>
      </c>
      <c r="N74" s="11">
        <f>Log!N75-Log[[#This Row],[BMI]]</f>
        <v>0</v>
      </c>
      <c r="O74" s="11">
        <f>Log!O75-Log[[#This Row],[CBF]]</f>
        <v>0</v>
      </c>
    </row>
    <row r="75" spans="1:15" x14ac:dyDescent="0.25">
      <c r="A75" s="3" t="str">
        <f>_xlfn.CONCAT(TEXT(Log!A76, "MM/DD/YY")," - ",TEXT(Log!A75, "MM/DD/YY"))</f>
        <v>04/09/24 - 04/08/24</v>
      </c>
      <c r="B75" s="3">
        <f>Log!B76-Log[[#This Row],[Weight (Pounds)]]</f>
        <v>1.4000000000000057</v>
      </c>
      <c r="C75" s="3">
        <f>Log!C76-Log[[#This Row],[Waist (Inches)]]</f>
        <v>1</v>
      </c>
      <c r="D75" s="3">
        <f>Log!D76-Log[[#This Row],[Neck (Inches)]]</f>
        <v>0</v>
      </c>
      <c r="E75" s="3">
        <f>Log!E76-Log[[#This Row],[Morning Body Temp]]</f>
        <v>0.40000000000000568</v>
      </c>
      <c r="F75" s="3">
        <f>Log!F76-Log[[#This Row],[Morning Systolic Pressure]]</f>
        <v>5</v>
      </c>
      <c r="G75" s="3">
        <f>Log!G76-Log[[#This Row],[Morning Diastolic Pressure]]</f>
        <v>-2</v>
      </c>
      <c r="H75" s="3">
        <f>Log!H76-Log[[#This Row],[Morning Pulse]]</f>
        <v>-6</v>
      </c>
      <c r="I75" s="3">
        <f>Log!I76-Log[[#This Row],[Night Body Temp]]</f>
        <v>-0.59999999999999432</v>
      </c>
      <c r="J75" s="3">
        <f>Log!J76-Log[[#This Row],[Night Systolic Pressure]]</f>
        <v>-4</v>
      </c>
      <c r="K75" s="3">
        <f>Log!K76-Log[[#This Row],[Night Diastolic Pressure]]</f>
        <v>6</v>
      </c>
      <c r="L75" s="3">
        <f>Log!L76-Log[[#This Row],[Night Pulse]]</f>
        <v>-7</v>
      </c>
      <c r="M75" s="3">
        <f>Log!M76-Log[[#This Row],[Sleep]]</f>
        <v>7</v>
      </c>
      <c r="N75" s="11">
        <f>Log!N76-Log[[#This Row],[BMI]]</f>
        <v>0.20085714285714573</v>
      </c>
      <c r="O75" s="11">
        <f>Log!O76-Log[[#This Row],[CBF]]</f>
        <v>1.3836273790360423</v>
      </c>
    </row>
    <row r="76" spans="1:15" x14ac:dyDescent="0.25">
      <c r="A76" s="3" t="str">
        <f>_xlfn.CONCAT(TEXT(Log!A77, "MM/DD/YY")," - ",TEXT(Log!A76, "MM/DD/YY"))</f>
        <v>04/10/24 - 04/09/24</v>
      </c>
      <c r="B76" s="3">
        <f>Log!B77-Log[[#This Row],[Weight (Pounds)]]</f>
        <v>-3.8000000000000114</v>
      </c>
      <c r="C76" s="3">
        <f>Log!C77-Log[[#This Row],[Waist (Inches)]]</f>
        <v>-0.5</v>
      </c>
      <c r="D76" s="3">
        <f>Log!D77-Log[[#This Row],[Neck (Inches)]]</f>
        <v>0</v>
      </c>
      <c r="E76" s="3">
        <f>Log!E77-Log[[#This Row],[Morning Body Temp]]</f>
        <v>-0.5</v>
      </c>
      <c r="F76" s="3">
        <f>Log!F77-Log[[#This Row],[Morning Systolic Pressure]]</f>
        <v>-4</v>
      </c>
      <c r="G76" s="3">
        <f>Log!G77-Log[[#This Row],[Morning Diastolic Pressure]]</f>
        <v>3</v>
      </c>
      <c r="H76" s="3">
        <f>Log!H77-Log[[#This Row],[Morning Pulse]]</f>
        <v>5</v>
      </c>
      <c r="I76" s="3">
        <f>Log!I77-Log[[#This Row],[Night Body Temp]]</f>
        <v>9.9999999999994316E-2</v>
      </c>
      <c r="J76" s="3">
        <f>Log!J77-Log[[#This Row],[Night Systolic Pressure]]</f>
        <v>0</v>
      </c>
      <c r="K76" s="3">
        <f>Log!K77-Log[[#This Row],[Night Diastolic Pressure]]</f>
        <v>-9</v>
      </c>
      <c r="L76" s="3">
        <f>Log!L77-Log[[#This Row],[Night Pulse]]</f>
        <v>1</v>
      </c>
      <c r="M76" s="3">
        <f>Log!M77-Log[[#This Row],[Sleep]]</f>
        <v>-1.5</v>
      </c>
      <c r="N76" s="11">
        <f>Log!N77-Log[[#This Row],[BMI]]</f>
        <v>-0.54518367346938845</v>
      </c>
      <c r="O76" s="11">
        <f>Log!O77-Log[[#This Row],[CBF]]</f>
        <v>-0.68540764102638718</v>
      </c>
    </row>
    <row r="77" spans="1:15" x14ac:dyDescent="0.25">
      <c r="A77" s="3" t="str">
        <f>_xlfn.CONCAT(TEXT(Log!A78, "MM/DD/YY")," - ",TEXT(Log!A77, "MM/DD/YY"))</f>
        <v>04/11/24 - 04/10/24</v>
      </c>
      <c r="B77" s="3">
        <f>Log!B78-Log[[#This Row],[Weight (Pounds)]]</f>
        <v>-0.79999999999998295</v>
      </c>
      <c r="C77" s="3">
        <f>Log!C78-Log[[#This Row],[Waist (Inches)]]</f>
        <v>-0.5</v>
      </c>
      <c r="D77" s="3">
        <f>Log!D78-Log[[#This Row],[Neck (Inches)]]</f>
        <v>0</v>
      </c>
      <c r="E77" s="3">
        <f>Log!E78-Log[[#This Row],[Morning Body Temp]]</f>
        <v>-0.70000000000000284</v>
      </c>
      <c r="F77" s="3">
        <f>Log!F78-Log[[#This Row],[Morning Systolic Pressure]]</f>
        <v>0</v>
      </c>
      <c r="G77" s="3">
        <f>Log!G78-Log[[#This Row],[Morning Diastolic Pressure]]</f>
        <v>-4</v>
      </c>
      <c r="H77" s="3">
        <f>Log!H78-Log[[#This Row],[Morning Pulse]]</f>
        <v>-7</v>
      </c>
      <c r="I77" s="3">
        <f>Log!I78-Log[[#This Row],[Night Body Temp]]</f>
        <v>0.60000000000000853</v>
      </c>
      <c r="J77" s="3">
        <f>Log!J78-Log[[#This Row],[Night Systolic Pressure]]</f>
        <v>-6</v>
      </c>
      <c r="K77" s="3">
        <f>Log!K78-Log[[#This Row],[Night Diastolic Pressure]]</f>
        <v>1</v>
      </c>
      <c r="L77" s="3">
        <f>Log!L78-Log[[#This Row],[Night Pulse]]</f>
        <v>0</v>
      </c>
      <c r="M77" s="3">
        <f>Log!M78-Log[[#This Row],[Sleep]]</f>
        <v>-6.5</v>
      </c>
      <c r="N77" s="11">
        <f>Log!N78-Log[[#This Row],[BMI]]</f>
        <v>-0.11477551020408328</v>
      </c>
      <c r="O77" s="11">
        <f>Log!O78-Log[[#This Row],[CBF]]</f>
        <v>-0.69821973800965509</v>
      </c>
    </row>
    <row r="78" spans="1:15" x14ac:dyDescent="0.25">
      <c r="A78" s="3" t="str">
        <f>_xlfn.CONCAT(TEXT(Log!A79, "MM/DD/YY")," - ",TEXT(Log!A78, "MM/DD/YY"))</f>
        <v>04/12/24 - 04/11/24</v>
      </c>
      <c r="B78" s="3">
        <f>Log!B79-Log[[#This Row],[Weight (Pounds)]]</f>
        <v>-0.80000000000001137</v>
      </c>
      <c r="C78" s="3">
        <f>Log!C79-Log[[#This Row],[Waist (Inches)]]</f>
        <v>0.5</v>
      </c>
      <c r="D78" s="3">
        <f>Log!D79-Log[[#This Row],[Neck (Inches)]]</f>
        <v>0</v>
      </c>
      <c r="E78" s="3">
        <f>Log!E79-Log[[#This Row],[Morning Body Temp]]</f>
        <v>-0.20000000000000284</v>
      </c>
      <c r="F78" s="3">
        <f>Log!F79-Log[[#This Row],[Morning Systolic Pressure]]</f>
        <v>-5</v>
      </c>
      <c r="G78" s="3">
        <f>Log!G79-Log[[#This Row],[Morning Diastolic Pressure]]</f>
        <v>-2</v>
      </c>
      <c r="H78" s="3">
        <f>Log!H79-Log[[#This Row],[Morning Pulse]]</f>
        <v>0</v>
      </c>
      <c r="I78" s="3">
        <f>Log!I79-Log[[#This Row],[Night Body Temp]]</f>
        <v>9.9999999999994316E-2</v>
      </c>
      <c r="J78" s="3">
        <f>Log!J79-Log[[#This Row],[Night Systolic Pressure]]</f>
        <v>7</v>
      </c>
      <c r="K78" s="3">
        <f>Log!K79-Log[[#This Row],[Night Diastolic Pressure]]</f>
        <v>0</v>
      </c>
      <c r="L78" s="3">
        <f>Log!L79-Log[[#This Row],[Night Pulse]]</f>
        <v>2</v>
      </c>
      <c r="M78" s="3">
        <f>Log!M80-Log[[#This Row],[Sleep]]</f>
        <v>-2.5</v>
      </c>
      <c r="N78" s="11">
        <f>Log!N79-Log[[#This Row],[BMI]]</f>
        <v>-0.11477551020407617</v>
      </c>
      <c r="O78" s="11">
        <f>Log!O79-Log[[#This Row],[CBF]]</f>
        <v>0.69821973800965509</v>
      </c>
    </row>
    <row r="79" spans="1:15" x14ac:dyDescent="0.25">
      <c r="A79" s="3" t="str">
        <f>_xlfn.CONCAT(TEXT(Log!A80, "MM/DD/YY")," - ",TEXT(Log!A79, "MM/DD/YY"))</f>
        <v>04/13/24 - 04/12/24</v>
      </c>
      <c r="B79" s="3">
        <f>Log!B80-Log[[#This Row],[Weight (Pounds)]]</f>
        <v>-1.4000000000000057</v>
      </c>
      <c r="C79" s="3">
        <f>Log!C80-Log[[#This Row],[Waist (Inches)]]</f>
        <v>0</v>
      </c>
      <c r="D79" s="3">
        <f>Log!D80-Log[[#This Row],[Neck (Inches)]]</f>
        <v>0</v>
      </c>
      <c r="E79" s="3">
        <f>Log!E80-Log[[#This Row],[Morning Body Temp]]</f>
        <v>1.2000000000000028</v>
      </c>
      <c r="F79" s="3">
        <f>Log!F80-Log[[#This Row],[Morning Systolic Pressure]]</f>
        <v>14</v>
      </c>
      <c r="G79" s="3">
        <f>Log!G80-Log[[#This Row],[Morning Diastolic Pressure]]</f>
        <v>-1</v>
      </c>
      <c r="H79" s="3">
        <f>Log!H80-Log[[#This Row],[Morning Pulse]]</f>
        <v>9</v>
      </c>
      <c r="I79" s="3">
        <f>Log!I80-Log[[#This Row],[Night Body Temp]]</f>
        <v>-0.29999999999999716</v>
      </c>
      <c r="J79" s="3">
        <f>Log!J80-Log[[#This Row],[Night Systolic Pressure]]</f>
        <v>0</v>
      </c>
      <c r="K79" s="3">
        <f>Log!K80-Log[[#This Row],[Night Diastolic Pressure]]</f>
        <v>-2</v>
      </c>
      <c r="L79" s="3">
        <f>Log!L80-Log[[#This Row],[Night Pulse]]</f>
        <v>-7</v>
      </c>
      <c r="M79" s="3" t="e">
        <f>Log!#REF!-Log[[#This Row],[Sleep]]</f>
        <v>#REF!</v>
      </c>
      <c r="N79" s="11">
        <f>Log!N80-Log[[#This Row],[BMI]]</f>
        <v>-0.20085714285715284</v>
      </c>
      <c r="O79" s="11">
        <f>Log!O80-Log[[#This Row],[CBF]]</f>
        <v>0</v>
      </c>
    </row>
    <row r="80" spans="1:15" x14ac:dyDescent="0.25">
      <c r="A80" s="3" t="str">
        <f>_xlfn.CONCAT(TEXT(Log!A81, "MM/DD/YY")," - ",TEXT(Log!A80, "MM/DD/YY"))</f>
        <v>04/14/24 - 04/13/24</v>
      </c>
      <c r="B80" s="3">
        <f>Log!B81-Log[[#This Row],[Weight (Pounds)]]</f>
        <v>4.2000000000000171</v>
      </c>
      <c r="C80" s="3">
        <f>Log!C81-Log[[#This Row],[Waist (Inches)]]</f>
        <v>0</v>
      </c>
      <c r="D80" s="3">
        <f>Log!D81-Log[[#This Row],[Neck (Inches)]]</f>
        <v>0</v>
      </c>
      <c r="E80" s="3">
        <f>Log!E81-Log[[#This Row],[Morning Body Temp]]</f>
        <v>-0.70000000000000284</v>
      </c>
      <c r="F80" s="3">
        <f>Log!F81-Log[[#This Row],[Morning Systolic Pressure]]</f>
        <v>-30</v>
      </c>
      <c r="G80" s="3">
        <f>Log!G81-Log[[#This Row],[Morning Diastolic Pressure]]</f>
        <v>5</v>
      </c>
      <c r="H80" s="3">
        <f>Log!H81-Log[[#This Row],[Morning Pulse]]</f>
        <v>-10</v>
      </c>
      <c r="I80" s="3">
        <f>Log!I81-Log[[#This Row],[Night Body Temp]]</f>
        <v>0</v>
      </c>
      <c r="J80" s="3">
        <f>Log!J81-Log[[#This Row],[Night Systolic Pressure]]</f>
        <v>2</v>
      </c>
      <c r="K80" s="3">
        <f>Log!K81-Log[[#This Row],[Night Diastolic Pressure]]</f>
        <v>3</v>
      </c>
      <c r="L80" s="3">
        <f>Log!L81-Log[[#This Row],[Night Pulse]]</f>
        <v>10</v>
      </c>
      <c r="M80" s="3">
        <f>Log!M81-Log[[#This Row],[Sleep]]</f>
        <v>2.5</v>
      </c>
      <c r="N80" s="11">
        <f>Log!N81-Log[[#This Row],[BMI]]</f>
        <v>0.6025714285714372</v>
      </c>
      <c r="O80" s="11">
        <f>Log!O81-Log[[#This Row],[CBF]]</f>
        <v>0</v>
      </c>
    </row>
    <row r="81" spans="1:15" x14ac:dyDescent="0.25">
      <c r="A81" s="3" t="str">
        <f>_xlfn.CONCAT(TEXT(Log!A82, "MM/DD/YY")," - ",TEXT(Log!A81, "MM/DD/YY"))</f>
        <v>04/15/24 - 04/14/24</v>
      </c>
      <c r="B81" s="3">
        <f>Log!B82-Log[[#This Row],[Weight (Pounds)]]</f>
        <v>1</v>
      </c>
      <c r="C81" s="3">
        <f>Log!C82-Log[[#This Row],[Waist (Inches)]]</f>
        <v>0</v>
      </c>
      <c r="D81" s="3">
        <f>Log!D82-Log[[#This Row],[Neck (Inches)]]</f>
        <v>0</v>
      </c>
      <c r="E81" s="3">
        <f>Log!F82-Log[[#This Row],[Morning Body Temp]]</f>
        <v>31</v>
      </c>
      <c r="F81" s="3">
        <f>Log!G82-Log[[#This Row],[Morning Systolic Pressure]]</f>
        <v>-42</v>
      </c>
      <c r="G81" s="3">
        <f>Log!H82-Log[[#This Row],[Morning Diastolic Pressure]]</f>
        <v>10</v>
      </c>
      <c r="H81" s="3" t="e">
        <f>Log!#REF!-Log[[#This Row],[Morning Pulse]]</f>
        <v>#REF!</v>
      </c>
      <c r="I81" s="3">
        <f>Log!I82-Log[[#This Row],[Night Body Temp]]</f>
        <v>0.29999999999999716</v>
      </c>
      <c r="J81" s="3">
        <f>Log!J82-Log[[#This Row],[Night Systolic Pressure]]</f>
        <v>-1</v>
      </c>
      <c r="K81" s="3">
        <f>Log!K82-Log[[#This Row],[Night Diastolic Pressure]]</f>
        <v>-2</v>
      </c>
      <c r="L81" s="3">
        <f>Log!L82-Log[[#This Row],[Night Pulse]]</f>
        <v>-2</v>
      </c>
      <c r="M81" s="3">
        <f>Log!M82-Log[[#This Row],[Sleep]]</f>
        <v>4</v>
      </c>
      <c r="N81" s="11">
        <f>Log!N82-Log[[#This Row],[BMI]]</f>
        <v>0.14346938775510409</v>
      </c>
      <c r="O81" s="11">
        <f>Log!O82-Log[[#This Row],[CBF]]</f>
        <v>0</v>
      </c>
    </row>
    <row r="82" spans="1:15" x14ac:dyDescent="0.25">
      <c r="A82" s="3" t="str">
        <f>_xlfn.CONCAT(TEXT(Log!A83, "MM/DD/YY")," - ",TEXT(Log!A82, "MM/DD/YY"))</f>
        <v>04/16/24 - 04/15/24</v>
      </c>
      <c r="B82" s="3">
        <f>Log!B83-Log[[#This Row],[Weight (Pounds)]]</f>
        <v>0.79999999999998295</v>
      </c>
      <c r="C82" s="3">
        <f>Log!C83-Log[[#This Row],[Waist (Inches)]]</f>
        <v>-0.5</v>
      </c>
      <c r="D82" s="3">
        <f>Log!D83-Log[[#This Row],[Neck (Inches)]]</f>
        <v>0</v>
      </c>
      <c r="E82" s="3">
        <f>Log!E83-Log[[#This Row],[Morning Body Temp]]</f>
        <v>-1.2999999999999972</v>
      </c>
      <c r="F82" s="3">
        <f>Log!F83-Log[[#This Row],[Morning Systolic Pressure]]</f>
        <v>14</v>
      </c>
      <c r="G82" s="3">
        <f>Log!G83-Log[[#This Row],[Morning Diastolic Pressure]]</f>
        <v>10</v>
      </c>
      <c r="H82" s="3">
        <f>Log!H83-Log[[#This Row],[Morning Pulse]]</f>
        <v>-20</v>
      </c>
      <c r="I82" s="3">
        <f>Log!I83-Log[[#This Row],[Night Body Temp]]</f>
        <v>-0.20000000000000284</v>
      </c>
      <c r="J82" s="3">
        <f>Log!J83-Log[[#This Row],[Night Systolic Pressure]]</f>
        <v>4</v>
      </c>
      <c r="K82" s="3">
        <f>Log!K83-Log[[#This Row],[Night Diastolic Pressure]]</f>
        <v>7</v>
      </c>
      <c r="L82" s="3">
        <f>Log!L83-Log[[#This Row],[Night Pulse]]</f>
        <v>8</v>
      </c>
      <c r="M82" s="3">
        <f>Log!M83-Log[[#This Row],[Sleep]]</f>
        <v>0</v>
      </c>
      <c r="N82" s="11">
        <f>Log!N83-Log[[#This Row],[BMI]]</f>
        <v>0.11477551020407617</v>
      </c>
      <c r="O82" s="11">
        <f>Log!O83-Log[[#This Row],[CBF]]</f>
        <v>-0.69821973800965509</v>
      </c>
    </row>
    <row r="83" spans="1:15" x14ac:dyDescent="0.25">
      <c r="A83" s="3" t="str">
        <f>_xlfn.CONCAT(TEXT(Log!A84, "MM/DD/YY")," - ",TEXT(Log!A83, "MM/DD/YY"))</f>
        <v>04/17/24 - 04/16/24</v>
      </c>
      <c r="B83" s="3">
        <f>Log!B84-Log[[#This Row],[Weight (Pounds)]]</f>
        <v>-3.4000000000000057</v>
      </c>
      <c r="C83" s="3">
        <f>Log!C84-Log[[#This Row],[Waist (Inches)]]</f>
        <v>0.5</v>
      </c>
      <c r="D83" s="3">
        <f>Log!D84-Log[[#This Row],[Neck (Inches)]]</f>
        <v>0</v>
      </c>
      <c r="E83" s="3">
        <f>Log!E84-Log[[#This Row],[Morning Body Temp]]</f>
        <v>9.9999999999994316E-2</v>
      </c>
      <c r="F83" s="3">
        <f>Log!F84-Log[[#This Row],[Morning Systolic Pressure]]</f>
        <v>-17</v>
      </c>
      <c r="G83" s="3">
        <f>Log!G84-Log[[#This Row],[Morning Diastolic Pressure]]</f>
        <v>-13</v>
      </c>
      <c r="H83" s="3">
        <f>Log!H84-Log[[#This Row],[Morning Pulse]]</f>
        <v>-1</v>
      </c>
      <c r="I83" s="3">
        <f>Log!I84-Log[[#This Row],[Night Body Temp]]</f>
        <v>-0.20000000000000284</v>
      </c>
      <c r="J83" s="3">
        <f>Log!J84-Log[[#This Row],[Night Systolic Pressure]]</f>
        <v>-6</v>
      </c>
      <c r="K83" s="3">
        <f>Log!K84-Log[[#This Row],[Night Diastolic Pressure]]</f>
        <v>1</v>
      </c>
      <c r="L83" s="3">
        <f>Log!L84-Log[[#This Row],[Night Pulse]]</f>
        <v>-9</v>
      </c>
      <c r="M83" s="3">
        <f>Log!M84-Log[[#This Row],[Sleep]]</f>
        <v>1</v>
      </c>
      <c r="N83" s="11">
        <f>Log!N84-Log[[#This Row],[BMI]]</f>
        <v>-0.48779591836734681</v>
      </c>
      <c r="O83" s="11">
        <f>Log!O84-Log[[#This Row],[CBF]]</f>
        <v>0.69821973800965509</v>
      </c>
    </row>
    <row r="84" spans="1:15" x14ac:dyDescent="0.25">
      <c r="A84" s="3" t="str">
        <f>_xlfn.CONCAT(TEXT(Log!A85, "MM/DD/YY")," - ",TEXT(Log!A84, "MM/DD/YY"))</f>
        <v>04/18/24 - 04/17/24</v>
      </c>
      <c r="B84" s="3">
        <f>Log!B85-Log[[#This Row],[Weight (Pounds)]]</f>
        <v>-0.59999999999999432</v>
      </c>
      <c r="C84" s="3">
        <f>Log!C85-Log[[#This Row],[Waist (Inches)]]</f>
        <v>0</v>
      </c>
      <c r="D84" s="3">
        <f>Log!D85-Log[[#This Row],[Neck (Inches)]]</f>
        <v>0</v>
      </c>
      <c r="E84" s="3">
        <f>Log!E85-Log[[#This Row],[Morning Body Temp]]</f>
        <v>0.5</v>
      </c>
      <c r="F84" s="3">
        <f>Log!F85-Log[[#This Row],[Morning Systolic Pressure]]</f>
        <v>12</v>
      </c>
      <c r="G84" s="3">
        <f>Log!G85-Log[[#This Row],[Morning Diastolic Pressure]]</f>
        <v>9</v>
      </c>
      <c r="H84" s="3">
        <f>Log!H85-Log[[#This Row],[Morning Pulse]]</f>
        <v>10</v>
      </c>
      <c r="I84" s="3">
        <f>Log!I85-Log[[#This Row],[Night Body Temp]]</f>
        <v>0.10000000000000853</v>
      </c>
      <c r="J84" s="3">
        <f>Log!J85-Log[[#This Row],[Night Systolic Pressure]]</f>
        <v>3</v>
      </c>
      <c r="K84" s="3">
        <f>Log!K85-Log[[#This Row],[Night Diastolic Pressure]]</f>
        <v>-6</v>
      </c>
      <c r="L84" s="3">
        <f>Log!L85-Log[[#This Row],[Night Pulse]]</f>
        <v>3</v>
      </c>
      <c r="M84" s="3">
        <f>Log!M85-Log[[#This Row],[Sleep]]</f>
        <v>-6</v>
      </c>
      <c r="N84" s="11">
        <f>Log!N85-Log[[#This Row],[BMI]]</f>
        <v>-8.6081632653062456E-2</v>
      </c>
      <c r="O84" s="11">
        <f>Log!O85-Log[[#This Row],[CBF]]</f>
        <v>0</v>
      </c>
    </row>
    <row r="85" spans="1:15" x14ac:dyDescent="0.25">
      <c r="A85" s="3" t="str">
        <f>_xlfn.CONCAT(TEXT(Log!A86, "MM/DD/YY")," - ",TEXT(Log!A85, "MM/DD/YY"))</f>
        <v>04/19/24 - 04/18/24</v>
      </c>
      <c r="B85" s="3">
        <f>Log!B86-Log[[#This Row],[Weight (Pounds)]]</f>
        <v>1.4000000000000057</v>
      </c>
      <c r="C85" s="3">
        <f>Log!C86-Log[[#This Row],[Waist (Inches)]]</f>
        <v>0</v>
      </c>
      <c r="D85" s="3">
        <f>Log!D86-Log[[#This Row],[Neck (Inches)]]</f>
        <v>0</v>
      </c>
      <c r="E85" s="3">
        <f>Log!E86-Log[[#This Row],[Morning Body Temp]]</f>
        <v>0.10000000000000853</v>
      </c>
      <c r="F85" s="3">
        <f>Log!F86-Log[[#This Row],[Morning Systolic Pressure]]</f>
        <v>-5</v>
      </c>
      <c r="G85" s="3">
        <f>Log!G86-Log[[#This Row],[Morning Diastolic Pressure]]</f>
        <v>-2</v>
      </c>
      <c r="H85" s="3">
        <f>Log!H86-Log[[#This Row],[Morning Pulse]]</f>
        <v>-9</v>
      </c>
      <c r="I85" s="3">
        <f>Log!I86-Log[[#This Row],[Night Body Temp]]</f>
        <v>9.9999999999994316E-2</v>
      </c>
      <c r="J85" s="3">
        <f>Log!J86-Log[[#This Row],[Night Systolic Pressure]]</f>
        <v>1</v>
      </c>
      <c r="K85" s="3">
        <f>Log!K86-Log[[#This Row],[Night Diastolic Pressure]]</f>
        <v>1</v>
      </c>
      <c r="L85" s="3">
        <f>Log!L86-Log[[#This Row],[Night Pulse]]</f>
        <v>1</v>
      </c>
      <c r="M85" s="3">
        <f>Log!M86-Log[[#This Row],[Sleep]]</f>
        <v>7</v>
      </c>
      <c r="N85" s="11">
        <f>Log!N86-Log[[#This Row],[BMI]]</f>
        <v>0.20085714285714573</v>
      </c>
      <c r="O85" s="11">
        <f>Log!O86-Log[[#This Row],[CBF]]</f>
        <v>0</v>
      </c>
    </row>
    <row r="86" spans="1:15" x14ac:dyDescent="0.25">
      <c r="A86" s="3" t="str">
        <f>_xlfn.CONCAT(TEXT(Log!A87, "MM/DD/YY")," - ",TEXT(Log!A86, "MM/DD/YY"))</f>
        <v>04/20/24 - 04/19/24</v>
      </c>
      <c r="B86" s="3">
        <f>Log!B87-Log[[#This Row],[Weight (Pounds)]]</f>
        <v>1</v>
      </c>
      <c r="C86" s="3">
        <f>Log!C87-Log[[#This Row],[Waist (Inches)]]</f>
        <v>0</v>
      </c>
      <c r="D86" s="3">
        <f>Log!D87-Log[[#This Row],[Neck (Inches)]]</f>
        <v>0</v>
      </c>
      <c r="E86" s="3">
        <f>Log!E87-Log[[#This Row],[Morning Body Temp]]</f>
        <v>-0.10000000000000853</v>
      </c>
      <c r="F86" s="3">
        <f>Log!F87-Log[[#This Row],[Morning Systolic Pressure]]</f>
        <v>5</v>
      </c>
      <c r="G86" s="3">
        <f>Log!G87-Log[[#This Row],[Morning Diastolic Pressure]]</f>
        <v>3</v>
      </c>
      <c r="H86" s="3">
        <f>Log!H87-Log[[#This Row],[Morning Pulse]]</f>
        <v>10</v>
      </c>
      <c r="I86" s="3">
        <f>Log!I87-Log[[#This Row],[Night Body Temp]]</f>
        <v>0</v>
      </c>
      <c r="J86" s="3">
        <f>Log!J87-Log[[#This Row],[Night Systolic Pressure]]</f>
        <v>-1</v>
      </c>
      <c r="K86" s="3">
        <f>Log!K87-Log[[#This Row],[Night Diastolic Pressure]]</f>
        <v>-1</v>
      </c>
      <c r="L86" s="3">
        <f>Log!L87-Log[[#This Row],[Night Pulse]]</f>
        <v>-1</v>
      </c>
      <c r="M86" s="3">
        <f>Log!M87-Log[[#This Row],[Sleep]]</f>
        <v>1</v>
      </c>
      <c r="N86" s="11">
        <f>Log!N87-Log[[#This Row],[BMI]]</f>
        <v>0.14346938775509699</v>
      </c>
      <c r="O86" s="11">
        <f>Log!O87-Log[[#This Row],[CBF]]</f>
        <v>0</v>
      </c>
    </row>
    <row r="87" spans="1:15" x14ac:dyDescent="0.25">
      <c r="A87" s="3" t="str">
        <f>_xlfn.CONCAT(TEXT(Log!A88, "MM/DD/YY")," - ",TEXT(Log!A87, "MM/DD/YY"))</f>
        <v>04/21/24 - 04/20/24</v>
      </c>
      <c r="B87" s="3">
        <f>Log!B88-Log[[#This Row],[Weight (Pounds)]]</f>
        <v>3.8000000000000114</v>
      </c>
      <c r="C87" s="3">
        <f>Log!C88-Log[[#This Row],[Waist (Inches)]]</f>
        <v>0</v>
      </c>
      <c r="D87" s="3">
        <f>Log!D88-Log[[#This Row],[Neck (Inches)]]</f>
        <v>0</v>
      </c>
      <c r="E87" s="3">
        <f>Log!E88-Log[[#This Row],[Morning Body Temp]]</f>
        <v>-0.29999999999999716</v>
      </c>
      <c r="F87" s="3">
        <f>Log!F88-Log[[#This Row],[Morning Systolic Pressure]]</f>
        <v>-5</v>
      </c>
      <c r="G87" s="3">
        <f>Log!G88-Log[[#This Row],[Morning Diastolic Pressure]]</f>
        <v>-1</v>
      </c>
      <c r="H87" s="3">
        <f>Log!H88-Log[[#This Row],[Morning Pulse]]</f>
        <v>-8</v>
      </c>
      <c r="I87" s="3">
        <f>Log!I88-Log[[#This Row],[Night Body Temp]]</f>
        <v>-9.9999999999994316E-2</v>
      </c>
      <c r="J87" s="3">
        <f>Log!J88-Log[[#This Row],[Night Systolic Pressure]]</f>
        <v>1</v>
      </c>
      <c r="K87" s="3">
        <f>Log!K88-Log[[#This Row],[Night Diastolic Pressure]]</f>
        <v>1</v>
      </c>
      <c r="L87" s="3">
        <f>Log!L88-Log[[#This Row],[Night Pulse]]</f>
        <v>1</v>
      </c>
      <c r="M87" s="3">
        <f>Log!M88-Log[[#This Row],[Sleep]]</f>
        <v>0</v>
      </c>
      <c r="N87" s="11">
        <f>Log!N88-Log[[#This Row],[BMI]]</f>
        <v>0.54518367346939556</v>
      </c>
      <c r="O87" s="11">
        <f>Log!O88-Log[[#This Row],[CBF]]</f>
        <v>0</v>
      </c>
    </row>
    <row r="88" spans="1:15" x14ac:dyDescent="0.25">
      <c r="A88" s="3" t="str">
        <f>_xlfn.CONCAT(TEXT(Log!A89, "MM/DD/YY")," - ",TEXT(Log!A88, "MM/DD/YY"))</f>
        <v>04/22/24 - 04/21/24</v>
      </c>
      <c r="B88" s="3">
        <f>Log!B89-Log[[#This Row],[Weight (Pounds)]]</f>
        <v>3.1999999999999886</v>
      </c>
      <c r="C88" s="3">
        <f>Log!C89-Log[[#This Row],[Waist (Inches)]]</f>
        <v>0</v>
      </c>
      <c r="D88" s="3">
        <f>Log!D89-Log[[#This Row],[Neck (Inches)]]</f>
        <v>0</v>
      </c>
      <c r="E88" s="3">
        <f>Log!E89-Log[[#This Row],[Morning Body Temp]]</f>
        <v>-0.29999999999999716</v>
      </c>
      <c r="F88" s="3">
        <f>Log!F89-Log[[#This Row],[Morning Systolic Pressure]]</f>
        <v>-1</v>
      </c>
      <c r="G88" s="3">
        <f>Log!G89-Log[[#This Row],[Morning Diastolic Pressure]]</f>
        <v>2</v>
      </c>
      <c r="H88" s="3">
        <f>Log!H89-Log[[#This Row],[Morning Pulse]]</f>
        <v>4</v>
      </c>
      <c r="I88" s="3">
        <f>Log!I89-Log[[#This Row],[Night Body Temp]]</f>
        <v>0.39999999999999147</v>
      </c>
      <c r="J88" s="3">
        <f>Log!J89-Log[[#This Row],[Night Systolic Pressure]]</f>
        <v>-6</v>
      </c>
      <c r="K88" s="3">
        <f>Log!K89-Log[[#This Row],[Night Diastolic Pressure]]</f>
        <v>-5</v>
      </c>
      <c r="L88" s="3">
        <f>Log!L89-Log[[#This Row],[Night Pulse]]</f>
        <v>-4</v>
      </c>
      <c r="M88" s="3">
        <f>Log!M89-Log[[#This Row],[Sleep]]</f>
        <v>-2</v>
      </c>
      <c r="N88" s="11">
        <f>Log!N89-Log[[#This Row],[BMI]]</f>
        <v>0.45910204081631889</v>
      </c>
      <c r="O88" s="11">
        <f>Log!O89-Log[[#This Row],[CBF]]</f>
        <v>0</v>
      </c>
    </row>
    <row r="89" spans="1:15" x14ac:dyDescent="0.25">
      <c r="A89" s="3" t="str">
        <f>_xlfn.CONCAT(TEXT(Log!A90, "MM/DD/YY")," - ",TEXT(Log!A89, "MM/DD/YY"))</f>
        <v>04/23/24 - 04/22/24</v>
      </c>
      <c r="B89" s="3">
        <f>Log!B90-Log[[#This Row],[Weight (Pounds)]]</f>
        <v>-3.5999999999999943</v>
      </c>
      <c r="C89" s="3">
        <f>Log!C90-Log[[#This Row],[Waist (Inches)]]</f>
        <v>0</v>
      </c>
      <c r="D89" s="3">
        <f>Log!D90-Log[[#This Row],[Neck (Inches)]]</f>
        <v>0</v>
      </c>
      <c r="E89" s="3">
        <f>Log!E90-Log[[#This Row],[Morning Body Temp]]</f>
        <v>0.59999999999999432</v>
      </c>
      <c r="F89" s="3">
        <f>Log!F90-Log[[#This Row],[Morning Systolic Pressure]]</f>
        <v>2</v>
      </c>
      <c r="G89" s="3">
        <f>Log!G90-Log[[#This Row],[Morning Diastolic Pressure]]</f>
        <v>-6</v>
      </c>
      <c r="H89" s="3">
        <f>Log!H90-Log[[#This Row],[Morning Pulse]]</f>
        <v>-8</v>
      </c>
      <c r="I89" s="3">
        <f>Log!I90-Log[[#This Row],[Night Body Temp]]</f>
        <v>-1.3999999999999915</v>
      </c>
      <c r="J89" s="3">
        <f>Log!J90-Log[[#This Row],[Night Systolic Pressure]]</f>
        <v>-11</v>
      </c>
      <c r="K89" s="3">
        <f>Log!K90-Log[[#This Row],[Night Diastolic Pressure]]</f>
        <v>1</v>
      </c>
      <c r="L89" s="3">
        <f>Log!L90-Log[[#This Row],[Night Pulse]]</f>
        <v>-6</v>
      </c>
      <c r="M89" s="3">
        <f>Log!M90-Log[[#This Row],[Sleep]]</f>
        <v>2</v>
      </c>
      <c r="N89" s="11">
        <f>Log!N90-Log[[#This Row],[BMI]]</f>
        <v>-0.51648979591836053</v>
      </c>
      <c r="O89" s="11">
        <f>Log!O90-Log[[#This Row],[CBF]]</f>
        <v>0</v>
      </c>
    </row>
    <row r="90" spans="1:15" x14ac:dyDescent="0.25">
      <c r="A90" s="3" t="str">
        <f>_xlfn.CONCAT(TEXT(Log!A91, "MM/DD/YY")," - ",TEXT(Log!A90, "MM/DD/YY"))</f>
        <v>04/24/24 - 04/23/24</v>
      </c>
      <c r="B90" s="3">
        <f>Log!B91-Log[[#This Row],[Weight (Pounds)]]</f>
        <v>-1.4000000000000057</v>
      </c>
      <c r="C90" s="3">
        <f>Log!C91-Log[[#This Row],[Waist (Inches)]]</f>
        <v>0.5</v>
      </c>
      <c r="D90" s="3">
        <f>Log!D91-Log[[#This Row],[Neck (Inches)]]</f>
        <v>0</v>
      </c>
      <c r="E90" s="3">
        <f>Log!E91-Log[[#This Row],[Morning Body Temp]]</f>
        <v>-1</v>
      </c>
      <c r="F90" s="3">
        <f>Log!F91-Log[[#This Row],[Morning Systolic Pressure]]</f>
        <v>9</v>
      </c>
      <c r="G90" s="3">
        <f>Log!G91-Log[[#This Row],[Morning Diastolic Pressure]]</f>
        <v>5</v>
      </c>
      <c r="H90" s="3">
        <f>Log!H91-Log[[#This Row],[Morning Pulse]]</f>
        <v>4</v>
      </c>
      <c r="I90" s="3">
        <f>Log!I91-Log[[#This Row],[Night Body Temp]]</f>
        <v>1.0999999999999943</v>
      </c>
      <c r="J90" s="3">
        <f>Log!J91-Log[[#This Row],[Night Systolic Pressure]]</f>
        <v>9</v>
      </c>
      <c r="K90" s="3">
        <f>Log!K91-Log[[#This Row],[Night Diastolic Pressure]]</f>
        <v>1</v>
      </c>
      <c r="L90" s="3">
        <f>Log!L91-Log[[#This Row],[Night Pulse]]</f>
        <v>14</v>
      </c>
      <c r="M90" s="3">
        <f>Log!M91-Log[[#This Row],[Sleep]]</f>
        <v>-5</v>
      </c>
      <c r="N90" s="11">
        <f>Log!N91-Log[[#This Row],[BMI]]</f>
        <v>-0.20085714285714573</v>
      </c>
      <c r="O90" s="11">
        <f>Log!O91-Log[[#This Row],[CBF]]</f>
        <v>0.68540764102638718</v>
      </c>
    </row>
    <row r="91" spans="1:15" x14ac:dyDescent="0.25">
      <c r="A91" s="3" t="str">
        <f>_xlfn.CONCAT(TEXT(Log!A92, "MM/DD/YY")," - ",TEXT(Log!A91, "MM/DD/YY"))</f>
        <v>04/25/24 - 04/24/24</v>
      </c>
      <c r="B91" s="3">
        <f>Log!B92-Log[[#This Row],[Weight (Pounds)]]</f>
        <v>1.4000000000000057</v>
      </c>
      <c r="C91" s="3">
        <f>Log!C92-Log[[#This Row],[Waist (Inches)]]</f>
        <v>-0.5</v>
      </c>
      <c r="D91" s="3">
        <f>Log!D92-Log[[#This Row],[Neck (Inches)]]</f>
        <v>0</v>
      </c>
      <c r="E91" s="3">
        <f>Log!E92-Log[[#This Row],[Morning Body Temp]]</f>
        <v>0.10000000000000853</v>
      </c>
      <c r="F91" s="3">
        <f>Log!F92-Log[[#This Row],[Morning Systolic Pressure]]</f>
        <v>-1</v>
      </c>
      <c r="G91" s="3">
        <f>Log!G92-Log[[#This Row],[Morning Diastolic Pressure]]</f>
        <v>-3</v>
      </c>
      <c r="H91" s="3">
        <f>Log!H92-Log[[#This Row],[Morning Pulse]]</f>
        <v>4</v>
      </c>
      <c r="I91" s="3">
        <f>Log!I92-Log[[#This Row],[Night Body Temp]]</f>
        <v>-9.9999999999994316E-2</v>
      </c>
      <c r="J91" s="3">
        <f>Log!J92-Log[[#This Row],[Night Systolic Pressure]]</f>
        <v>-8</v>
      </c>
      <c r="K91" s="3">
        <f>Log!K92-Log[[#This Row],[Night Diastolic Pressure]]</f>
        <v>4</v>
      </c>
      <c r="L91" s="3">
        <f>Log!L92-Log[[#This Row],[Night Pulse]]</f>
        <v>-5</v>
      </c>
      <c r="M91" s="3">
        <f>Log!M92-Log[[#This Row],[Sleep]]</f>
        <v>2</v>
      </c>
      <c r="N91" s="11">
        <f>Log!N92-Log[[#This Row],[BMI]]</f>
        <v>0.20085714285714573</v>
      </c>
      <c r="O91" s="11">
        <f>Log!O92-Log[[#This Row],[CBF]]</f>
        <v>-0.68540764102638718</v>
      </c>
    </row>
    <row r="92" spans="1:15" x14ac:dyDescent="0.25">
      <c r="A92" s="3" t="str">
        <f>_xlfn.CONCAT(TEXT(Log!A93, "MM/DD/YY")," - ",TEXT(Log!A92, "MM/DD/YY"))</f>
        <v>04/26/24 - 04/25/24</v>
      </c>
      <c r="B92" s="3">
        <f>Log!B93-Log[[#This Row],[Weight (Pounds)]]</f>
        <v>-2</v>
      </c>
      <c r="C92" s="3">
        <f>Log!C93-Log[[#This Row],[Waist (Inches)]]</f>
        <v>0</v>
      </c>
      <c r="D92" s="3">
        <f>Log!D93-Log[[#This Row],[Neck (Inches)]]</f>
        <v>0</v>
      </c>
      <c r="E92" s="3">
        <f>Log!E93-Log[[#This Row],[Morning Body Temp]]</f>
        <v>0</v>
      </c>
      <c r="F92" s="3">
        <f>Log!F93-Log[[#This Row],[Morning Systolic Pressure]]</f>
        <v>-5</v>
      </c>
      <c r="G92" s="3">
        <f>Log!G93-Log[[#This Row],[Morning Diastolic Pressure]]</f>
        <v>2</v>
      </c>
      <c r="H92" s="3">
        <f>Log!H93-Log[[#This Row],[Morning Pulse]]</f>
        <v>2</v>
      </c>
      <c r="I92" s="3">
        <f>Log!I93-Log[[#This Row],[Night Body Temp]]</f>
        <v>-1</v>
      </c>
      <c r="J92" s="3">
        <f>Log!J93-Log[[#This Row],[Night Systolic Pressure]]</f>
        <v>28</v>
      </c>
      <c r="K92" s="3">
        <f>Log!K93-Log[[#This Row],[Night Diastolic Pressure]]</f>
        <v>2</v>
      </c>
      <c r="L92" s="3">
        <f>Log!L93-Log[[#This Row],[Night Pulse]]</f>
        <v>5</v>
      </c>
      <c r="M92" s="3">
        <f>Log!M93-Log[[#This Row],[Sleep]]</f>
        <v>-2</v>
      </c>
      <c r="N92" s="11">
        <f>Log!N93-Log[[#This Row],[BMI]]</f>
        <v>-0.28693877551020819</v>
      </c>
      <c r="O92" s="11">
        <f>Log!O93-Log[[#This Row],[CBF]]</f>
        <v>0</v>
      </c>
    </row>
    <row r="93" spans="1:15" x14ac:dyDescent="0.25">
      <c r="A93" s="3" t="str">
        <f>_xlfn.CONCAT(TEXT(Log!A94, "MM/DD/YY")," - ",TEXT(Log!A93, "MM/DD/YY"))</f>
        <v>04/27/24 - 04/26/24</v>
      </c>
      <c r="B93" s="3">
        <f>Log!B94-Log[[#This Row],[Weight (Pounds)]]</f>
        <v>3.4000000000000057</v>
      </c>
      <c r="C93" s="3">
        <f>Log!C94-Log[[#This Row],[Waist (Inches)]]</f>
        <v>0.5</v>
      </c>
      <c r="D93" s="3">
        <f>Log!D94-Log[[#This Row],[Neck (Inches)]]</f>
        <v>0</v>
      </c>
      <c r="E93" s="3">
        <f>Log!E94-Log[[#This Row],[Morning Body Temp]]</f>
        <v>2.0999999999999943</v>
      </c>
      <c r="F93" s="3">
        <f>Log!F94-Log[[#This Row],[Morning Systolic Pressure]]</f>
        <v>24</v>
      </c>
      <c r="G93" s="3">
        <f>Log!G94-Log[[#This Row],[Morning Diastolic Pressure]]</f>
        <v>7</v>
      </c>
      <c r="H93" s="3">
        <f>Log!H94-Log[[#This Row],[Morning Pulse]]</f>
        <v>13</v>
      </c>
      <c r="I93" s="3">
        <f>Log!I94-Log[[#This Row],[Night Body Temp]]</f>
        <v>0.70000000000000284</v>
      </c>
      <c r="J93" s="3">
        <f>Log!J94-Log[[#This Row],[Night Systolic Pressure]]</f>
        <v>0</v>
      </c>
      <c r="K93" s="3">
        <f>Log!K94-Log[[#This Row],[Night Diastolic Pressure]]</f>
        <v>1</v>
      </c>
      <c r="L93" s="3">
        <f>Log!L94-Log[[#This Row],[Night Pulse]]</f>
        <v>5</v>
      </c>
      <c r="M93" s="3">
        <f>Log!M94-Log[[#This Row],[Sleep]]</f>
        <v>3</v>
      </c>
      <c r="N93" s="11">
        <f>Log!N94-Log[[#This Row],[BMI]]</f>
        <v>0.48779591836734681</v>
      </c>
      <c r="O93" s="11">
        <f>Log!O94-Log[[#This Row],[CBF]]</f>
        <v>0.68540764102638718</v>
      </c>
    </row>
    <row r="94" spans="1:15" x14ac:dyDescent="0.25">
      <c r="A94" s="3" t="str">
        <f>_xlfn.CONCAT(TEXT(Log!A95, "MM/DD/YY")," - ",TEXT(Log!A94, "MM/DD/YY"))</f>
        <v>04/28/24 - 04/27/24</v>
      </c>
      <c r="B94" s="3">
        <f>Log!B95-Log[[#This Row],[Weight (Pounds)]]</f>
        <v>-0.20000000000001705</v>
      </c>
      <c r="C94" s="3">
        <f>Log!C95-Log[[#This Row],[Waist (Inches)]]</f>
        <v>0.5</v>
      </c>
      <c r="D94" s="3">
        <f>Log!D95-Log[[#This Row],[Neck (Inches)]]</f>
        <v>0</v>
      </c>
      <c r="E94" s="3">
        <f>Log!E95-Log[[#This Row],[Morning Body Temp]]</f>
        <v>-1.5999999999999943</v>
      </c>
      <c r="F94" s="3">
        <f>Log!F95-Log[[#This Row],[Morning Systolic Pressure]]</f>
        <v>-27</v>
      </c>
      <c r="G94" s="3">
        <f>Log!G95-Log[[#This Row],[Morning Diastolic Pressure]]</f>
        <v>-2</v>
      </c>
      <c r="H94" s="3">
        <f>Log!H95-Log[[#This Row],[Morning Pulse]]</f>
        <v>-25</v>
      </c>
      <c r="I94" s="3">
        <f>Log!I95-Log[[#This Row],[Night Body Temp]]</f>
        <v>-96.9</v>
      </c>
      <c r="J94" s="3">
        <f>Log!J95-Log[[#This Row],[Night Systolic Pressure]]</f>
        <v>-148</v>
      </c>
      <c r="K94" s="3">
        <f>Log!K95-Log[[#This Row],[Night Diastolic Pressure]]</f>
        <v>-81</v>
      </c>
      <c r="L94" s="3">
        <f>Log!L95-Log[[#This Row],[Night Pulse]]</f>
        <v>-82</v>
      </c>
      <c r="M94" s="3">
        <f>Log!M95-Log[[#This Row],[Sleep]]</f>
        <v>-1</v>
      </c>
      <c r="N94" s="11">
        <f>Log!N95-Log[[#This Row],[BMI]]</f>
        <v>-2.8693877551020819E-2</v>
      </c>
      <c r="O94" s="11">
        <f>Log!O95-Log[[#This Row],[CBF]]</f>
        <v>0.67305727940338045</v>
      </c>
    </row>
    <row r="95" spans="1:15" x14ac:dyDescent="0.25">
      <c r="A95" s="3" t="str">
        <f>_xlfn.CONCAT(TEXT(Log!A96, "MM/DD/YY")," - ",TEXT(Log!A95, "MM/DD/YY"))</f>
        <v>04/29/24 - 04/28/24</v>
      </c>
      <c r="B95" s="3">
        <f>Log!B96-Log[[#This Row],[Weight (Pounds)]]</f>
        <v>-255.6</v>
      </c>
      <c r="C95" s="3">
        <f>Log!C96-Log[[#This Row],[Waist (Inches)]]</f>
        <v>-44.5</v>
      </c>
      <c r="D95" s="3">
        <f>Log!D96-Log[[#This Row],[Neck (Inches)]]</f>
        <v>-16.5</v>
      </c>
      <c r="E95" s="3">
        <f>Log!E96-Log[[#This Row],[Morning Body Temp]]</f>
        <v>-96.4</v>
      </c>
      <c r="F95" s="3">
        <f>Log!F96-Log[[#This Row],[Morning Systolic Pressure]]</f>
        <v>-132</v>
      </c>
      <c r="G95" s="3">
        <f>Log!G96-Log[[#This Row],[Morning Diastolic Pressure]]</f>
        <v>-81</v>
      </c>
      <c r="H95" s="3">
        <f>Log!H96-Log[[#This Row],[Morning Pulse]]</f>
        <v>-62</v>
      </c>
      <c r="I95" s="3">
        <f>Log!I96-Log[[#This Row],[Night Body Temp]]</f>
        <v>0</v>
      </c>
      <c r="J95" s="3">
        <f>Log!J96-Log[[#This Row],[Night Systolic Pressure]]</f>
        <v>0</v>
      </c>
      <c r="K95" s="3">
        <f>Log!K96-Log[[#This Row],[Night Diastolic Pressure]]</f>
        <v>0</v>
      </c>
      <c r="L95" s="3">
        <f>Log!L96-Log[[#This Row],[Night Pulse]]</f>
        <v>0</v>
      </c>
      <c r="M95" s="3">
        <f>Log!M96-Log[[#This Row],[Sleep]]</f>
        <v>-7</v>
      </c>
      <c r="N95" s="11">
        <f>Log!N96-Log[[#This Row],[BMI]]</f>
        <v>-36.670775510204081</v>
      </c>
      <c r="O95" s="11" t="e">
        <f>Log!O96-Log[[#This Row],[CBF]]</f>
        <v>#NUM!</v>
      </c>
    </row>
    <row r="96" spans="1:15" x14ac:dyDescent="0.25">
      <c r="A96" s="3" t="str">
        <f>_xlfn.CONCAT(TEXT(Log!A97, "MM/DD/YY")," - ",TEXT(Log!A96, "MM/DD/YY"))</f>
        <v>04/30/24 - 04/29/24</v>
      </c>
      <c r="B96" s="3">
        <f>Log!B97-Log[[#This Row],[Weight (Pounds)]]</f>
        <v>0</v>
      </c>
      <c r="C96" s="3">
        <f>Log!C97-Log[[#This Row],[Waist (Inches)]]</f>
        <v>0</v>
      </c>
      <c r="D96" s="3">
        <f>Log!D97-Log[[#This Row],[Neck (Inches)]]</f>
        <v>0</v>
      </c>
      <c r="E96" s="3">
        <f>Log!E97-Log[[#This Row],[Morning Body Temp]]</f>
        <v>0</v>
      </c>
      <c r="F96" s="3">
        <f>Log!F97-Log[[#This Row],[Morning Systolic Pressure]]</f>
        <v>0</v>
      </c>
      <c r="G96" s="3">
        <f>Log!G97-Log[[#This Row],[Morning Diastolic Pressure]]</f>
        <v>0</v>
      </c>
      <c r="H96" s="3">
        <f>Log!H97-Log[[#This Row],[Morning Pulse]]</f>
        <v>0</v>
      </c>
      <c r="I96" s="3">
        <f>Log!I97-Log[[#This Row],[Night Body Temp]]</f>
        <v>0</v>
      </c>
      <c r="J96" s="3">
        <f>Log!J97-Log[[#This Row],[Night Systolic Pressure]]</f>
        <v>0</v>
      </c>
      <c r="K96" s="3">
        <f>Log!K97-Log[[#This Row],[Night Diastolic Pressure]]</f>
        <v>0</v>
      </c>
      <c r="L96" s="3">
        <f>Log!L97-Log[[#This Row],[Night Pulse]]</f>
        <v>0</v>
      </c>
      <c r="M96" s="3">
        <f>Log!M97-Log[[#This Row],[Sleep]]</f>
        <v>0</v>
      </c>
      <c r="N96" s="11">
        <f>Log!N97-Log[[#This Row],[BMI]]</f>
        <v>0</v>
      </c>
      <c r="O96" s="11" t="e">
        <f>Log!O97-Log[[#This Row],[CBF]]</f>
        <v>#NUM!</v>
      </c>
    </row>
    <row r="97" spans="1:15" x14ac:dyDescent="0.25">
      <c r="A97" s="3" t="str">
        <f>_xlfn.CONCAT(TEXT(Log!A98, "MM/DD/YY")," - ",TEXT(Log!A97, "MM/DD/YY"))</f>
        <v>05/01/24 - 04/30/24</v>
      </c>
      <c r="B97" s="3">
        <f>Log!B98-Log[[#This Row],[Weight (Pounds)]]</f>
        <v>0</v>
      </c>
      <c r="C97" s="3">
        <f>Log!C98-Log[[#This Row],[Waist (Inches)]]</f>
        <v>0</v>
      </c>
      <c r="D97" s="3">
        <f>Log!D98-Log[[#This Row],[Neck (Inches)]]</f>
        <v>0</v>
      </c>
      <c r="E97" s="3">
        <f>Log!E98-Log[[#This Row],[Morning Body Temp]]</f>
        <v>0</v>
      </c>
      <c r="F97" s="3">
        <f>Log!F98-Log[[#This Row],[Morning Systolic Pressure]]</f>
        <v>0</v>
      </c>
      <c r="G97" s="3">
        <f>Log!G98-Log[[#This Row],[Morning Diastolic Pressure]]</f>
        <v>0</v>
      </c>
      <c r="H97" s="3">
        <f>Log!H98-Log[[#This Row],[Morning Pulse]]</f>
        <v>0</v>
      </c>
      <c r="I97" s="3">
        <f>Log!I98-Log[[#This Row],[Night Body Temp]]</f>
        <v>0</v>
      </c>
      <c r="J97" s="3">
        <f>Log!J98-Log[[#This Row],[Night Systolic Pressure]]</f>
        <v>0</v>
      </c>
      <c r="K97" s="3">
        <f>Log!K98-Log[[#This Row],[Night Diastolic Pressure]]</f>
        <v>0</v>
      </c>
      <c r="L97" s="3">
        <f>Log!L98-Log[[#This Row],[Night Pulse]]</f>
        <v>0</v>
      </c>
      <c r="M97" s="3">
        <f>Log!M98-Log[[#This Row],[Sleep]]</f>
        <v>0</v>
      </c>
      <c r="N97" s="11">
        <f>Log!N98-Log[[#This Row],[BMI]]</f>
        <v>0</v>
      </c>
      <c r="O97" s="11" t="e">
        <f>Log!O98-Log[[#This Row],[CBF]]</f>
        <v>#NUM!</v>
      </c>
    </row>
    <row r="98" spans="1:15" x14ac:dyDescent="0.25">
      <c r="A98" s="3" t="str">
        <f>_xlfn.CONCAT(TEXT(Log!A99, "MM/DD/YY")," - ",TEXT(Log!A98, "MM/DD/YY"))</f>
        <v>05/02/24 - 05/01/24</v>
      </c>
      <c r="B98" s="3">
        <f>Log!B99-Log[[#This Row],[Weight (Pounds)]]</f>
        <v>0</v>
      </c>
      <c r="C98" s="3">
        <f>Log!C99-Log[[#This Row],[Waist (Inches)]]</f>
        <v>0</v>
      </c>
      <c r="D98" s="3">
        <f>Log!D99-Log[[#This Row],[Neck (Inches)]]</f>
        <v>0</v>
      </c>
      <c r="E98" s="3">
        <f>Log!E99-Log[[#This Row],[Morning Body Temp]]</f>
        <v>0</v>
      </c>
      <c r="F98" s="3">
        <f>Log!F99-Log[[#This Row],[Morning Systolic Pressure]]</f>
        <v>0</v>
      </c>
      <c r="G98" s="3">
        <f>Log!G99-Log[[#This Row],[Morning Diastolic Pressure]]</f>
        <v>0</v>
      </c>
      <c r="H98" s="3">
        <f>Log!H99-Log[[#This Row],[Morning Pulse]]</f>
        <v>0</v>
      </c>
      <c r="I98" s="3">
        <f>Log!I99-Log[[#This Row],[Night Body Temp]]</f>
        <v>0</v>
      </c>
      <c r="J98" s="3">
        <f>Log!J99-Log[[#This Row],[Night Systolic Pressure]]</f>
        <v>0</v>
      </c>
      <c r="K98" s="3">
        <f>Log!K99-Log[[#This Row],[Night Diastolic Pressure]]</f>
        <v>0</v>
      </c>
      <c r="L98" s="3">
        <f>Log!L99-Log[[#This Row],[Night Pulse]]</f>
        <v>0</v>
      </c>
      <c r="M98" s="3">
        <f>Log!M99-Log[[#This Row],[Sleep]]</f>
        <v>0</v>
      </c>
      <c r="N98" s="11">
        <f>Log!N99-Log[[#This Row],[BMI]]</f>
        <v>0</v>
      </c>
      <c r="O98" s="11" t="e">
        <f>Log!O99-Log[[#This Row],[CBF]]</f>
        <v>#NUM!</v>
      </c>
    </row>
    <row r="99" spans="1:15" x14ac:dyDescent="0.25">
      <c r="A99" s="3" t="str">
        <f>_xlfn.CONCAT(TEXT(Log!A100, "MM/DD/YY")," - ",TEXT(Log!A99, "MM/DD/YY"))</f>
        <v>05/03/24 - 05/02/24</v>
      </c>
      <c r="B99" s="3">
        <f>Log!B100-Log[[#This Row],[Weight (Pounds)]]</f>
        <v>0</v>
      </c>
      <c r="C99" s="3">
        <f>Log!C100-Log[[#This Row],[Waist (Inches)]]</f>
        <v>0</v>
      </c>
      <c r="D99" s="3">
        <f>Log!D100-Log[[#This Row],[Neck (Inches)]]</f>
        <v>0</v>
      </c>
      <c r="E99" s="3">
        <f>Log!E100-Log[[#This Row],[Morning Body Temp]]</f>
        <v>0</v>
      </c>
      <c r="F99" s="3">
        <f>Log!F100-Log[[#This Row],[Morning Systolic Pressure]]</f>
        <v>0</v>
      </c>
      <c r="G99" s="3">
        <f>Log!G100-Log[[#This Row],[Morning Diastolic Pressure]]</f>
        <v>0</v>
      </c>
      <c r="H99" s="3">
        <f>Log!H100-Log[[#This Row],[Morning Pulse]]</f>
        <v>0</v>
      </c>
      <c r="I99" s="3">
        <f>Log!I100-Log[[#This Row],[Night Body Temp]]</f>
        <v>0</v>
      </c>
      <c r="J99" s="3">
        <f>Log!J100-Log[[#This Row],[Night Systolic Pressure]]</f>
        <v>0</v>
      </c>
      <c r="K99" s="3">
        <f>Log!K100-Log[[#This Row],[Night Diastolic Pressure]]</f>
        <v>0</v>
      </c>
      <c r="L99" s="3">
        <f>Log!L100-Log[[#This Row],[Night Pulse]]</f>
        <v>0</v>
      </c>
      <c r="M99" s="3">
        <f>Log!M100-Log[[#This Row],[Sleep]]</f>
        <v>0</v>
      </c>
      <c r="N99" s="11">
        <f>Log!N100-Log[[#This Row],[BMI]]</f>
        <v>0</v>
      </c>
      <c r="O99" s="11" t="e">
        <f>Log!O100-Log[[#This Row],[CBF]]</f>
        <v>#NUM!</v>
      </c>
    </row>
    <row r="100" spans="1:15" x14ac:dyDescent="0.25">
      <c r="A100" s="3" t="str">
        <f>_xlfn.CONCAT(TEXT(Log!A101, "MM/DD/YY")," - ",TEXT(Log!A100, "MM/DD/YY"))</f>
        <v>05/04/24 - 05/03/24</v>
      </c>
      <c r="B100" s="3">
        <f>Log!B101-Log[[#This Row],[Weight (Pounds)]]</f>
        <v>0</v>
      </c>
      <c r="C100" s="3">
        <f>Log!C101-Log[[#This Row],[Waist (Inches)]]</f>
        <v>0</v>
      </c>
      <c r="D100" s="3">
        <f>Log!D101-Log[[#This Row],[Neck (Inches)]]</f>
        <v>0</v>
      </c>
      <c r="E100" s="3">
        <f>Log!E101-Log[[#This Row],[Morning Body Temp]]</f>
        <v>0</v>
      </c>
      <c r="F100" s="3">
        <f>Log!F101-Log[[#This Row],[Morning Systolic Pressure]]</f>
        <v>0</v>
      </c>
      <c r="G100" s="3">
        <f>Log!G101-Log[[#This Row],[Morning Diastolic Pressure]]</f>
        <v>0</v>
      </c>
      <c r="H100" s="3">
        <f>Log!H101-Log[[#This Row],[Morning Pulse]]</f>
        <v>0</v>
      </c>
      <c r="I100" s="3">
        <f>Log!I101-Log[[#This Row],[Night Body Temp]]</f>
        <v>0</v>
      </c>
      <c r="J100" s="3">
        <f>Log!J101-Log[[#This Row],[Night Systolic Pressure]]</f>
        <v>0</v>
      </c>
      <c r="K100" s="3">
        <f>Log!K101-Log[[#This Row],[Night Diastolic Pressure]]</f>
        <v>0</v>
      </c>
      <c r="L100" s="3">
        <f>Log!L101-Log[[#This Row],[Night Pulse]]</f>
        <v>0</v>
      </c>
      <c r="M100" s="3">
        <f>Log!M101-Log[[#This Row],[Sleep]]</f>
        <v>0</v>
      </c>
      <c r="N100" s="11">
        <f>Log!N101-Log[[#This Row],[BMI]]</f>
        <v>0</v>
      </c>
      <c r="O100" s="11" t="e">
        <f>Log!O101-Log[[#This Row],[CBF]]</f>
        <v>#NUM!</v>
      </c>
    </row>
    <row r="101" spans="1:15" x14ac:dyDescent="0.25">
      <c r="A101" s="3" t="str">
        <f>_xlfn.CONCAT(TEXT(Log!A102, "MM/DD/YY")," - ",TEXT(Log!A101, "MM/DD/YY"))</f>
        <v>05/05/24 - 05/04/24</v>
      </c>
      <c r="B101" s="3">
        <f>Log!B102-Log[[#This Row],[Weight (Pounds)]]</f>
        <v>0</v>
      </c>
      <c r="C101" s="3">
        <f>Log!C102-Log[[#This Row],[Waist (Inches)]]</f>
        <v>0</v>
      </c>
      <c r="D101" s="3">
        <f>Log!D102-Log[[#This Row],[Neck (Inches)]]</f>
        <v>0</v>
      </c>
      <c r="E101" s="3">
        <f>Log!E102-Log[[#This Row],[Morning Body Temp]]</f>
        <v>0</v>
      </c>
      <c r="F101" s="3">
        <f>Log!F102-Log[[#This Row],[Morning Systolic Pressure]]</f>
        <v>0</v>
      </c>
      <c r="G101" s="3">
        <f>Log!G102-Log[[#This Row],[Morning Diastolic Pressure]]</f>
        <v>0</v>
      </c>
      <c r="H101" s="3">
        <f>Log!H102-Log[[#This Row],[Morning Pulse]]</f>
        <v>0</v>
      </c>
      <c r="I101" s="3">
        <f>Log!I102-Log[[#This Row],[Night Body Temp]]</f>
        <v>0</v>
      </c>
      <c r="J101" s="3">
        <f>Log!J102-Log[[#This Row],[Night Systolic Pressure]]</f>
        <v>0</v>
      </c>
      <c r="K101" s="3">
        <f>Log!K102-Log[[#This Row],[Night Diastolic Pressure]]</f>
        <v>0</v>
      </c>
      <c r="L101" s="3">
        <f>Log!L102-Log[[#This Row],[Night Pulse]]</f>
        <v>0</v>
      </c>
      <c r="M101" s="3">
        <f>Log!M102-Log[[#This Row],[Sleep]]</f>
        <v>0</v>
      </c>
      <c r="N101" s="11">
        <f>Log!N102-Log[[#This Row],[BMI]]</f>
        <v>0</v>
      </c>
      <c r="O101" s="11" t="e">
        <f>Log!O102-Log[[#This Row],[CBF]]</f>
        <v>#NUM!</v>
      </c>
    </row>
    <row r="102" spans="1:15" x14ac:dyDescent="0.25">
      <c r="A102" s="3" t="str">
        <f>_xlfn.CONCAT(TEXT(Log!A103, "MM/DD/YY")," - ",TEXT(Log!A102, "MM/DD/YY"))</f>
        <v>05/06/24 - 05/05/24</v>
      </c>
      <c r="B102" s="3">
        <f>Log!B103-Log[[#This Row],[Weight (Pounds)]]</f>
        <v>0</v>
      </c>
      <c r="C102" s="3">
        <f>Log!C103-Log[[#This Row],[Waist (Inches)]]</f>
        <v>0</v>
      </c>
      <c r="D102" s="3">
        <f>Log!D103-Log[[#This Row],[Neck (Inches)]]</f>
        <v>0</v>
      </c>
      <c r="E102" s="3">
        <f>Log!E103-Log[[#This Row],[Morning Body Temp]]</f>
        <v>0</v>
      </c>
      <c r="F102" s="3">
        <f>Log!F103-Log[[#This Row],[Morning Systolic Pressure]]</f>
        <v>0</v>
      </c>
      <c r="G102" s="3">
        <f>Log!G103-Log[[#This Row],[Morning Diastolic Pressure]]</f>
        <v>0</v>
      </c>
      <c r="H102" s="3">
        <f>Log!H103-Log[[#This Row],[Morning Pulse]]</f>
        <v>0</v>
      </c>
      <c r="I102" s="3">
        <f>Log!I103-Log[[#This Row],[Night Body Temp]]</f>
        <v>0</v>
      </c>
      <c r="J102" s="3">
        <f>Log!J103-Log[[#This Row],[Night Systolic Pressure]]</f>
        <v>0</v>
      </c>
      <c r="K102" s="3">
        <f>Log!K103-Log[[#This Row],[Night Diastolic Pressure]]</f>
        <v>0</v>
      </c>
      <c r="L102" s="3">
        <f>Log!L103-Log[[#This Row],[Night Pulse]]</f>
        <v>0</v>
      </c>
      <c r="M102" s="3">
        <f>Log!M103-Log[[#This Row],[Sleep]]</f>
        <v>0</v>
      </c>
      <c r="N102" s="11">
        <f>Log!N103-Log[[#This Row],[BMI]]</f>
        <v>0</v>
      </c>
      <c r="O102" s="11" t="e">
        <f>Log!O103-Log[[#This Row],[CBF]]</f>
        <v>#NUM!</v>
      </c>
    </row>
    <row r="103" spans="1:15" x14ac:dyDescent="0.25">
      <c r="A103" s="3" t="str">
        <f>_xlfn.CONCAT(TEXT(Log!A104, "MM/DD/YY")," - ",TEXT(Log!A103, "MM/DD/YY"))</f>
        <v>05/07/24 - 05/06/24</v>
      </c>
      <c r="B103" s="3">
        <f>Log!B104-Log[[#This Row],[Weight (Pounds)]]</f>
        <v>0</v>
      </c>
      <c r="C103" s="3">
        <f>Log!C104-Log[[#This Row],[Waist (Inches)]]</f>
        <v>0</v>
      </c>
      <c r="D103" s="3">
        <f>Log!D104-Log[[#This Row],[Neck (Inches)]]</f>
        <v>0</v>
      </c>
      <c r="E103" s="3">
        <f>Log!E104-Log[[#This Row],[Morning Body Temp]]</f>
        <v>0</v>
      </c>
      <c r="F103" s="3">
        <f>Log!F104-Log[[#This Row],[Morning Systolic Pressure]]</f>
        <v>0</v>
      </c>
      <c r="G103" s="3">
        <f>Log!G104-Log[[#This Row],[Morning Diastolic Pressure]]</f>
        <v>0</v>
      </c>
      <c r="H103" s="3">
        <f>Log!H104-Log[[#This Row],[Morning Pulse]]</f>
        <v>0</v>
      </c>
      <c r="I103" s="3">
        <f>Log!I104-Log[[#This Row],[Night Body Temp]]</f>
        <v>0</v>
      </c>
      <c r="J103" s="3">
        <f>Log!J104-Log[[#This Row],[Night Systolic Pressure]]</f>
        <v>0</v>
      </c>
      <c r="K103" s="3">
        <f>Log!K104-Log[[#This Row],[Night Diastolic Pressure]]</f>
        <v>0</v>
      </c>
      <c r="L103" s="3">
        <f>Log!L104-Log[[#This Row],[Night Pulse]]</f>
        <v>0</v>
      </c>
      <c r="M103" s="3">
        <f>Log!M104-Log[[#This Row],[Sleep]]</f>
        <v>0</v>
      </c>
      <c r="N103" s="11">
        <f>Log!N104-Log[[#This Row],[BMI]]</f>
        <v>0</v>
      </c>
      <c r="O103" s="11" t="e">
        <f>Log!O104-Log[[#This Row],[CBF]]</f>
        <v>#NUM!</v>
      </c>
    </row>
    <row r="104" spans="1:15" x14ac:dyDescent="0.25">
      <c r="A104" s="3" t="str">
        <f>_xlfn.CONCAT(TEXT(Log!A105, "MM/DD/YY")," - ",TEXT(Log!A104, "MM/DD/YY"))</f>
        <v>05/08/24 - 05/07/24</v>
      </c>
      <c r="B104" s="3">
        <f>Log!B105-Log[[#This Row],[Weight (Pounds)]]</f>
        <v>0</v>
      </c>
      <c r="C104" s="3">
        <f>Log!C105-Log[[#This Row],[Waist (Inches)]]</f>
        <v>0</v>
      </c>
      <c r="D104" s="3">
        <f>Log!D105-Log[[#This Row],[Neck (Inches)]]</f>
        <v>0</v>
      </c>
      <c r="E104" s="3">
        <f>Log!E105-Log[[#This Row],[Morning Body Temp]]</f>
        <v>0</v>
      </c>
      <c r="F104" s="3">
        <f>Log!F105-Log[[#This Row],[Morning Systolic Pressure]]</f>
        <v>0</v>
      </c>
      <c r="G104" s="3">
        <f>Log!G105-Log[[#This Row],[Morning Diastolic Pressure]]</f>
        <v>0</v>
      </c>
      <c r="H104" s="3">
        <f>Log!H105-Log[[#This Row],[Morning Pulse]]</f>
        <v>0</v>
      </c>
      <c r="I104" s="3">
        <f>Log!I105-Log[[#This Row],[Night Body Temp]]</f>
        <v>0</v>
      </c>
      <c r="J104" s="3">
        <f>Log!J105-Log[[#This Row],[Night Systolic Pressure]]</f>
        <v>0</v>
      </c>
      <c r="K104" s="3">
        <f>Log!K105-Log[[#This Row],[Night Diastolic Pressure]]</f>
        <v>0</v>
      </c>
      <c r="L104" s="3">
        <f>Log!L105-Log[[#This Row],[Night Pulse]]</f>
        <v>0</v>
      </c>
      <c r="M104" s="3">
        <f>Log!M105-Log[[#This Row],[Sleep]]</f>
        <v>0</v>
      </c>
      <c r="N104" s="11">
        <f>Log!N105-Log[[#This Row],[BMI]]</f>
        <v>0</v>
      </c>
      <c r="O104" s="11" t="e">
        <f>Log!O105-Log[[#This Row],[CBF]]</f>
        <v>#NUM!</v>
      </c>
    </row>
    <row r="105" spans="1:15" x14ac:dyDescent="0.25">
      <c r="A105" s="3" t="str">
        <f>_xlfn.CONCAT(TEXT(Log!A106, "MM/DD/YY")," - ",TEXT(Log!A105, "MM/DD/YY"))</f>
        <v>05/09/24 - 05/08/24</v>
      </c>
      <c r="B105" s="3">
        <f>Log!B106-Log[[#This Row],[Weight (Pounds)]]</f>
        <v>0</v>
      </c>
      <c r="C105" s="3">
        <f>Log!C106-Log[[#This Row],[Waist (Inches)]]</f>
        <v>0</v>
      </c>
      <c r="D105" s="3">
        <f>Log!D106-Log[[#This Row],[Neck (Inches)]]</f>
        <v>0</v>
      </c>
      <c r="E105" s="3">
        <f>Log!E106-Log[[#This Row],[Morning Body Temp]]</f>
        <v>0</v>
      </c>
      <c r="F105" s="3">
        <f>Log!F106-Log[[#This Row],[Morning Systolic Pressure]]</f>
        <v>0</v>
      </c>
      <c r="G105" s="3">
        <f>Log!G106-Log[[#This Row],[Morning Diastolic Pressure]]</f>
        <v>0</v>
      </c>
      <c r="H105" s="3">
        <f>Log!H106-Log[[#This Row],[Morning Pulse]]</f>
        <v>0</v>
      </c>
      <c r="I105" s="3">
        <f>Log!I106-Log[[#This Row],[Night Body Temp]]</f>
        <v>0</v>
      </c>
      <c r="J105" s="3">
        <f>Log!J106-Log[[#This Row],[Night Systolic Pressure]]</f>
        <v>0</v>
      </c>
      <c r="K105" s="3">
        <f>Log!K106-Log[[#This Row],[Night Diastolic Pressure]]</f>
        <v>0</v>
      </c>
      <c r="L105" s="3">
        <f>Log!L106-Log[[#This Row],[Night Pulse]]</f>
        <v>0</v>
      </c>
      <c r="M105" s="3">
        <f>Log!M106-Log[[#This Row],[Sleep]]</f>
        <v>0</v>
      </c>
      <c r="N105" s="11">
        <f>Log!N106-Log[[#This Row],[BMI]]</f>
        <v>0</v>
      </c>
      <c r="O105" s="11" t="e">
        <f>Log!O106-Log[[#This Row],[CBF]]</f>
        <v>#NUM!</v>
      </c>
    </row>
    <row r="106" spans="1:15" x14ac:dyDescent="0.25">
      <c r="A106" s="3" t="str">
        <f>_xlfn.CONCAT(TEXT(Log!A107, "MM/DD/YY")," - ",TEXT(Log!A106, "MM/DD/YY"))</f>
        <v>05/10/24 - 05/09/24</v>
      </c>
      <c r="B106" s="3">
        <f>Log!B107-Log[[#This Row],[Weight (Pounds)]]</f>
        <v>0</v>
      </c>
      <c r="C106" s="3">
        <f>Log!C107-Log[[#This Row],[Waist (Inches)]]</f>
        <v>0</v>
      </c>
      <c r="D106" s="3">
        <f>Log!D107-Log[[#This Row],[Neck (Inches)]]</f>
        <v>0</v>
      </c>
      <c r="E106" s="3">
        <f>Log!E107-Log[[#This Row],[Morning Body Temp]]</f>
        <v>0</v>
      </c>
      <c r="F106" s="3">
        <f>Log!F107-Log[[#This Row],[Morning Systolic Pressure]]</f>
        <v>0</v>
      </c>
      <c r="G106" s="3">
        <f>Log!G107-Log[[#This Row],[Morning Diastolic Pressure]]</f>
        <v>0</v>
      </c>
      <c r="H106" s="3">
        <f>Log!H107-Log[[#This Row],[Morning Pulse]]</f>
        <v>0</v>
      </c>
      <c r="I106" s="3">
        <f>Log!I107-Log[[#This Row],[Night Body Temp]]</f>
        <v>0</v>
      </c>
      <c r="J106" s="3">
        <f>Log!J107-Log[[#This Row],[Night Systolic Pressure]]</f>
        <v>0</v>
      </c>
      <c r="K106" s="3">
        <f>Log!K107-Log[[#This Row],[Night Diastolic Pressure]]</f>
        <v>0</v>
      </c>
      <c r="L106" s="3">
        <f>Log!L107-Log[[#This Row],[Night Pulse]]</f>
        <v>0</v>
      </c>
      <c r="M106" s="3">
        <f>Log!M107-Log[[#This Row],[Sleep]]</f>
        <v>0</v>
      </c>
      <c r="N106" s="11">
        <f>Log!N107-Log[[#This Row],[BMI]]</f>
        <v>0</v>
      </c>
      <c r="O106" s="11" t="e">
        <f>Log!O107-Log[[#This Row],[CBF]]</f>
        <v>#NUM!</v>
      </c>
    </row>
    <row r="107" spans="1:15" x14ac:dyDescent="0.25">
      <c r="A107" s="3" t="str">
        <f>_xlfn.CONCAT(TEXT(Log!A108, "MM/DD/YY")," - ",TEXT(Log!A107, "MM/DD/YY"))</f>
        <v>05/11/24 - 05/10/24</v>
      </c>
      <c r="B107" s="3">
        <f>Log!B108-Log[[#This Row],[Weight (Pounds)]]</f>
        <v>0</v>
      </c>
      <c r="C107" s="3">
        <f>Log!C108-Log[[#This Row],[Waist (Inches)]]</f>
        <v>0</v>
      </c>
      <c r="D107" s="3">
        <f>Log!D108-Log[[#This Row],[Neck (Inches)]]</f>
        <v>0</v>
      </c>
      <c r="E107" s="3">
        <f>Log!E108-Log[[#This Row],[Morning Body Temp]]</f>
        <v>0</v>
      </c>
      <c r="F107" s="3">
        <f>Log!F108-Log[[#This Row],[Morning Systolic Pressure]]</f>
        <v>0</v>
      </c>
      <c r="G107" s="3">
        <f>Log!G108-Log[[#This Row],[Morning Diastolic Pressure]]</f>
        <v>0</v>
      </c>
      <c r="H107" s="3">
        <f>Log!H108-Log[[#This Row],[Morning Pulse]]</f>
        <v>0</v>
      </c>
      <c r="I107" s="3">
        <f>Log!I108-Log[[#This Row],[Night Body Temp]]</f>
        <v>0</v>
      </c>
      <c r="J107" s="3">
        <f>Log!J108-Log[[#This Row],[Night Systolic Pressure]]</f>
        <v>0</v>
      </c>
      <c r="K107" s="3">
        <f>Log!K108-Log[[#This Row],[Night Diastolic Pressure]]</f>
        <v>0</v>
      </c>
      <c r="L107" s="3">
        <f>Log!L108-Log[[#This Row],[Night Pulse]]</f>
        <v>0</v>
      </c>
      <c r="M107" s="3">
        <f>Log!M108-Log[[#This Row],[Sleep]]</f>
        <v>0</v>
      </c>
      <c r="N107" s="11">
        <f>Log!N108-Log[[#This Row],[BMI]]</f>
        <v>0</v>
      </c>
      <c r="O107" s="11" t="e">
        <f>Log!O108-Log[[#This Row],[CBF]]</f>
        <v>#NUM!</v>
      </c>
    </row>
    <row r="108" spans="1:15" x14ac:dyDescent="0.25">
      <c r="A108" s="3" t="str">
        <f>_xlfn.CONCAT(TEXT(Log!A109, "MM/DD/YY")," - ",TEXT(Log!A108, "MM/DD/YY"))</f>
        <v>05/12/24 - 05/11/24</v>
      </c>
      <c r="B108" s="3">
        <f>Log!B109-Log[[#This Row],[Weight (Pounds)]]</f>
        <v>0</v>
      </c>
      <c r="C108" s="3">
        <f>Log!C109-Log[[#This Row],[Waist (Inches)]]</f>
        <v>0</v>
      </c>
      <c r="D108" s="3">
        <f>Log!D109-Log[[#This Row],[Neck (Inches)]]</f>
        <v>0</v>
      </c>
      <c r="E108" s="3">
        <f>Log!E109-Log[[#This Row],[Morning Body Temp]]</f>
        <v>0</v>
      </c>
      <c r="F108" s="3">
        <f>Log!F109-Log[[#This Row],[Morning Systolic Pressure]]</f>
        <v>0</v>
      </c>
      <c r="G108" s="3">
        <f>Log!G109-Log[[#This Row],[Morning Diastolic Pressure]]</f>
        <v>0</v>
      </c>
      <c r="H108" s="3">
        <f>Log!H109-Log[[#This Row],[Morning Pulse]]</f>
        <v>0</v>
      </c>
      <c r="I108" s="3">
        <f>Log!I109-Log[[#This Row],[Night Body Temp]]</f>
        <v>0</v>
      </c>
      <c r="J108" s="3">
        <f>Log!J109-Log[[#This Row],[Night Systolic Pressure]]</f>
        <v>0</v>
      </c>
      <c r="K108" s="3">
        <f>Log!K109-Log[[#This Row],[Night Diastolic Pressure]]</f>
        <v>0</v>
      </c>
      <c r="L108" s="3">
        <f>Log!L109-Log[[#This Row],[Night Pulse]]</f>
        <v>0</v>
      </c>
      <c r="M108" s="3">
        <f>Log!M109-Log[[#This Row],[Sleep]]</f>
        <v>0</v>
      </c>
      <c r="N108" s="11">
        <f>Log!N109-Log[[#This Row],[BMI]]</f>
        <v>0</v>
      </c>
      <c r="O108" s="11" t="e">
        <f>Log!O109-Log[[#This Row],[CBF]]</f>
        <v>#NUM!</v>
      </c>
    </row>
    <row r="109" spans="1:15" x14ac:dyDescent="0.25">
      <c r="A109" s="3" t="str">
        <f>_xlfn.CONCAT(TEXT(Log!A110, "MM/DD/YY")," - ",TEXT(Log!A109, "MM/DD/YY"))</f>
        <v>05/13/24 - 05/12/24</v>
      </c>
      <c r="B109" s="3">
        <f>Log!B110-Log[[#This Row],[Weight (Pounds)]]</f>
        <v>0</v>
      </c>
      <c r="C109" s="3">
        <f>Log!C110-Log[[#This Row],[Waist (Inches)]]</f>
        <v>0</v>
      </c>
      <c r="D109" s="3">
        <f>Log!D110-Log[[#This Row],[Neck (Inches)]]</f>
        <v>0</v>
      </c>
      <c r="E109" s="3">
        <f>Log!E110-Log[[#This Row],[Morning Body Temp]]</f>
        <v>0</v>
      </c>
      <c r="F109" s="3">
        <f>Log!F110-Log[[#This Row],[Morning Systolic Pressure]]</f>
        <v>0</v>
      </c>
      <c r="G109" s="3">
        <f>Log!G110-Log[[#This Row],[Morning Diastolic Pressure]]</f>
        <v>0</v>
      </c>
      <c r="H109" s="3">
        <f>Log!H110-Log[[#This Row],[Morning Pulse]]</f>
        <v>0</v>
      </c>
      <c r="I109" s="3">
        <f>Log!I110-Log[[#This Row],[Night Body Temp]]</f>
        <v>0</v>
      </c>
      <c r="J109" s="3">
        <f>Log!J110-Log[[#This Row],[Night Systolic Pressure]]</f>
        <v>0</v>
      </c>
      <c r="K109" s="3">
        <f>Log!K110-Log[[#This Row],[Night Diastolic Pressure]]</f>
        <v>0</v>
      </c>
      <c r="L109" s="3">
        <f>Log!L110-Log[[#This Row],[Night Pulse]]</f>
        <v>0</v>
      </c>
      <c r="M109" s="3">
        <f>Log!M110-Log[[#This Row],[Sleep]]</f>
        <v>0</v>
      </c>
      <c r="N109" s="11">
        <f>Log!N110-Log[[#This Row],[BMI]]</f>
        <v>0</v>
      </c>
      <c r="O109" s="11" t="e">
        <f>Log!O110-Log[[#This Row],[CBF]]</f>
        <v>#NUM!</v>
      </c>
    </row>
    <row r="110" spans="1:15" x14ac:dyDescent="0.25">
      <c r="A110" s="3" t="str">
        <f>_xlfn.CONCAT(TEXT(Log!A111, "MM/DD/YY")," - ",TEXT(Log!A110, "MM/DD/YY"))</f>
        <v>05/14/24 - 05/13/24</v>
      </c>
      <c r="B110" s="3">
        <f>Log!B111-Log[[#This Row],[Weight (Pounds)]]</f>
        <v>0</v>
      </c>
      <c r="C110" s="3">
        <f>Log!C111-Log[[#This Row],[Waist (Inches)]]</f>
        <v>0</v>
      </c>
      <c r="D110" s="3">
        <f>Log!D111-Log[[#This Row],[Neck (Inches)]]</f>
        <v>0</v>
      </c>
      <c r="E110" s="3">
        <f>Log!E111-Log[[#This Row],[Morning Body Temp]]</f>
        <v>0</v>
      </c>
      <c r="F110" s="3">
        <f>Log!F111-Log[[#This Row],[Morning Systolic Pressure]]</f>
        <v>0</v>
      </c>
      <c r="G110" s="3">
        <f>Log!G111-Log[[#This Row],[Morning Diastolic Pressure]]</f>
        <v>0</v>
      </c>
      <c r="H110" s="3">
        <f>Log!H111-Log[[#This Row],[Morning Pulse]]</f>
        <v>0</v>
      </c>
      <c r="I110" s="3">
        <f>Log!I111-Log[[#This Row],[Night Body Temp]]</f>
        <v>0</v>
      </c>
      <c r="J110" s="3">
        <f>Log!J111-Log[[#This Row],[Night Systolic Pressure]]</f>
        <v>0</v>
      </c>
      <c r="K110" s="3">
        <f>Log!K111-Log[[#This Row],[Night Diastolic Pressure]]</f>
        <v>0</v>
      </c>
      <c r="L110" s="3">
        <f>Log!L111-Log[[#This Row],[Night Pulse]]</f>
        <v>0</v>
      </c>
      <c r="M110" s="3">
        <f>Log!M111-Log[[#This Row],[Sleep]]</f>
        <v>0</v>
      </c>
      <c r="N110" s="11">
        <f>Log!N111-Log[[#This Row],[BMI]]</f>
        <v>0</v>
      </c>
      <c r="O110" s="11" t="e">
        <f>Log!O111-Log[[#This Row],[CBF]]</f>
        <v>#NUM!</v>
      </c>
    </row>
    <row r="111" spans="1:15" x14ac:dyDescent="0.25">
      <c r="A111" s="3" t="str">
        <f>_xlfn.CONCAT(TEXT(Log!A112, "MM/DD/YY")," - ",TEXT(Log!A111, "MM/DD/YY"))</f>
        <v>05/15/24 - 05/14/24</v>
      </c>
      <c r="B111" s="3">
        <f>Log!B112-Log[[#This Row],[Weight (Pounds)]]</f>
        <v>0</v>
      </c>
      <c r="C111" s="3">
        <f>Log!C112-Log[[#This Row],[Waist (Inches)]]</f>
        <v>0</v>
      </c>
      <c r="D111" s="3">
        <f>Log!D112-Log[[#This Row],[Neck (Inches)]]</f>
        <v>0</v>
      </c>
      <c r="E111" s="3">
        <f>Log!E112-Log[[#This Row],[Morning Body Temp]]</f>
        <v>0</v>
      </c>
      <c r="F111" s="3">
        <f>Log!F112-Log[[#This Row],[Morning Systolic Pressure]]</f>
        <v>0</v>
      </c>
      <c r="G111" s="3">
        <f>Log!G112-Log[[#This Row],[Morning Diastolic Pressure]]</f>
        <v>0</v>
      </c>
      <c r="H111" s="3">
        <f>Log!H112-Log[[#This Row],[Morning Pulse]]</f>
        <v>0</v>
      </c>
      <c r="I111" s="3">
        <f>Log!I112-Log[[#This Row],[Night Body Temp]]</f>
        <v>0</v>
      </c>
      <c r="J111" s="3">
        <f>Log!J112-Log[[#This Row],[Night Systolic Pressure]]</f>
        <v>0</v>
      </c>
      <c r="K111" s="3">
        <f>Log!K112-Log[[#This Row],[Night Diastolic Pressure]]</f>
        <v>0</v>
      </c>
      <c r="L111" s="3">
        <f>Log!L112-Log[[#This Row],[Night Pulse]]</f>
        <v>0</v>
      </c>
      <c r="M111" s="3">
        <f>Log!M112-Log[[#This Row],[Sleep]]</f>
        <v>0</v>
      </c>
      <c r="N111" s="11">
        <f>Log!N112-Log[[#This Row],[BMI]]</f>
        <v>0</v>
      </c>
      <c r="O111" s="11" t="e">
        <f>Log!O112-Log[[#This Row],[CBF]]</f>
        <v>#NUM!</v>
      </c>
    </row>
    <row r="112" spans="1:15" x14ac:dyDescent="0.25">
      <c r="A112" s="3" t="str">
        <f>_xlfn.CONCAT(TEXT(Log!A113, "MM/DD/YY")," - ",TEXT(Log!A112, "MM/DD/YY"))</f>
        <v>05/16/24 - 05/15/24</v>
      </c>
      <c r="B112" s="3">
        <f>Log!B113-Log[[#This Row],[Weight (Pounds)]]</f>
        <v>0</v>
      </c>
      <c r="C112" s="3">
        <f>Log!C113-Log[[#This Row],[Waist (Inches)]]</f>
        <v>0</v>
      </c>
      <c r="D112" s="3">
        <f>Log!D113-Log[[#This Row],[Neck (Inches)]]</f>
        <v>0</v>
      </c>
      <c r="E112" s="3">
        <f>Log!E113-Log[[#This Row],[Morning Body Temp]]</f>
        <v>0</v>
      </c>
      <c r="F112" s="3">
        <f>Log!F113-Log[[#This Row],[Morning Systolic Pressure]]</f>
        <v>0</v>
      </c>
      <c r="G112" s="3">
        <f>Log!G113-Log[[#This Row],[Morning Diastolic Pressure]]</f>
        <v>0</v>
      </c>
      <c r="H112" s="3">
        <f>Log!H113-Log[[#This Row],[Morning Pulse]]</f>
        <v>0</v>
      </c>
      <c r="I112" s="3">
        <f>Log!I113-Log[[#This Row],[Night Body Temp]]</f>
        <v>0</v>
      </c>
      <c r="J112" s="3">
        <f>Log!J113-Log[[#This Row],[Night Systolic Pressure]]</f>
        <v>0</v>
      </c>
      <c r="K112" s="3">
        <f>Log!K113-Log[[#This Row],[Night Diastolic Pressure]]</f>
        <v>0</v>
      </c>
      <c r="L112" s="3">
        <f>Log!L113-Log[[#This Row],[Night Pulse]]</f>
        <v>0</v>
      </c>
      <c r="M112" s="3">
        <f>Log!M113-Log[[#This Row],[Sleep]]</f>
        <v>0</v>
      </c>
      <c r="N112" s="11">
        <f>Log!N113-Log[[#This Row],[BMI]]</f>
        <v>0</v>
      </c>
      <c r="O112" s="11" t="e">
        <f>Log!O113-Log[[#This Row],[CBF]]</f>
        <v>#NUM!</v>
      </c>
    </row>
    <row r="113" spans="1:15" x14ac:dyDescent="0.25">
      <c r="A113" s="3" t="str">
        <f>_xlfn.CONCAT(TEXT(Log!A114, "MM/DD/YY")," - ",TEXT(Log!A113, "MM/DD/YY"))</f>
        <v>05/17/24 - 05/16/24</v>
      </c>
      <c r="B113" s="3">
        <f>Log!B114-Log[[#This Row],[Weight (Pounds)]]</f>
        <v>0</v>
      </c>
      <c r="C113" s="3">
        <f>Log!C114-Log[[#This Row],[Waist (Inches)]]</f>
        <v>0</v>
      </c>
      <c r="D113" s="3">
        <f>Log!D114-Log[[#This Row],[Neck (Inches)]]</f>
        <v>0</v>
      </c>
      <c r="E113" s="3">
        <f>Log!E114-Log[[#This Row],[Morning Body Temp]]</f>
        <v>0</v>
      </c>
      <c r="F113" s="3">
        <f>Log!F114-Log[[#This Row],[Morning Systolic Pressure]]</f>
        <v>0</v>
      </c>
      <c r="G113" s="3">
        <f>Log!G114-Log[[#This Row],[Morning Diastolic Pressure]]</f>
        <v>0</v>
      </c>
      <c r="H113" s="3">
        <f>Log!H114-Log[[#This Row],[Morning Pulse]]</f>
        <v>0</v>
      </c>
      <c r="I113" s="3">
        <f>Log!I114-Log[[#This Row],[Night Body Temp]]</f>
        <v>0</v>
      </c>
      <c r="J113" s="3">
        <f>Log!J114-Log[[#This Row],[Night Systolic Pressure]]</f>
        <v>0</v>
      </c>
      <c r="K113" s="3">
        <f>Log!K114-Log[[#This Row],[Night Diastolic Pressure]]</f>
        <v>0</v>
      </c>
      <c r="L113" s="3">
        <f>Log!L114-Log[[#This Row],[Night Pulse]]</f>
        <v>0</v>
      </c>
      <c r="M113" s="3">
        <f>Log!M114-Log[[#This Row],[Sleep]]</f>
        <v>0</v>
      </c>
      <c r="N113" s="11">
        <f>Log!N114-Log[[#This Row],[BMI]]</f>
        <v>0</v>
      </c>
      <c r="O113" s="11" t="e">
        <f>Log!O114-Log[[#This Row],[CBF]]</f>
        <v>#NUM!</v>
      </c>
    </row>
    <row r="114" spans="1:15" x14ac:dyDescent="0.25">
      <c r="A114" s="3" t="str">
        <f>_xlfn.CONCAT(TEXT(Log!A115, "MM/DD/YY")," - ",TEXT(Log!A114, "MM/DD/YY"))</f>
        <v>05/18/24 - 05/17/24</v>
      </c>
      <c r="B114" s="3">
        <f>Log!B115-Log[[#This Row],[Weight (Pounds)]]</f>
        <v>0</v>
      </c>
      <c r="C114" s="3">
        <f>Log!C115-Log[[#This Row],[Waist (Inches)]]</f>
        <v>0</v>
      </c>
      <c r="D114" s="3">
        <f>Log!D115-Log[[#This Row],[Neck (Inches)]]</f>
        <v>0</v>
      </c>
      <c r="E114" s="3">
        <f>Log!E115-Log[[#This Row],[Morning Body Temp]]</f>
        <v>0</v>
      </c>
      <c r="F114" s="3">
        <f>Log!F115-Log[[#This Row],[Morning Systolic Pressure]]</f>
        <v>0</v>
      </c>
      <c r="G114" s="3">
        <f>Log!G115-Log[[#This Row],[Morning Diastolic Pressure]]</f>
        <v>0</v>
      </c>
      <c r="H114" s="3">
        <f>Log!H115-Log[[#This Row],[Morning Pulse]]</f>
        <v>0</v>
      </c>
      <c r="I114" s="3">
        <f>Log!I115-Log[[#This Row],[Night Body Temp]]</f>
        <v>0</v>
      </c>
      <c r="J114" s="3">
        <f>Log!J115-Log[[#This Row],[Night Systolic Pressure]]</f>
        <v>0</v>
      </c>
      <c r="K114" s="3">
        <f>Log!K115-Log[[#This Row],[Night Diastolic Pressure]]</f>
        <v>0</v>
      </c>
      <c r="L114" s="3">
        <f>Log!L115-Log[[#This Row],[Night Pulse]]</f>
        <v>0</v>
      </c>
      <c r="M114" s="3">
        <f>Log!M115-Log[[#This Row],[Sleep]]</f>
        <v>0</v>
      </c>
      <c r="N114" s="11">
        <f>Log!N115-Log[[#This Row],[BMI]]</f>
        <v>0</v>
      </c>
      <c r="O114" s="11" t="e">
        <f>Log!O115-Log[[#This Row],[CBF]]</f>
        <v>#NUM!</v>
      </c>
    </row>
    <row r="115" spans="1:15" x14ac:dyDescent="0.25">
      <c r="A115" s="3" t="str">
        <f>_xlfn.CONCAT(TEXT(Log!A116, "MM/DD/YY")," - ",TEXT(Log!A115, "MM/DD/YY"))</f>
        <v>05/19/24 - 05/18/24</v>
      </c>
      <c r="B115" s="3">
        <f>Log!B116-Log[[#This Row],[Weight (Pounds)]]</f>
        <v>0</v>
      </c>
      <c r="C115" s="3">
        <f>Log!C116-Log[[#This Row],[Waist (Inches)]]</f>
        <v>0</v>
      </c>
      <c r="D115" s="3">
        <f>Log!D116-Log[[#This Row],[Neck (Inches)]]</f>
        <v>0</v>
      </c>
      <c r="E115" s="3">
        <f>Log!E116-Log[[#This Row],[Morning Body Temp]]</f>
        <v>0</v>
      </c>
      <c r="F115" s="3">
        <f>Log!F116-Log[[#This Row],[Morning Systolic Pressure]]</f>
        <v>0</v>
      </c>
      <c r="G115" s="3">
        <f>Log!G116-Log[[#This Row],[Morning Diastolic Pressure]]</f>
        <v>0</v>
      </c>
      <c r="H115" s="3">
        <f>Log!H116-Log[[#This Row],[Morning Pulse]]</f>
        <v>0</v>
      </c>
      <c r="I115" s="3">
        <f>Log!I116-Log[[#This Row],[Night Body Temp]]</f>
        <v>0</v>
      </c>
      <c r="J115" s="3">
        <f>Log!J116-Log[[#This Row],[Night Systolic Pressure]]</f>
        <v>0</v>
      </c>
      <c r="K115" s="3">
        <f>Log!K116-Log[[#This Row],[Night Diastolic Pressure]]</f>
        <v>0</v>
      </c>
      <c r="L115" s="3">
        <f>Log!L116-Log[[#This Row],[Night Pulse]]</f>
        <v>0</v>
      </c>
      <c r="M115" s="3">
        <f>Log!M116-Log[[#This Row],[Sleep]]</f>
        <v>0</v>
      </c>
      <c r="N115" s="11">
        <f>Log!N116-Log[[#This Row],[BMI]]</f>
        <v>0</v>
      </c>
      <c r="O115" s="11" t="e">
        <f>Log!O116-Log[[#This Row],[CBF]]</f>
        <v>#NUM!</v>
      </c>
    </row>
    <row r="116" spans="1:15" x14ac:dyDescent="0.25">
      <c r="A116" s="3" t="str">
        <f>_xlfn.CONCAT(TEXT(Log!A117, "MM/DD/YY")," - ",TEXT(Log!A116, "MM/DD/YY"))</f>
        <v>05/20/24 - 05/19/24</v>
      </c>
      <c r="B116" s="3">
        <f>Log!B117-Log[[#This Row],[Weight (Pounds)]]</f>
        <v>0</v>
      </c>
      <c r="C116" s="3">
        <f>Log!C117-Log[[#This Row],[Waist (Inches)]]</f>
        <v>0</v>
      </c>
      <c r="D116" s="3">
        <f>Log!D117-Log[[#This Row],[Neck (Inches)]]</f>
        <v>0</v>
      </c>
      <c r="E116" s="3">
        <f>Log!E117-Log[[#This Row],[Morning Body Temp]]</f>
        <v>0</v>
      </c>
      <c r="F116" s="3">
        <f>Log!F117-Log[[#This Row],[Morning Systolic Pressure]]</f>
        <v>0</v>
      </c>
      <c r="G116" s="3">
        <f>Log!G117-Log[[#This Row],[Morning Diastolic Pressure]]</f>
        <v>0</v>
      </c>
      <c r="H116" s="3">
        <f>Log!H117-Log[[#This Row],[Morning Pulse]]</f>
        <v>0</v>
      </c>
      <c r="I116" s="3">
        <f>Log!I117-Log[[#This Row],[Night Body Temp]]</f>
        <v>0</v>
      </c>
      <c r="J116" s="3">
        <f>Log!J117-Log[[#This Row],[Night Systolic Pressure]]</f>
        <v>0</v>
      </c>
      <c r="K116" s="3">
        <f>Log!K117-Log[[#This Row],[Night Diastolic Pressure]]</f>
        <v>0</v>
      </c>
      <c r="L116" s="3">
        <f>Log!L117-Log[[#This Row],[Night Pulse]]</f>
        <v>0</v>
      </c>
      <c r="M116" s="3">
        <f>Log!M117-Log[[#This Row],[Sleep]]</f>
        <v>0</v>
      </c>
      <c r="N116" s="11">
        <f>Log!N117-Log[[#This Row],[BMI]]</f>
        <v>0</v>
      </c>
      <c r="O116" s="11" t="e">
        <f>Log!O117-Log[[#This Row],[CBF]]</f>
        <v>#NUM!</v>
      </c>
    </row>
    <row r="117" spans="1:15" x14ac:dyDescent="0.25">
      <c r="A117" s="3" t="str">
        <f>_xlfn.CONCAT(TEXT(Log!A118, "MM/DD/YY")," - ",TEXT(Log!A117, "MM/DD/YY"))</f>
        <v>05/21/24 - 05/20/24</v>
      </c>
      <c r="B117" s="3">
        <f>Log!B118-Log[[#This Row],[Weight (Pounds)]]</f>
        <v>0</v>
      </c>
      <c r="C117" s="3">
        <f>Log!C118-Log[[#This Row],[Waist (Inches)]]</f>
        <v>0</v>
      </c>
      <c r="D117" s="3">
        <f>Log!D118-Log[[#This Row],[Neck (Inches)]]</f>
        <v>0</v>
      </c>
      <c r="E117" s="3">
        <f>Log!E118-Log[[#This Row],[Morning Body Temp]]</f>
        <v>0</v>
      </c>
      <c r="F117" s="3">
        <f>Log!F118-Log[[#This Row],[Morning Systolic Pressure]]</f>
        <v>0</v>
      </c>
      <c r="G117" s="3">
        <f>Log!G118-Log[[#This Row],[Morning Diastolic Pressure]]</f>
        <v>0</v>
      </c>
      <c r="H117" s="3">
        <f>Log!H118-Log[[#This Row],[Morning Pulse]]</f>
        <v>0</v>
      </c>
      <c r="I117" s="3">
        <f>Log!I118-Log[[#This Row],[Night Body Temp]]</f>
        <v>0</v>
      </c>
      <c r="J117" s="3">
        <f>Log!J118-Log[[#This Row],[Night Systolic Pressure]]</f>
        <v>0</v>
      </c>
      <c r="K117" s="3">
        <f>Log!K118-Log[[#This Row],[Night Diastolic Pressure]]</f>
        <v>0</v>
      </c>
      <c r="L117" s="3">
        <f>Log!L118-Log[[#This Row],[Night Pulse]]</f>
        <v>0</v>
      </c>
      <c r="M117" s="3">
        <f>Log!M118-Log[[#This Row],[Sleep]]</f>
        <v>0</v>
      </c>
      <c r="N117" s="11">
        <f>Log!N118-Log[[#This Row],[BMI]]</f>
        <v>0</v>
      </c>
      <c r="O117" s="11" t="e">
        <f>Log!O118-Log[[#This Row],[CBF]]</f>
        <v>#NUM!</v>
      </c>
    </row>
    <row r="118" spans="1:15" x14ac:dyDescent="0.25">
      <c r="A118" s="3" t="str">
        <f>_xlfn.CONCAT(TEXT(Log!A119, "MM/DD/YY")," - ",TEXT(Log!A118, "MM/DD/YY"))</f>
        <v>05/22/24 - 05/21/24</v>
      </c>
      <c r="B118" s="3">
        <f>Log!B119-Log[[#This Row],[Weight (Pounds)]]</f>
        <v>0</v>
      </c>
      <c r="C118" s="3">
        <f>Log!C119-Log[[#This Row],[Waist (Inches)]]</f>
        <v>0</v>
      </c>
      <c r="D118" s="3">
        <f>Log!D119-Log[[#This Row],[Neck (Inches)]]</f>
        <v>0</v>
      </c>
      <c r="E118" s="3">
        <f>Log!E119-Log[[#This Row],[Morning Body Temp]]</f>
        <v>0</v>
      </c>
      <c r="F118" s="3">
        <f>Log!F119-Log[[#This Row],[Morning Systolic Pressure]]</f>
        <v>0</v>
      </c>
      <c r="G118" s="3">
        <f>Log!G119-Log[[#This Row],[Morning Diastolic Pressure]]</f>
        <v>0</v>
      </c>
      <c r="H118" s="3">
        <f>Log!H119-Log[[#This Row],[Morning Pulse]]</f>
        <v>0</v>
      </c>
      <c r="I118" s="3">
        <f>Log!I119-Log[[#This Row],[Night Body Temp]]</f>
        <v>0</v>
      </c>
      <c r="J118" s="3">
        <f>Log!J119-Log[[#This Row],[Night Systolic Pressure]]</f>
        <v>0</v>
      </c>
      <c r="K118" s="3">
        <f>Log!K119-Log[[#This Row],[Night Diastolic Pressure]]</f>
        <v>0</v>
      </c>
      <c r="L118" s="3">
        <f>Log!L119-Log[[#This Row],[Night Pulse]]</f>
        <v>0</v>
      </c>
      <c r="M118" s="3">
        <f>Log!M119-Log[[#This Row],[Sleep]]</f>
        <v>0</v>
      </c>
      <c r="N118" s="11">
        <f>Log!N119-Log[[#This Row],[BMI]]</f>
        <v>0</v>
      </c>
      <c r="O118" s="11" t="e">
        <f>Log!O119-Log[[#This Row],[CBF]]</f>
        <v>#NUM!</v>
      </c>
    </row>
    <row r="119" spans="1:15" x14ac:dyDescent="0.25">
      <c r="A119" s="3" t="str">
        <f>_xlfn.CONCAT(TEXT(Log!A120, "MM/DD/YY")," - ",TEXT(Log!A119, "MM/DD/YY"))</f>
        <v>05/23/24 - 05/22/24</v>
      </c>
      <c r="B119" s="3">
        <f>Log!B120-Log[[#This Row],[Weight (Pounds)]]</f>
        <v>0</v>
      </c>
      <c r="C119" s="3">
        <f>Log!C120-Log[[#This Row],[Waist (Inches)]]</f>
        <v>0</v>
      </c>
      <c r="D119" s="3">
        <f>Log!D120-Log[[#This Row],[Neck (Inches)]]</f>
        <v>0</v>
      </c>
      <c r="E119" s="3">
        <f>Log!E120-Log[[#This Row],[Morning Body Temp]]</f>
        <v>0</v>
      </c>
      <c r="F119" s="3">
        <f>Log!F120-Log[[#This Row],[Morning Systolic Pressure]]</f>
        <v>0</v>
      </c>
      <c r="G119" s="3">
        <f>Log!G120-Log[[#This Row],[Morning Diastolic Pressure]]</f>
        <v>0</v>
      </c>
      <c r="H119" s="3">
        <f>Log!H120-Log[[#This Row],[Morning Pulse]]</f>
        <v>0</v>
      </c>
      <c r="I119" s="3">
        <f>Log!I120-Log[[#This Row],[Night Body Temp]]</f>
        <v>0</v>
      </c>
      <c r="J119" s="3">
        <f>Log!J120-Log[[#This Row],[Night Systolic Pressure]]</f>
        <v>0</v>
      </c>
      <c r="K119" s="3">
        <f>Log!K120-Log[[#This Row],[Night Diastolic Pressure]]</f>
        <v>0</v>
      </c>
      <c r="L119" s="3">
        <f>Log!L120-Log[[#This Row],[Night Pulse]]</f>
        <v>0</v>
      </c>
      <c r="M119" s="3">
        <f>Log!M120-Log[[#This Row],[Sleep]]</f>
        <v>0</v>
      </c>
      <c r="N119" s="11">
        <f>Log!N120-Log[[#This Row],[BMI]]</f>
        <v>0</v>
      </c>
      <c r="O119" s="11" t="e">
        <f>Log!O120-Log[[#This Row],[CBF]]</f>
        <v>#NUM!</v>
      </c>
    </row>
    <row r="120" spans="1:15" x14ac:dyDescent="0.25">
      <c r="A120" s="3" t="str">
        <f>_xlfn.CONCAT(TEXT(Log!A121, "MM/DD/YY")," - ",TEXT(Log!A120, "MM/DD/YY"))</f>
        <v>05/24/24 - 05/23/24</v>
      </c>
      <c r="B120" s="3">
        <f>Log!B121-Log[[#This Row],[Weight (Pounds)]]</f>
        <v>0</v>
      </c>
      <c r="C120" s="3">
        <f>Log!C121-Log[[#This Row],[Waist (Inches)]]</f>
        <v>0</v>
      </c>
      <c r="D120" s="3">
        <f>Log!D121-Log[[#This Row],[Neck (Inches)]]</f>
        <v>0</v>
      </c>
      <c r="E120" s="3">
        <f>Log!E121-Log[[#This Row],[Morning Body Temp]]</f>
        <v>0</v>
      </c>
      <c r="F120" s="3">
        <f>Log!F121-Log[[#This Row],[Morning Systolic Pressure]]</f>
        <v>0</v>
      </c>
      <c r="G120" s="3">
        <f>Log!G121-Log[[#This Row],[Morning Diastolic Pressure]]</f>
        <v>0</v>
      </c>
      <c r="H120" s="3">
        <f>Log!H121-Log[[#This Row],[Morning Pulse]]</f>
        <v>0</v>
      </c>
      <c r="I120" s="3">
        <f>Log!I121-Log[[#This Row],[Night Body Temp]]</f>
        <v>0</v>
      </c>
      <c r="J120" s="3">
        <f>Log!J121-Log[[#This Row],[Night Systolic Pressure]]</f>
        <v>0</v>
      </c>
      <c r="K120" s="3">
        <f>Log!K121-Log[[#This Row],[Night Diastolic Pressure]]</f>
        <v>0</v>
      </c>
      <c r="L120" s="3">
        <f>Log!L121-Log[[#This Row],[Night Pulse]]</f>
        <v>0</v>
      </c>
      <c r="M120" s="3">
        <f>Log!M121-Log[[#This Row],[Sleep]]</f>
        <v>0</v>
      </c>
      <c r="N120" s="11">
        <f>Log!N121-Log[[#This Row],[BMI]]</f>
        <v>0</v>
      </c>
      <c r="O120" s="11" t="e">
        <f>Log!O121-Log[[#This Row],[CBF]]</f>
        <v>#NUM!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2AB68-7526-4DD5-A659-8366CE3290EB}">
  <sheetPr codeName="Sheet20"/>
  <dimension ref="A1:L160"/>
  <sheetViews>
    <sheetView topLeftCell="A104" workbookViewId="0">
      <selection activeCell="F127" sqref="F127"/>
    </sheetView>
  </sheetViews>
  <sheetFormatPr defaultColWidth="9.140625" defaultRowHeight="18.75" x14ac:dyDescent="0.3"/>
  <cols>
    <col min="1" max="1" width="14.5703125" style="7" bestFit="1" customWidth="1"/>
    <col min="2" max="2" width="13.85546875" style="17" customWidth="1"/>
    <col min="3" max="3" width="11.42578125" style="17" customWidth="1"/>
    <col min="4" max="4" width="9.5703125" style="17" bestFit="1" customWidth="1"/>
    <col min="5" max="5" width="14" style="17" customWidth="1"/>
    <col min="6" max="6" width="10.7109375" style="17" customWidth="1"/>
    <col min="7" max="7" width="10.28515625" style="17" customWidth="1"/>
    <col min="8" max="8" width="16.42578125" style="17" customWidth="1"/>
    <col min="9" max="9" width="24.28515625" style="17" customWidth="1"/>
    <col min="10" max="10" width="21" style="1" customWidth="1"/>
    <col min="11" max="11" width="28.7109375" style="1" customWidth="1"/>
    <col min="12" max="12" width="20.28515625" style="1" customWidth="1"/>
    <col min="13" max="16384" width="9.140625" style="1"/>
  </cols>
  <sheetData>
    <row r="1" spans="1:12" s="18" customFormat="1" ht="42" x14ac:dyDescent="0.25">
      <c r="A1" s="20" t="s">
        <v>18</v>
      </c>
      <c r="B1" s="19" t="s">
        <v>215</v>
      </c>
      <c r="C1" s="19" t="s">
        <v>214</v>
      </c>
      <c r="D1" s="19" t="s">
        <v>213</v>
      </c>
      <c r="E1" s="19" t="s">
        <v>212</v>
      </c>
      <c r="F1" s="19" t="s">
        <v>211</v>
      </c>
      <c r="G1" s="19" t="s">
        <v>210</v>
      </c>
      <c r="H1" s="19" t="s">
        <v>209</v>
      </c>
      <c r="I1" s="19" t="s">
        <v>208</v>
      </c>
      <c r="J1" s="18" t="s">
        <v>207</v>
      </c>
      <c r="K1" s="18" t="s">
        <v>206</v>
      </c>
      <c r="L1" s="18" t="s">
        <v>205</v>
      </c>
    </row>
    <row r="2" spans="1:12" x14ac:dyDescent="0.3">
      <c r="A2" s="7">
        <v>45148</v>
      </c>
      <c r="B2" s="2">
        <v>1396.75</v>
      </c>
      <c r="C2" s="2">
        <v>75.670833333333334</v>
      </c>
      <c r="D2" s="2">
        <v>86.081249999999997</v>
      </c>
      <c r="E2" s="2">
        <v>83.129166666666663</v>
      </c>
      <c r="F2" s="2">
        <v>17.620833333333334</v>
      </c>
      <c r="G2" s="2">
        <v>14.03125</v>
      </c>
      <c r="H2" s="2">
        <v>21.45</v>
      </c>
      <c r="I2" s="2">
        <v>2.5</v>
      </c>
      <c r="J2" s="2">
        <v>1</v>
      </c>
      <c r="K2" s="2">
        <v>1275.25</v>
      </c>
      <c r="L2" s="2">
        <v>774.73125000000005</v>
      </c>
    </row>
    <row r="3" spans="1:12" x14ac:dyDescent="0.3">
      <c r="A3" s="7">
        <v>45149</v>
      </c>
      <c r="B3" s="2">
        <v>1911.3</v>
      </c>
      <c r="C3" s="2">
        <v>256.32083333333333</v>
      </c>
      <c r="D3" s="2">
        <v>58.71</v>
      </c>
      <c r="E3" s="2">
        <v>109.34416666666668</v>
      </c>
      <c r="F3" s="2">
        <v>57.300833333333337</v>
      </c>
      <c r="G3" s="2">
        <v>113.645</v>
      </c>
      <c r="H3" s="2">
        <v>25</v>
      </c>
      <c r="I3" s="2">
        <v>1</v>
      </c>
      <c r="J3" s="2">
        <v>0</v>
      </c>
      <c r="K3" s="2">
        <v>1911.3</v>
      </c>
      <c r="L3" s="2">
        <v>528.38999999999987</v>
      </c>
    </row>
    <row r="4" spans="1:12" x14ac:dyDescent="0.3">
      <c r="A4" s="7">
        <v>45150</v>
      </c>
      <c r="B4" s="2">
        <v>2177</v>
      </c>
      <c r="C4" s="2">
        <v>239.87083333333331</v>
      </c>
      <c r="D4" s="2">
        <v>89.74</v>
      </c>
      <c r="E4" s="2">
        <v>114.12416666666668</v>
      </c>
      <c r="F4" s="2">
        <v>53.690833333333337</v>
      </c>
      <c r="G4" s="2">
        <v>84.644999999999996</v>
      </c>
      <c r="H4" s="2">
        <v>29.3</v>
      </c>
      <c r="I4" s="2">
        <v>2</v>
      </c>
      <c r="J4" s="2">
        <v>0</v>
      </c>
      <c r="K4" s="2">
        <v>2177</v>
      </c>
      <c r="L4" s="2">
        <v>807.65999999999985</v>
      </c>
    </row>
    <row r="5" spans="1:12" x14ac:dyDescent="0.3">
      <c r="A5" s="7">
        <v>45151</v>
      </c>
      <c r="B5" s="2">
        <v>1965.1</v>
      </c>
      <c r="C5" s="2">
        <v>219.15833333333333</v>
      </c>
      <c r="D5" s="2">
        <v>73.99499999999999</v>
      </c>
      <c r="E5" s="2">
        <v>105.77166666666669</v>
      </c>
      <c r="F5" s="2">
        <v>50.318333333333328</v>
      </c>
      <c r="G5" s="2">
        <v>43.765000000000001</v>
      </c>
      <c r="H5" s="2">
        <v>32.5</v>
      </c>
      <c r="I5" s="2">
        <v>2.5</v>
      </c>
      <c r="J5" s="2">
        <v>0</v>
      </c>
      <c r="K5" s="2">
        <v>1965.1</v>
      </c>
      <c r="L5" s="2">
        <v>665.95499999999993</v>
      </c>
    </row>
    <row r="6" spans="1:12" x14ac:dyDescent="0.3">
      <c r="A6" s="7">
        <v>45152</v>
      </c>
      <c r="B6" s="2">
        <v>1809.09</v>
      </c>
      <c r="C6" s="2">
        <v>173.0898333333333</v>
      </c>
      <c r="D6" s="2">
        <v>82.831000000000003</v>
      </c>
      <c r="E6" s="2">
        <v>110.44216666666668</v>
      </c>
      <c r="F6" s="2">
        <v>56.41983333333333</v>
      </c>
      <c r="G6" s="2">
        <v>33.180999999999997</v>
      </c>
      <c r="H6" s="2">
        <v>24.450000000000003</v>
      </c>
      <c r="I6" s="2">
        <v>2.5</v>
      </c>
      <c r="J6" s="2">
        <v>0</v>
      </c>
      <c r="K6" s="2">
        <v>1809.09</v>
      </c>
      <c r="L6" s="2">
        <v>745.47899999999993</v>
      </c>
    </row>
    <row r="7" spans="1:12" x14ac:dyDescent="0.3">
      <c r="A7" s="7">
        <v>45153</v>
      </c>
      <c r="B7" s="2">
        <v>1357.8999999999999</v>
      </c>
      <c r="C7" s="2">
        <v>202.91249999999999</v>
      </c>
      <c r="D7" s="2">
        <v>36.555</v>
      </c>
      <c r="E7" s="2">
        <v>60.582499999999996</v>
      </c>
      <c r="F7" s="2">
        <v>12.452499999999999</v>
      </c>
      <c r="G7" s="2">
        <v>100.56</v>
      </c>
      <c r="H7" s="2">
        <v>7.5</v>
      </c>
      <c r="I7" s="2">
        <v>2</v>
      </c>
      <c r="J7" s="2">
        <v>0</v>
      </c>
      <c r="K7" s="2">
        <v>1357.8999999999999</v>
      </c>
      <c r="L7" s="2">
        <v>328.995</v>
      </c>
    </row>
    <row r="8" spans="1:12" x14ac:dyDescent="0.3">
      <c r="A8" s="7">
        <v>45154</v>
      </c>
      <c r="B8" s="2">
        <v>2572.9</v>
      </c>
      <c r="C8" s="2">
        <v>282.82666666666671</v>
      </c>
      <c r="D8" s="2">
        <v>103.61</v>
      </c>
      <c r="E8" s="2">
        <v>143.97333333333336</v>
      </c>
      <c r="F8" s="2">
        <v>87.686666666666667</v>
      </c>
      <c r="G8" s="2">
        <v>76.490000000000009</v>
      </c>
      <c r="H8" s="2">
        <v>42.800000000000004</v>
      </c>
      <c r="I8" s="2">
        <v>2.5</v>
      </c>
      <c r="J8" s="2">
        <v>0</v>
      </c>
      <c r="K8" s="2">
        <v>2572.9</v>
      </c>
      <c r="L8" s="2">
        <v>932.49</v>
      </c>
    </row>
    <row r="9" spans="1:12" x14ac:dyDescent="0.3">
      <c r="A9" s="7">
        <v>45155</v>
      </c>
      <c r="B9" s="2">
        <v>1918.75</v>
      </c>
      <c r="C9" s="2">
        <v>141.6</v>
      </c>
      <c r="D9" s="2">
        <v>107</v>
      </c>
      <c r="E9" s="2">
        <v>83.575000000000003</v>
      </c>
      <c r="F9" s="2">
        <v>30.925000000000001</v>
      </c>
      <c r="G9" s="2">
        <v>21.75</v>
      </c>
      <c r="H9" s="2">
        <v>23.75</v>
      </c>
      <c r="I9" s="2">
        <v>3</v>
      </c>
      <c r="J9" s="2">
        <v>0</v>
      </c>
      <c r="K9" s="2">
        <v>1918.75</v>
      </c>
      <c r="L9" s="2">
        <v>963</v>
      </c>
    </row>
    <row r="10" spans="1:12" x14ac:dyDescent="0.3">
      <c r="A10" s="7">
        <v>45159</v>
      </c>
      <c r="B10" s="2">
        <v>2530.7089583333336</v>
      </c>
      <c r="C10" s="2">
        <v>381.11391666666668</v>
      </c>
      <c r="D10" s="2">
        <v>56.945416666666667</v>
      </c>
      <c r="E10" s="2">
        <v>114.84625000000003</v>
      </c>
      <c r="F10" s="2">
        <v>48.222958333333338</v>
      </c>
      <c r="G10" s="2">
        <v>209.91666666666669</v>
      </c>
      <c r="H10" s="2">
        <v>20.81</v>
      </c>
      <c r="I10" s="2">
        <v>1.5</v>
      </c>
      <c r="J10" s="2">
        <v>0</v>
      </c>
      <c r="K10" s="2">
        <v>2530.7089583333336</v>
      </c>
      <c r="L10" s="2">
        <v>512.50874999999996</v>
      </c>
    </row>
    <row r="11" spans="1:12" x14ac:dyDescent="0.3">
      <c r="A11" s="7">
        <v>45160</v>
      </c>
      <c r="B11" s="2">
        <v>2304.5839583333336</v>
      </c>
      <c r="C11" s="2">
        <v>382.70275000000004</v>
      </c>
      <c r="D11" s="2">
        <v>49.904749999999993</v>
      </c>
      <c r="E11" s="2">
        <v>91.650750000000016</v>
      </c>
      <c r="F11" s="2">
        <v>45.442958333333337</v>
      </c>
      <c r="G11" s="2">
        <v>240.19466666666668</v>
      </c>
      <c r="H11" s="2">
        <v>23</v>
      </c>
      <c r="I11" s="2">
        <v>1</v>
      </c>
      <c r="J11" s="2">
        <v>0</v>
      </c>
      <c r="K11" s="2">
        <v>2304.5839583333336</v>
      </c>
      <c r="L11" s="2">
        <v>449.14274999999998</v>
      </c>
    </row>
    <row r="12" spans="1:12" x14ac:dyDescent="0.3">
      <c r="A12" s="7">
        <v>45161</v>
      </c>
      <c r="B12" s="2">
        <v>2513.7289583333331</v>
      </c>
      <c r="C12" s="2">
        <v>309.11491666666672</v>
      </c>
      <c r="D12" s="2">
        <v>60.52341666666667</v>
      </c>
      <c r="E12" s="2">
        <v>116.63725000000004</v>
      </c>
      <c r="F12" s="2">
        <v>48.810958333333332</v>
      </c>
      <c r="G12" s="2">
        <v>139.85066666666668</v>
      </c>
      <c r="H12" s="2">
        <v>29</v>
      </c>
      <c r="I12" s="2">
        <v>1.5</v>
      </c>
      <c r="J12" s="2">
        <v>0</v>
      </c>
      <c r="K12" s="2">
        <v>2513.7289583333331</v>
      </c>
      <c r="L12" s="2">
        <v>544.71074999999996</v>
      </c>
    </row>
    <row r="13" spans="1:12" x14ac:dyDescent="0.3">
      <c r="A13" s="7">
        <v>45162</v>
      </c>
      <c r="B13" s="2">
        <v>1604.72</v>
      </c>
      <c r="C13" s="2">
        <v>151.90549999999999</v>
      </c>
      <c r="D13" s="2">
        <v>67.656166666666664</v>
      </c>
      <c r="E13" s="2">
        <v>89.512333333333359</v>
      </c>
      <c r="F13" s="2">
        <v>23.486333333333334</v>
      </c>
      <c r="G13" s="2">
        <v>29.547666666666668</v>
      </c>
      <c r="H13" s="2">
        <v>25</v>
      </c>
      <c r="I13" s="2">
        <v>1</v>
      </c>
      <c r="J13" s="2">
        <v>0</v>
      </c>
      <c r="K13" s="2">
        <v>1604.72</v>
      </c>
      <c r="L13" s="2">
        <v>608.90549999999996</v>
      </c>
    </row>
    <row r="14" spans="1:12" x14ac:dyDescent="0.3">
      <c r="A14" s="7">
        <v>45163</v>
      </c>
      <c r="B14" s="2">
        <v>1538.6539583333333</v>
      </c>
      <c r="C14" s="2">
        <v>255.67158333333333</v>
      </c>
      <c r="D14" s="2">
        <v>31.285916666666669</v>
      </c>
      <c r="E14" s="2">
        <v>70.961416666666679</v>
      </c>
      <c r="F14" s="2">
        <v>18.992625</v>
      </c>
      <c r="G14" s="2">
        <v>169.75900000000001</v>
      </c>
      <c r="H14" s="2">
        <v>11</v>
      </c>
      <c r="I14" s="2">
        <v>1.5</v>
      </c>
      <c r="J14" s="2">
        <v>0</v>
      </c>
      <c r="K14" s="2">
        <v>1538.6539583333333</v>
      </c>
      <c r="L14" s="2">
        <v>281.57325000000003</v>
      </c>
    </row>
    <row r="15" spans="1:12" x14ac:dyDescent="0.3">
      <c r="A15" s="7">
        <v>45179</v>
      </c>
      <c r="B15" s="2">
        <v>1673.9333333333334</v>
      </c>
      <c r="C15" s="2">
        <v>249.53666666666666</v>
      </c>
      <c r="D15" s="2">
        <v>50.148333333333341</v>
      </c>
      <c r="E15" s="2">
        <v>63.26666666666668</v>
      </c>
      <c r="F15" s="2">
        <v>16.766666666666666</v>
      </c>
      <c r="G15" s="2">
        <v>170.30500000000001</v>
      </c>
      <c r="H15" s="2">
        <v>71.599999999999994</v>
      </c>
      <c r="I15" s="17">
        <v>0.5</v>
      </c>
      <c r="J15" s="2">
        <v>0</v>
      </c>
      <c r="K15" s="2">
        <v>1673.9333333333334</v>
      </c>
      <c r="L15" s="2">
        <v>451.33499999999998</v>
      </c>
    </row>
    <row r="16" spans="1:12" x14ac:dyDescent="0.3">
      <c r="A16" s="7">
        <v>45180</v>
      </c>
      <c r="B16" s="2">
        <v>1916.3661904761907</v>
      </c>
      <c r="C16" s="2">
        <v>257.88142857142861</v>
      </c>
      <c r="D16" s="2">
        <v>57.988714285714295</v>
      </c>
      <c r="E16" s="2">
        <v>90.34114285714287</v>
      </c>
      <c r="F16" s="2">
        <v>6.1380952380952385</v>
      </c>
      <c r="G16" s="2">
        <v>179.52342857142858</v>
      </c>
      <c r="H16" s="2">
        <v>62</v>
      </c>
      <c r="I16" s="17">
        <v>1</v>
      </c>
      <c r="J16" s="2">
        <v>0</v>
      </c>
      <c r="K16" s="2">
        <v>1916.3661904761907</v>
      </c>
      <c r="L16" s="2">
        <v>521.89842857142855</v>
      </c>
    </row>
    <row r="17" spans="1:12" x14ac:dyDescent="0.3">
      <c r="A17" s="7">
        <v>45181</v>
      </c>
      <c r="B17" s="2">
        <v>2509.6561904761907</v>
      </c>
      <c r="C17" s="2">
        <v>319.92809523809524</v>
      </c>
      <c r="D17" s="2">
        <v>88.878047619047621</v>
      </c>
      <c r="E17" s="2">
        <v>118.19180952380955</v>
      </c>
      <c r="F17" s="2">
        <v>21.486095238095235</v>
      </c>
      <c r="G17" s="2">
        <v>202.70042857142857</v>
      </c>
      <c r="H17" s="2">
        <v>80.7</v>
      </c>
      <c r="I17" s="17">
        <v>1</v>
      </c>
      <c r="J17" s="2">
        <v>0</v>
      </c>
      <c r="K17" s="2">
        <v>2509.6561904761907</v>
      </c>
      <c r="L17" s="2">
        <v>799.90242857142857</v>
      </c>
    </row>
    <row r="18" spans="1:12" x14ac:dyDescent="0.3">
      <c r="A18" s="7">
        <v>45182</v>
      </c>
      <c r="B18" s="2">
        <v>1897.9945238095238</v>
      </c>
      <c r="C18" s="2">
        <v>315.30142857142857</v>
      </c>
      <c r="D18" s="2">
        <v>46.039214285714294</v>
      </c>
      <c r="E18" s="2">
        <v>63.608142857142873</v>
      </c>
      <c r="F18" s="2">
        <v>7.8287619047619055</v>
      </c>
      <c r="G18" s="2">
        <v>240.46942857142858</v>
      </c>
      <c r="H18" s="2">
        <v>63</v>
      </c>
      <c r="I18" s="17">
        <v>1</v>
      </c>
      <c r="J18" s="2">
        <v>0</v>
      </c>
      <c r="K18" s="2">
        <v>1897.9945238095238</v>
      </c>
      <c r="L18" s="2">
        <v>414.35292857142861</v>
      </c>
    </row>
    <row r="19" spans="1:12" x14ac:dyDescent="0.3">
      <c r="A19" s="7">
        <v>45183</v>
      </c>
      <c r="B19" s="2">
        <v>1905.5766666666666</v>
      </c>
      <c r="C19" s="2">
        <v>318.57666666666671</v>
      </c>
      <c r="D19" s="2">
        <v>36.557333333333332</v>
      </c>
      <c r="E19" s="2">
        <v>85.582666666666697</v>
      </c>
      <c r="F19" s="2">
        <v>18.935333333333332</v>
      </c>
      <c r="G19" s="2">
        <v>216.03299999999999</v>
      </c>
      <c r="H19" s="2">
        <v>68</v>
      </c>
      <c r="I19" s="17">
        <v>1</v>
      </c>
      <c r="J19" s="2">
        <v>0</v>
      </c>
      <c r="K19" s="2">
        <v>1905.5766666666666</v>
      </c>
      <c r="L19" s="2">
        <v>329.01600000000002</v>
      </c>
    </row>
    <row r="20" spans="1:12" ht="19.5" customHeight="1" x14ac:dyDescent="0.3">
      <c r="A20" s="7">
        <v>45184</v>
      </c>
      <c r="B20" s="2">
        <v>2422.3561904761909</v>
      </c>
      <c r="C20" s="2">
        <v>376.82809523809527</v>
      </c>
      <c r="D20" s="2">
        <v>61.108047619047625</v>
      </c>
      <c r="E20" s="2">
        <v>97.221809523809554</v>
      </c>
      <c r="F20" s="2">
        <v>21.076095238095238</v>
      </c>
      <c r="G20" s="2">
        <v>251.60042857142858</v>
      </c>
      <c r="H20" s="2">
        <v>74.5</v>
      </c>
      <c r="I20" s="17">
        <v>0.5</v>
      </c>
      <c r="J20" s="2">
        <v>0</v>
      </c>
      <c r="K20" s="2">
        <v>2422.3561904761909</v>
      </c>
      <c r="L20" s="2">
        <v>549.97242857142851</v>
      </c>
    </row>
    <row r="21" spans="1:12" x14ac:dyDescent="0.3">
      <c r="A21" s="7">
        <v>45194</v>
      </c>
      <c r="B21" s="2">
        <v>1743.45</v>
      </c>
      <c r="C21" s="2">
        <v>283.65833333333336</v>
      </c>
      <c r="D21" s="2">
        <v>56.008333333333333</v>
      </c>
      <c r="E21" s="2">
        <v>84.8</v>
      </c>
      <c r="F21" s="2">
        <v>50.25</v>
      </c>
      <c r="G21" s="2">
        <v>154.22499999999999</v>
      </c>
      <c r="H21" s="2">
        <v>66.5</v>
      </c>
      <c r="I21" s="17">
        <v>0.5</v>
      </c>
      <c r="J21" s="2">
        <v>0</v>
      </c>
      <c r="K21" s="2">
        <v>1743.45</v>
      </c>
      <c r="L21" s="2">
        <v>504.07499999999999</v>
      </c>
    </row>
    <row r="22" spans="1:12" x14ac:dyDescent="0.3">
      <c r="A22" s="7">
        <v>45195</v>
      </c>
      <c r="B22" s="2">
        <v>1795.4166666666667</v>
      </c>
      <c r="C22" s="2">
        <v>320.09833333333336</v>
      </c>
      <c r="D22" s="2">
        <v>29.553333333333331</v>
      </c>
      <c r="E22" s="2">
        <v>90.1666666666667</v>
      </c>
      <c r="F22" s="2">
        <v>42.650000000000006</v>
      </c>
      <c r="G22" s="2">
        <v>195.91666666666666</v>
      </c>
      <c r="H22" s="2">
        <v>63.5</v>
      </c>
      <c r="I22" s="17">
        <v>0.5</v>
      </c>
      <c r="J22" s="2">
        <v>0</v>
      </c>
      <c r="K22" s="2">
        <v>1795.4166666666667</v>
      </c>
      <c r="L22" s="2">
        <v>265.98</v>
      </c>
    </row>
    <row r="23" spans="1:12" x14ac:dyDescent="0.3">
      <c r="A23" s="7">
        <v>45196</v>
      </c>
      <c r="B23" s="2">
        <v>2023.95</v>
      </c>
      <c r="C23" s="2">
        <v>301.1583333333333</v>
      </c>
      <c r="D23" s="2">
        <v>57.408333333333331</v>
      </c>
      <c r="E23" s="2">
        <v>85</v>
      </c>
      <c r="F23" s="2">
        <v>8.35</v>
      </c>
      <c r="G23" s="2">
        <v>188.92500000000001</v>
      </c>
      <c r="H23" s="2">
        <v>48.5</v>
      </c>
      <c r="I23" s="17">
        <v>0.5</v>
      </c>
      <c r="J23" s="2">
        <v>0</v>
      </c>
      <c r="K23" s="2">
        <v>2023.95</v>
      </c>
      <c r="L23" s="2">
        <v>516.67499999999995</v>
      </c>
    </row>
    <row r="24" spans="1:12" x14ac:dyDescent="0.3">
      <c r="A24" s="7">
        <v>45197</v>
      </c>
      <c r="B24" s="2">
        <v>1946.5166666666669</v>
      </c>
      <c r="C24" s="2">
        <v>298.82833333333338</v>
      </c>
      <c r="D24" s="2">
        <v>38.973333333333336</v>
      </c>
      <c r="E24" s="2">
        <v>123.1966666666667</v>
      </c>
      <c r="F24" s="2">
        <v>58.25</v>
      </c>
      <c r="G24" s="2">
        <v>70.116666666666674</v>
      </c>
      <c r="H24" s="2">
        <v>20.5</v>
      </c>
      <c r="I24" s="17">
        <v>1</v>
      </c>
      <c r="J24" s="2">
        <v>0</v>
      </c>
      <c r="K24" s="2">
        <v>1946.5166666666669</v>
      </c>
      <c r="L24" s="2">
        <v>350.76000000000005</v>
      </c>
    </row>
    <row r="25" spans="1:12" x14ac:dyDescent="0.3">
      <c r="A25" s="7">
        <v>45281</v>
      </c>
      <c r="B25" s="2">
        <v>1341.5</v>
      </c>
      <c r="C25" s="2">
        <v>160.94499999999999</v>
      </c>
      <c r="D25" s="2">
        <v>46.071666666666665</v>
      </c>
      <c r="E25" s="2">
        <v>78.531666666666666</v>
      </c>
      <c r="F25" s="2">
        <v>51.736666666666665</v>
      </c>
      <c r="G25" s="2">
        <v>39.321666666666665</v>
      </c>
      <c r="H25" s="2">
        <v>20.25</v>
      </c>
      <c r="I25" s="17">
        <v>0.5</v>
      </c>
      <c r="J25" s="2">
        <v>0</v>
      </c>
      <c r="K25" s="2">
        <v>1341.5</v>
      </c>
      <c r="L25" s="2">
        <v>414.64499999999998</v>
      </c>
    </row>
    <row r="26" spans="1:12" x14ac:dyDescent="0.3">
      <c r="A26" s="7">
        <v>45298</v>
      </c>
      <c r="B26" s="2">
        <v>1972.5</v>
      </c>
      <c r="C26" s="2">
        <v>163.6</v>
      </c>
      <c r="D26" s="2">
        <v>99</v>
      </c>
      <c r="E26" s="2">
        <v>83.6</v>
      </c>
      <c r="F26" s="2">
        <v>15</v>
      </c>
      <c r="G26" s="2">
        <v>54</v>
      </c>
      <c r="H26" s="2">
        <v>23</v>
      </c>
      <c r="I26" s="17">
        <v>1.5</v>
      </c>
      <c r="J26" s="2">
        <v>0</v>
      </c>
      <c r="K26" s="2">
        <v>1972.5</v>
      </c>
      <c r="L26" s="2">
        <v>891</v>
      </c>
    </row>
    <row r="27" spans="1:12" x14ac:dyDescent="0.3">
      <c r="A27" s="7">
        <v>45299</v>
      </c>
      <c r="B27" s="2">
        <v>1698.2416666666668</v>
      </c>
      <c r="C27" s="2">
        <v>187.22583333333333</v>
      </c>
      <c r="D27" s="2">
        <v>73.721666666666678</v>
      </c>
      <c r="E27" s="2">
        <v>76.872500000000002</v>
      </c>
      <c r="F27" s="2">
        <v>12.864999999999998</v>
      </c>
      <c r="G27" s="2">
        <v>61.56583333333333</v>
      </c>
      <c r="H27" s="2">
        <v>12</v>
      </c>
      <c r="I27" s="17">
        <v>1.5</v>
      </c>
      <c r="J27" s="2">
        <v>0</v>
      </c>
      <c r="K27" s="2">
        <v>1386.1666666666665</v>
      </c>
      <c r="L27" s="2">
        <v>542.09999999999991</v>
      </c>
    </row>
    <row r="28" spans="1:12" x14ac:dyDescent="0.3">
      <c r="A28" s="7">
        <v>45300</v>
      </c>
      <c r="B28" s="2">
        <v>1634.3333333333301</v>
      </c>
      <c r="C28" s="2">
        <v>264.98333333333301</v>
      </c>
      <c r="D28" s="2">
        <v>39.058333333333302</v>
      </c>
      <c r="E28" s="2">
        <v>69.483333333333306</v>
      </c>
      <c r="F28" s="2">
        <v>48.1</v>
      </c>
      <c r="G28" s="2">
        <v>108.425</v>
      </c>
      <c r="H28" s="2">
        <v>23.5</v>
      </c>
      <c r="I28" s="17">
        <v>1.5</v>
      </c>
      <c r="J28" s="2">
        <v>0</v>
      </c>
      <c r="K28" s="2">
        <v>1634.3333333333301</v>
      </c>
      <c r="L28" s="2">
        <v>351.52499999997002</v>
      </c>
    </row>
    <row r="29" spans="1:12" x14ac:dyDescent="0.3">
      <c r="A29" s="7">
        <v>45301</v>
      </c>
      <c r="B29" s="2">
        <v>1920.9083333333333</v>
      </c>
      <c r="C29" s="2">
        <v>248.99416666666667</v>
      </c>
      <c r="D29" s="2">
        <v>62.796666666666667</v>
      </c>
      <c r="E29" s="2">
        <v>105.73583333333333</v>
      </c>
      <c r="F29" s="2">
        <v>59.191666666666663</v>
      </c>
      <c r="G29" s="2">
        <v>73.819999999999993</v>
      </c>
      <c r="H29" s="2">
        <v>22</v>
      </c>
      <c r="I29" s="17">
        <v>1.5</v>
      </c>
      <c r="J29" s="2">
        <v>0</v>
      </c>
      <c r="K29" s="2">
        <v>1920.9083333333333</v>
      </c>
      <c r="L29" s="2">
        <v>565.16999999999996</v>
      </c>
    </row>
    <row r="30" spans="1:12" x14ac:dyDescent="0.3">
      <c r="A30" s="7">
        <v>45317</v>
      </c>
      <c r="B30" s="2">
        <v>1465</v>
      </c>
      <c r="C30" s="2">
        <v>189.5</v>
      </c>
      <c r="D30" s="2">
        <v>50.5</v>
      </c>
      <c r="E30" s="2">
        <v>73</v>
      </c>
      <c r="F30" s="2">
        <v>19</v>
      </c>
      <c r="G30" s="2">
        <v>67.5</v>
      </c>
      <c r="H30" s="2">
        <v>17</v>
      </c>
      <c r="I30" s="17">
        <v>0.5</v>
      </c>
      <c r="J30" s="2">
        <v>0</v>
      </c>
      <c r="K30" s="2">
        <v>1465</v>
      </c>
      <c r="L30" s="2">
        <v>454.5</v>
      </c>
    </row>
    <row r="31" spans="1:12" x14ac:dyDescent="0.3">
      <c r="A31" s="7">
        <v>45318</v>
      </c>
      <c r="B31" s="2">
        <v>2521</v>
      </c>
      <c r="C31" s="2">
        <v>499.95</v>
      </c>
      <c r="D31" s="2">
        <v>85</v>
      </c>
      <c r="E31" s="2">
        <v>71.5</v>
      </c>
      <c r="F31" s="2">
        <v>34.5</v>
      </c>
      <c r="G31" s="2">
        <v>325.45</v>
      </c>
      <c r="H31" s="2">
        <v>72.5</v>
      </c>
      <c r="I31" s="17">
        <v>0.75</v>
      </c>
      <c r="J31" s="2">
        <v>0</v>
      </c>
      <c r="K31" s="2">
        <v>2521</v>
      </c>
      <c r="L31" s="2">
        <v>765</v>
      </c>
    </row>
    <row r="32" spans="1:12" x14ac:dyDescent="0.3">
      <c r="A32" s="7">
        <v>45319</v>
      </c>
      <c r="B32" s="2">
        <v>1385.1916666666666</v>
      </c>
      <c r="C32" s="2">
        <v>172.41208333333333</v>
      </c>
      <c r="D32" s="2">
        <v>39.075833333333335</v>
      </c>
      <c r="E32" s="2">
        <v>74.289583333333354</v>
      </c>
      <c r="F32" s="2">
        <v>41.209583333333342</v>
      </c>
      <c r="G32" s="2">
        <v>66.442083333333329</v>
      </c>
      <c r="H32" s="2">
        <v>16.350000000000001</v>
      </c>
      <c r="I32" s="17">
        <v>0.5</v>
      </c>
      <c r="J32" s="2">
        <v>0</v>
      </c>
      <c r="K32" s="2">
        <v>1385.1916666666666</v>
      </c>
      <c r="L32" s="2">
        <v>351.6825</v>
      </c>
    </row>
    <row r="33" spans="1:12" x14ac:dyDescent="0.3">
      <c r="A33" s="7">
        <v>45320</v>
      </c>
      <c r="B33" s="2">
        <v>570</v>
      </c>
      <c r="C33" s="2">
        <v>108</v>
      </c>
      <c r="D33" s="2">
        <v>12</v>
      </c>
      <c r="E33" s="2">
        <v>4</v>
      </c>
      <c r="F33" s="2">
        <v>8</v>
      </c>
      <c r="G33" s="2">
        <v>46</v>
      </c>
      <c r="H33" s="2">
        <v>6</v>
      </c>
      <c r="I33" s="17">
        <v>0.5</v>
      </c>
      <c r="J33" s="2">
        <v>0</v>
      </c>
      <c r="K33" s="2">
        <v>570</v>
      </c>
      <c r="L33" s="2">
        <v>108</v>
      </c>
    </row>
    <row r="34" spans="1:12" x14ac:dyDescent="0.3">
      <c r="A34" s="7">
        <v>45321</v>
      </c>
      <c r="B34" s="2">
        <v>1946.3333333333301</v>
      </c>
      <c r="C34" s="2">
        <v>259.04000000000002</v>
      </c>
      <c r="D34" s="2">
        <v>60.098333333333343</v>
      </c>
      <c r="E34" s="2">
        <v>104.32666666666668</v>
      </c>
      <c r="F34" s="2">
        <v>47.730000000000004</v>
      </c>
      <c r="G34" s="2">
        <v>67.668333333333322</v>
      </c>
      <c r="H34" s="2">
        <v>19.3</v>
      </c>
      <c r="I34" s="17">
        <v>2</v>
      </c>
      <c r="J34" s="2">
        <v>0</v>
      </c>
      <c r="K34" s="2">
        <v>1946.3333333333333</v>
      </c>
      <c r="L34" s="2">
        <v>540.88499999999999</v>
      </c>
    </row>
    <row r="35" spans="1:12" x14ac:dyDescent="0.3">
      <c r="A35" s="7">
        <v>45322</v>
      </c>
      <c r="B35" s="2">
        <v>1265.2333333333333</v>
      </c>
      <c r="C35" s="2">
        <v>195.20333333333332</v>
      </c>
      <c r="D35" s="2">
        <v>34.861666666666672</v>
      </c>
      <c r="E35" s="2">
        <v>69.580000000000013</v>
      </c>
      <c r="F35" s="2">
        <v>42.556666666666672</v>
      </c>
      <c r="G35" s="2">
        <v>96.87166666666667</v>
      </c>
      <c r="H35" s="2">
        <v>20.9</v>
      </c>
      <c r="I35" s="17">
        <v>1.5</v>
      </c>
      <c r="J35" s="2">
        <v>0</v>
      </c>
      <c r="K35" s="2">
        <v>1265.2333333333333</v>
      </c>
      <c r="L35" s="2">
        <v>313.755</v>
      </c>
    </row>
    <row r="36" spans="1:12" x14ac:dyDescent="0.3">
      <c r="A36" s="7">
        <v>45323</v>
      </c>
      <c r="B36" s="2">
        <v>2167.3333333333335</v>
      </c>
      <c r="C36" s="2">
        <v>309.47333333333336</v>
      </c>
      <c r="D36" s="2">
        <v>70.801666666666662</v>
      </c>
      <c r="E36" s="2">
        <v>67.880000000000024</v>
      </c>
      <c r="F36" s="2">
        <v>19.906666666666666</v>
      </c>
      <c r="G36" s="2">
        <v>213.35166666666666</v>
      </c>
      <c r="H36" s="2">
        <v>17.5</v>
      </c>
      <c r="I36" s="17">
        <v>1</v>
      </c>
      <c r="J36" s="2">
        <v>0</v>
      </c>
      <c r="K36" s="2">
        <v>2167.3333333333335</v>
      </c>
      <c r="L36" s="2">
        <v>637.21499999999992</v>
      </c>
    </row>
    <row r="37" spans="1:12" x14ac:dyDescent="0.3">
      <c r="A37" s="7">
        <v>45324</v>
      </c>
      <c r="B37" s="2">
        <v>4080</v>
      </c>
      <c r="C37" s="2">
        <v>349</v>
      </c>
      <c r="D37" s="2">
        <v>229</v>
      </c>
      <c r="E37" s="2">
        <v>163</v>
      </c>
      <c r="F37" s="2">
        <v>15</v>
      </c>
      <c r="G37" s="2">
        <v>91</v>
      </c>
      <c r="H37" s="2">
        <v>12</v>
      </c>
      <c r="I37" s="17">
        <v>0</v>
      </c>
      <c r="J37" s="2">
        <v>0</v>
      </c>
      <c r="K37" s="2">
        <v>4080</v>
      </c>
      <c r="L37" s="2">
        <v>2061</v>
      </c>
    </row>
    <row r="38" spans="1:12" x14ac:dyDescent="0.3">
      <c r="A38" s="7">
        <v>45325</v>
      </c>
      <c r="B38" s="2">
        <v>2535.9333333333334</v>
      </c>
      <c r="C38" s="2">
        <v>235.18333333333331</v>
      </c>
      <c r="D38" s="2">
        <v>120.44166666666668</v>
      </c>
      <c r="E38" s="2">
        <v>99.950000000000031</v>
      </c>
      <c r="F38" s="2">
        <v>25.366666666666667</v>
      </c>
      <c r="G38" s="2">
        <v>30.091666666666669</v>
      </c>
      <c r="H38" s="2">
        <v>35</v>
      </c>
      <c r="I38" s="17">
        <v>2</v>
      </c>
      <c r="J38" s="2">
        <v>0</v>
      </c>
      <c r="K38" s="2">
        <v>2535.9333333333334</v>
      </c>
      <c r="L38" s="2">
        <v>1083.9749999999999</v>
      </c>
    </row>
    <row r="39" spans="1:12" x14ac:dyDescent="0.3">
      <c r="A39" s="7">
        <v>45326</v>
      </c>
      <c r="B39" s="2">
        <v>1635.9333333333334</v>
      </c>
      <c r="C39" s="2">
        <v>139.18333333333331</v>
      </c>
      <c r="D39" s="2">
        <v>82.441666666666677</v>
      </c>
      <c r="E39" s="2">
        <v>78.450000000000017</v>
      </c>
      <c r="F39" s="2">
        <v>21.866666666666667</v>
      </c>
      <c r="G39" s="2">
        <v>20.591666666666669</v>
      </c>
      <c r="H39" s="2">
        <v>21.5</v>
      </c>
      <c r="I39" s="17">
        <v>2</v>
      </c>
      <c r="J39" s="2">
        <v>0</v>
      </c>
      <c r="K39" s="2">
        <v>1635.9333333333334</v>
      </c>
      <c r="L39" s="2">
        <v>741.97499999999991</v>
      </c>
    </row>
    <row r="40" spans="1:12" x14ac:dyDescent="0.3">
      <c r="A40" s="7">
        <v>45327</v>
      </c>
      <c r="B40" s="2">
        <v>1645.3333333333333</v>
      </c>
      <c r="C40" s="2">
        <v>119.54166666666666</v>
      </c>
      <c r="D40" s="2">
        <v>76.603333333333339</v>
      </c>
      <c r="E40" s="2">
        <v>108.05500000000001</v>
      </c>
      <c r="F40" s="2">
        <v>8.2449999999999992</v>
      </c>
      <c r="G40" s="2">
        <v>40.258333333333333</v>
      </c>
      <c r="H40" s="2">
        <v>7.5</v>
      </c>
      <c r="I40" s="17">
        <v>1.5</v>
      </c>
      <c r="J40" s="2">
        <v>0</v>
      </c>
      <c r="K40" s="2">
        <v>1645.3333333333333</v>
      </c>
      <c r="L40" s="2">
        <v>689.43</v>
      </c>
    </row>
    <row r="41" spans="1:12" x14ac:dyDescent="0.3">
      <c r="A41" s="7">
        <v>45328</v>
      </c>
      <c r="B41" s="2">
        <v>1216.2666666666669</v>
      </c>
      <c r="C41" s="2">
        <v>111.93333333333332</v>
      </c>
      <c r="D41" s="2">
        <v>55.379166666666663</v>
      </c>
      <c r="E41" s="2">
        <v>75.029166666666669</v>
      </c>
      <c r="F41" s="2">
        <v>4.5958333333333332</v>
      </c>
      <c r="G41" s="2">
        <v>31.554166666666667</v>
      </c>
      <c r="H41" s="2">
        <v>8.25</v>
      </c>
      <c r="I41" s="17">
        <v>1</v>
      </c>
      <c r="J41" s="2">
        <v>0</v>
      </c>
      <c r="K41" s="2">
        <v>1216.2666666666669</v>
      </c>
      <c r="L41" s="2">
        <v>498.41249999999997</v>
      </c>
    </row>
    <row r="42" spans="1:12" x14ac:dyDescent="0.3">
      <c r="A42" s="7">
        <v>45329</v>
      </c>
      <c r="B42" s="2">
        <v>2812.3583333333336</v>
      </c>
      <c r="C42" s="2">
        <v>287.93333333333334</v>
      </c>
      <c r="D42" s="2">
        <v>127.2</v>
      </c>
      <c r="E42" s="2">
        <v>119.9875</v>
      </c>
      <c r="F42" s="2">
        <v>9.2687499999999989</v>
      </c>
      <c r="G42" s="2">
        <v>131.35</v>
      </c>
      <c r="H42" s="2">
        <v>16</v>
      </c>
      <c r="I42" s="17">
        <v>2</v>
      </c>
      <c r="J42" s="2">
        <v>0</v>
      </c>
      <c r="K42" s="2">
        <v>2812.3583333333336</v>
      </c>
      <c r="L42" s="2">
        <v>1144.8</v>
      </c>
    </row>
    <row r="43" spans="1:12" x14ac:dyDescent="0.3">
      <c r="A43" s="7">
        <v>45330</v>
      </c>
      <c r="B43" s="2">
        <v>1805.45</v>
      </c>
      <c r="C43" s="2">
        <v>206.88333333333333</v>
      </c>
      <c r="D43" s="2">
        <v>83.064583333333331</v>
      </c>
      <c r="E43" s="2">
        <v>56.15</v>
      </c>
      <c r="F43" s="2">
        <v>13.204166666666666</v>
      </c>
      <c r="G43" s="2">
        <v>38.685416666666669</v>
      </c>
      <c r="H43" s="2">
        <v>10.25</v>
      </c>
      <c r="I43" s="17">
        <v>2</v>
      </c>
      <c r="J43" s="2">
        <v>0</v>
      </c>
      <c r="K43" s="2">
        <v>1805.45</v>
      </c>
      <c r="L43" s="2">
        <v>747.58124999999995</v>
      </c>
    </row>
    <row r="44" spans="1:12" x14ac:dyDescent="0.3">
      <c r="A44" s="7">
        <v>45331</v>
      </c>
      <c r="B44" s="2">
        <v>1547.6925000000001</v>
      </c>
      <c r="C44" s="2">
        <v>204.06225000000001</v>
      </c>
      <c r="D44" s="2">
        <v>56.902499999999996</v>
      </c>
      <c r="E44" s="2">
        <v>50.186</v>
      </c>
      <c r="F44" s="2">
        <v>10.215249999999999</v>
      </c>
      <c r="G44" s="2">
        <v>58.955750000000002</v>
      </c>
      <c r="H44" s="2">
        <v>6</v>
      </c>
      <c r="I44" s="17">
        <v>2</v>
      </c>
      <c r="J44" s="2">
        <v>0</v>
      </c>
      <c r="K44" s="2">
        <v>1547.6925000000001</v>
      </c>
      <c r="L44" s="2">
        <v>512.12249999999995</v>
      </c>
    </row>
    <row r="45" spans="1:12" x14ac:dyDescent="0.3">
      <c r="A45" s="7">
        <v>45332</v>
      </c>
      <c r="B45" s="2">
        <v>2194.1925000000001</v>
      </c>
      <c r="C45" s="2">
        <v>280.62708333333336</v>
      </c>
      <c r="D45" s="2">
        <v>82.025833333333338</v>
      </c>
      <c r="E45" s="2">
        <v>99.683000000000007</v>
      </c>
      <c r="F45" s="2">
        <v>47.375416666666666</v>
      </c>
      <c r="G45" s="2">
        <v>58.923416666666668</v>
      </c>
      <c r="H45" s="2">
        <v>20.84</v>
      </c>
      <c r="I45" s="17">
        <v>4</v>
      </c>
      <c r="J45" s="2">
        <v>0</v>
      </c>
      <c r="K45" s="2">
        <v>2194.1925000000001</v>
      </c>
      <c r="L45" s="2">
        <v>738.23249999999996</v>
      </c>
    </row>
    <row r="46" spans="1:12" x14ac:dyDescent="0.3">
      <c r="A46" s="7">
        <v>45333</v>
      </c>
      <c r="B46" s="2">
        <v>954.40000000000009</v>
      </c>
      <c r="C46" s="2">
        <v>116.63333333333333</v>
      </c>
      <c r="D46" s="2">
        <v>34.75833333333334</v>
      </c>
      <c r="E46" s="2">
        <v>62.6</v>
      </c>
      <c r="F46" s="2">
        <v>39.766666666666666</v>
      </c>
      <c r="G46" s="2">
        <v>15.641666666666664</v>
      </c>
      <c r="H46" s="2">
        <v>16</v>
      </c>
      <c r="I46" s="17">
        <v>2</v>
      </c>
      <c r="J46" s="2">
        <v>0</v>
      </c>
      <c r="K46" s="2">
        <v>954.40000000000009</v>
      </c>
      <c r="L46" s="2">
        <v>312.82499999999999</v>
      </c>
    </row>
    <row r="47" spans="1:12" x14ac:dyDescent="0.3">
      <c r="A47" s="7">
        <v>45334</v>
      </c>
      <c r="B47" s="2">
        <v>1094.4000000000001</v>
      </c>
      <c r="C47" s="2">
        <v>142.63333333333333</v>
      </c>
      <c r="D47" s="2">
        <v>37.75833333333334</v>
      </c>
      <c r="E47" s="2">
        <v>63.6</v>
      </c>
      <c r="F47" s="2">
        <v>41.766666666666666</v>
      </c>
      <c r="G47" s="2">
        <v>26.641666666666666</v>
      </c>
      <c r="H47" s="2">
        <v>17</v>
      </c>
      <c r="I47" s="17">
        <v>1</v>
      </c>
      <c r="J47" s="2">
        <v>0</v>
      </c>
      <c r="K47" s="2">
        <v>1094.4000000000001</v>
      </c>
      <c r="L47" s="2">
        <v>339.82499999999999</v>
      </c>
    </row>
    <row r="48" spans="1:12" x14ac:dyDescent="0.3">
      <c r="A48" s="7">
        <v>45335</v>
      </c>
      <c r="B48" s="2">
        <v>952.90000000000009</v>
      </c>
      <c r="C48" s="2">
        <v>116.42333333333333</v>
      </c>
      <c r="D48" s="2">
        <v>34.708333333333336</v>
      </c>
      <c r="E48" s="2">
        <v>62.42</v>
      </c>
      <c r="F48" s="2">
        <v>39.376666666666665</v>
      </c>
      <c r="G48" s="2">
        <v>15.801666666666666</v>
      </c>
      <c r="H48" s="2">
        <v>15.899999999999999</v>
      </c>
      <c r="I48" s="17">
        <v>1.5</v>
      </c>
      <c r="J48" s="2">
        <v>0</v>
      </c>
      <c r="K48" s="2">
        <v>952.90000000000009</v>
      </c>
      <c r="L48" s="2">
        <v>312.37499999999994</v>
      </c>
    </row>
    <row r="49" spans="1:12" x14ac:dyDescent="0.3">
      <c r="A49" s="7">
        <v>45336</v>
      </c>
      <c r="B49" s="2">
        <v>2076.0425</v>
      </c>
      <c r="C49" s="2">
        <v>293.27308333333337</v>
      </c>
      <c r="D49" s="2">
        <v>59.710833333333341</v>
      </c>
      <c r="E49" s="2">
        <v>85.606000000000009</v>
      </c>
      <c r="F49" s="2">
        <v>22.054416666666665</v>
      </c>
      <c r="G49" s="2">
        <v>145.95741666666666</v>
      </c>
      <c r="H49" s="2">
        <v>17.899999999999999</v>
      </c>
      <c r="I49" s="17">
        <v>2</v>
      </c>
      <c r="J49" s="2">
        <v>0</v>
      </c>
      <c r="K49" s="2">
        <v>2076.0425</v>
      </c>
      <c r="L49" s="2">
        <v>537.39750000000004</v>
      </c>
    </row>
    <row r="50" spans="1:12" x14ac:dyDescent="0.3">
      <c r="A50" s="7">
        <v>45337</v>
      </c>
      <c r="B50" s="2">
        <v>1171.1500000000001</v>
      </c>
      <c r="C50" s="2">
        <v>124.89999999999998</v>
      </c>
      <c r="D50" s="2">
        <v>43.975000000000001</v>
      </c>
      <c r="E50" s="2">
        <v>63.933333333333337</v>
      </c>
      <c r="F50" s="2">
        <v>21.25</v>
      </c>
      <c r="G50" s="2">
        <v>36.741666666666667</v>
      </c>
      <c r="H50" s="2">
        <v>17</v>
      </c>
      <c r="I50" s="17">
        <v>1.5</v>
      </c>
      <c r="J50" s="2">
        <v>0</v>
      </c>
      <c r="K50" s="2">
        <v>1171.1500000000001</v>
      </c>
      <c r="L50" s="2">
        <v>395.77500000000003</v>
      </c>
    </row>
    <row r="51" spans="1:12" x14ac:dyDescent="0.3">
      <c r="A51" s="7">
        <v>45338</v>
      </c>
      <c r="B51" s="2">
        <v>1103.1424999999999</v>
      </c>
      <c r="C51" s="2">
        <v>126.84975</v>
      </c>
      <c r="D51" s="2">
        <v>45.002499999999998</v>
      </c>
      <c r="E51" s="2">
        <v>45.186</v>
      </c>
      <c r="F51" s="2">
        <v>5.1777499999999996</v>
      </c>
      <c r="G51" s="2">
        <v>32.655749999999998</v>
      </c>
      <c r="H51" s="2">
        <v>6</v>
      </c>
      <c r="I51" s="17">
        <v>1</v>
      </c>
      <c r="J51" s="2">
        <v>0</v>
      </c>
      <c r="K51" s="2">
        <v>1103.1424999999999</v>
      </c>
      <c r="L51" s="2">
        <v>405.02249999999998</v>
      </c>
    </row>
    <row r="52" spans="1:12" x14ac:dyDescent="0.3">
      <c r="A52" s="7">
        <v>45339</v>
      </c>
      <c r="B52" s="2">
        <v>1099.3403333333333</v>
      </c>
      <c r="C52" s="2">
        <v>136.31986666666666</v>
      </c>
      <c r="D52" s="2">
        <v>36.88773333333333</v>
      </c>
      <c r="E52" s="2">
        <v>50.2958</v>
      </c>
      <c r="F52" s="2">
        <v>6.9224333333333323</v>
      </c>
      <c r="G52" s="2">
        <v>43.19756666666666</v>
      </c>
      <c r="H52" s="2">
        <v>5.2</v>
      </c>
      <c r="I52" s="17">
        <v>3</v>
      </c>
      <c r="J52" s="2">
        <v>0</v>
      </c>
      <c r="K52" s="2">
        <v>1099.3403333333333</v>
      </c>
      <c r="L52" s="2">
        <v>331.9896</v>
      </c>
    </row>
    <row r="53" spans="1:12" x14ac:dyDescent="0.3">
      <c r="A53" s="7">
        <v>45340</v>
      </c>
      <c r="B53" s="2">
        <v>929.57666666666671</v>
      </c>
      <c r="C53" s="2">
        <v>119.70183333333333</v>
      </c>
      <c r="D53" s="2">
        <v>29.758666666666667</v>
      </c>
      <c r="E53" s="2">
        <v>61.1265</v>
      </c>
      <c r="F53" s="2">
        <v>38.244666666666667</v>
      </c>
      <c r="G53" s="2">
        <v>19.880333333333333</v>
      </c>
      <c r="H53" s="2">
        <v>16.700000000000003</v>
      </c>
      <c r="I53" s="17">
        <v>2</v>
      </c>
      <c r="J53" s="2">
        <v>0</v>
      </c>
      <c r="K53" s="2">
        <v>929.57666666666671</v>
      </c>
      <c r="L53" s="2">
        <v>267.82800000000003</v>
      </c>
    </row>
    <row r="54" spans="1:12" x14ac:dyDescent="0.3">
      <c r="A54" s="7">
        <v>45341</v>
      </c>
      <c r="B54" s="2">
        <v>1264.6766666666667</v>
      </c>
      <c r="C54" s="2">
        <v>131.39683333333335</v>
      </c>
      <c r="D54" s="2">
        <v>55.948666666666668</v>
      </c>
      <c r="E54" s="2">
        <v>74.95150000000001</v>
      </c>
      <c r="F54" s="2">
        <v>39.94466666666667</v>
      </c>
      <c r="G54" s="2">
        <v>22.310333333333336</v>
      </c>
      <c r="H54" s="2">
        <v>20.05</v>
      </c>
      <c r="I54" s="17">
        <v>1.5</v>
      </c>
      <c r="J54" s="2">
        <v>0</v>
      </c>
      <c r="K54" s="2">
        <v>1264.6766666666667</v>
      </c>
      <c r="L54" s="2">
        <v>503.53800000000007</v>
      </c>
    </row>
    <row r="55" spans="1:12" x14ac:dyDescent="0.3">
      <c r="A55" s="7">
        <v>45342</v>
      </c>
      <c r="B55" s="2">
        <v>1016.4766666666667</v>
      </c>
      <c r="C55" s="2">
        <v>129.08183333333335</v>
      </c>
      <c r="D55" s="2">
        <v>34.86866666666667</v>
      </c>
      <c r="E55" s="2">
        <v>62.576499999999996</v>
      </c>
      <c r="F55" s="2">
        <v>39.494666666666667</v>
      </c>
      <c r="G55" s="2">
        <v>20.500333333333334</v>
      </c>
      <c r="H55" s="2">
        <v>17.600000000000001</v>
      </c>
      <c r="I55" s="17">
        <v>1.5</v>
      </c>
      <c r="J55" s="2">
        <v>0</v>
      </c>
      <c r="K55" s="2">
        <v>1016.4766666666667</v>
      </c>
      <c r="L55" s="2">
        <v>313.81800000000004</v>
      </c>
    </row>
    <row r="56" spans="1:12" x14ac:dyDescent="0.3">
      <c r="A56" s="7">
        <v>45343</v>
      </c>
      <c r="B56" s="2">
        <v>1494.2766666666666</v>
      </c>
      <c r="C56" s="2">
        <v>168.80183333333335</v>
      </c>
      <c r="D56" s="2">
        <v>64.888666666666666</v>
      </c>
      <c r="E56" s="2">
        <v>75.656499999999994</v>
      </c>
      <c r="F56" s="2">
        <v>49.134666666666668</v>
      </c>
      <c r="G56" s="2">
        <v>26.580333333333336</v>
      </c>
      <c r="H56" s="2">
        <v>24</v>
      </c>
      <c r="I56" s="17">
        <v>1</v>
      </c>
      <c r="J56" s="2">
        <v>0</v>
      </c>
      <c r="K56" s="2">
        <v>1494.2766666666666</v>
      </c>
      <c r="L56" s="2">
        <v>583.99800000000005</v>
      </c>
    </row>
    <row r="57" spans="1:12" x14ac:dyDescent="0.3">
      <c r="A57" s="7">
        <v>45344</v>
      </c>
      <c r="B57" s="2">
        <v>1373.0766666666666</v>
      </c>
      <c r="C57" s="2">
        <v>150.42183333333332</v>
      </c>
      <c r="D57" s="2">
        <v>56.808666666666667</v>
      </c>
      <c r="E57" s="2">
        <v>58.336499999999994</v>
      </c>
      <c r="F57" s="2">
        <v>23.074666666666662</v>
      </c>
      <c r="G57" s="2">
        <v>32.760333333333335</v>
      </c>
      <c r="H57" s="2">
        <v>18.399999999999999</v>
      </c>
      <c r="I57" s="17">
        <v>1</v>
      </c>
      <c r="J57" s="2">
        <v>0</v>
      </c>
      <c r="K57" s="2">
        <v>1373.0766666666666</v>
      </c>
      <c r="L57" s="2">
        <v>511.27800000000008</v>
      </c>
    </row>
    <row r="58" spans="1:12" x14ac:dyDescent="0.3">
      <c r="A58" s="7">
        <v>45345</v>
      </c>
      <c r="B58" s="2">
        <v>1208.0766666666666</v>
      </c>
      <c r="C58" s="2">
        <v>172.42183333333332</v>
      </c>
      <c r="D58" s="2">
        <v>31.808666666666667</v>
      </c>
      <c r="E58" s="2">
        <v>53.336499999999994</v>
      </c>
      <c r="F58" s="2">
        <v>17.074666666666666</v>
      </c>
      <c r="G58" s="2">
        <v>96.760333333333335</v>
      </c>
      <c r="H58" s="2">
        <v>15.4</v>
      </c>
      <c r="I58" s="17">
        <v>1</v>
      </c>
      <c r="J58" s="2">
        <v>0</v>
      </c>
      <c r="K58" s="2">
        <v>1208.0766666666666</v>
      </c>
      <c r="L58" s="2">
        <v>286.27800000000008</v>
      </c>
    </row>
    <row r="59" spans="1:12" x14ac:dyDescent="0.3">
      <c r="A59" s="7">
        <v>45346</v>
      </c>
      <c r="B59" s="2">
        <v>1084.4850000000001</v>
      </c>
      <c r="C59" s="2">
        <v>112.8995</v>
      </c>
      <c r="D59" s="2">
        <v>44.83</v>
      </c>
      <c r="E59" s="2">
        <v>55.384499999999996</v>
      </c>
      <c r="F59" s="2">
        <v>3.8554999999999993</v>
      </c>
      <c r="G59" s="2">
        <v>41.361499999999992</v>
      </c>
      <c r="H59" s="2">
        <v>7</v>
      </c>
      <c r="I59" s="17">
        <v>1.5</v>
      </c>
      <c r="J59" s="2">
        <v>0</v>
      </c>
      <c r="K59" s="2">
        <v>1084.4850000000001</v>
      </c>
      <c r="L59" s="2">
        <v>403.46999999999997</v>
      </c>
    </row>
    <row r="60" spans="1:12" x14ac:dyDescent="0.3">
      <c r="A60" s="7">
        <v>45347</v>
      </c>
      <c r="B60" s="2">
        <v>838.5150000000001</v>
      </c>
      <c r="C60" s="2">
        <v>90.527500000000003</v>
      </c>
      <c r="D60" s="2">
        <v>35.345666666666673</v>
      </c>
      <c r="E60" s="2">
        <v>56.428166666666677</v>
      </c>
      <c r="F60" s="2">
        <v>29.824666666666666</v>
      </c>
      <c r="G60" s="2">
        <v>23.225166666666667</v>
      </c>
      <c r="H60" s="2">
        <v>11</v>
      </c>
      <c r="I60" s="17">
        <v>1.5</v>
      </c>
      <c r="J60" s="2">
        <v>0</v>
      </c>
      <c r="K60" s="2">
        <v>838.5150000000001</v>
      </c>
      <c r="L60" s="2">
        <v>318.11100000000005</v>
      </c>
    </row>
    <row r="61" spans="1:12" x14ac:dyDescent="0.3">
      <c r="A61" s="7">
        <v>45348</v>
      </c>
      <c r="B61" s="2">
        <v>1120.8966666666668</v>
      </c>
      <c r="C61" s="2">
        <v>68.50333333333333</v>
      </c>
      <c r="D61" s="2">
        <v>65.075666666666677</v>
      </c>
      <c r="E61" s="2">
        <v>67.36966666666666</v>
      </c>
      <c r="F61" s="2">
        <v>11.389666666666667</v>
      </c>
      <c r="G61" s="2">
        <v>18.669833333333337</v>
      </c>
      <c r="H61" s="2">
        <v>8</v>
      </c>
      <c r="I61" s="17">
        <v>2.5</v>
      </c>
      <c r="J61" s="2">
        <v>0</v>
      </c>
      <c r="K61" s="2">
        <v>1120.8966666666668</v>
      </c>
      <c r="L61" s="2">
        <v>585.68100000000004</v>
      </c>
    </row>
    <row r="62" spans="1:12" x14ac:dyDescent="0.3">
      <c r="A62" s="7">
        <v>45349</v>
      </c>
      <c r="B62" s="2">
        <v>961.5150000000001</v>
      </c>
      <c r="C62" s="2">
        <v>99.227499999999992</v>
      </c>
      <c r="D62" s="2">
        <v>42.745666666666679</v>
      </c>
      <c r="E62" s="2">
        <v>58.128166666666672</v>
      </c>
      <c r="F62" s="2">
        <v>27.424666666666667</v>
      </c>
      <c r="G62" s="2">
        <v>29.625166666666665</v>
      </c>
      <c r="H62" s="2">
        <v>15.3</v>
      </c>
      <c r="I62" s="17">
        <v>2</v>
      </c>
      <c r="J62" s="2">
        <v>0</v>
      </c>
      <c r="K62" s="2">
        <v>961.5150000000001</v>
      </c>
      <c r="L62" s="2">
        <v>384.71100000000007</v>
      </c>
    </row>
    <row r="63" spans="1:12" x14ac:dyDescent="0.3">
      <c r="A63" s="7">
        <v>45350</v>
      </c>
      <c r="B63" s="2">
        <v>1679.0300000000002</v>
      </c>
      <c r="C63" s="2">
        <v>119.35499999999999</v>
      </c>
      <c r="D63" s="2">
        <v>89.591333333333353</v>
      </c>
      <c r="E63" s="2">
        <v>122.55633333333336</v>
      </c>
      <c r="F63" s="2">
        <v>44.24933333333334</v>
      </c>
      <c r="G63" s="2">
        <v>24.250333333333334</v>
      </c>
      <c r="H63" s="2">
        <v>20.5</v>
      </c>
      <c r="I63" s="17">
        <v>2</v>
      </c>
      <c r="J63" s="2">
        <v>0</v>
      </c>
      <c r="K63" s="2">
        <v>1679.0300000000002</v>
      </c>
      <c r="L63" s="2">
        <v>806.32200000000012</v>
      </c>
    </row>
    <row r="64" spans="1:12" x14ac:dyDescent="0.3">
      <c r="A64" s="7">
        <v>45351</v>
      </c>
      <c r="B64" s="2">
        <v>910.89666666666676</v>
      </c>
      <c r="C64" s="2">
        <v>43.003333333333337</v>
      </c>
      <c r="D64" s="2">
        <v>52.075666666666677</v>
      </c>
      <c r="E64" s="2">
        <v>70.36966666666666</v>
      </c>
      <c r="F64" s="2">
        <v>7.3896666666666668</v>
      </c>
      <c r="G64" s="2">
        <v>16.669833333333337</v>
      </c>
      <c r="H64" s="2">
        <v>7</v>
      </c>
      <c r="I64" s="17">
        <v>1</v>
      </c>
      <c r="J64" s="2">
        <v>0</v>
      </c>
      <c r="K64" s="2">
        <v>910.89666666666676</v>
      </c>
      <c r="L64" s="2">
        <v>468.68100000000004</v>
      </c>
    </row>
    <row r="65" spans="1:12" x14ac:dyDescent="0.3">
      <c r="A65" s="7">
        <v>45352</v>
      </c>
      <c r="B65" s="2">
        <v>1913</v>
      </c>
      <c r="C65" s="2">
        <v>146.79999999999998</v>
      </c>
      <c r="D65" s="2">
        <v>93.5</v>
      </c>
      <c r="E65" s="2">
        <v>60.4</v>
      </c>
      <c r="F65" s="2">
        <v>9</v>
      </c>
      <c r="G65" s="2">
        <v>88.4</v>
      </c>
      <c r="H65" s="2">
        <v>14</v>
      </c>
      <c r="I65" s="17">
        <v>1.5</v>
      </c>
      <c r="J65" s="2">
        <v>0</v>
      </c>
      <c r="K65" s="2">
        <v>1913</v>
      </c>
      <c r="L65" s="2">
        <v>841.5</v>
      </c>
    </row>
    <row r="66" spans="1:12" x14ac:dyDescent="0.3">
      <c r="A66" s="7">
        <v>45353</v>
      </c>
      <c r="B66" s="2">
        <v>660.31500000000005</v>
      </c>
      <c r="C66" s="2">
        <v>48.047499999999999</v>
      </c>
      <c r="D66" s="2">
        <v>29.865666666666673</v>
      </c>
      <c r="E66" s="2">
        <v>45.608166666666669</v>
      </c>
      <c r="F66" s="2">
        <v>5.7646666666666668</v>
      </c>
      <c r="G66" s="2">
        <v>21.505166666666668</v>
      </c>
      <c r="H66" s="2">
        <v>12.4</v>
      </c>
      <c r="I66" s="17">
        <v>2</v>
      </c>
      <c r="J66" s="2">
        <v>0</v>
      </c>
      <c r="K66" s="2">
        <v>660.31500000000005</v>
      </c>
      <c r="L66" s="2">
        <v>268.79100000000005</v>
      </c>
    </row>
    <row r="67" spans="1:12" x14ac:dyDescent="0.3">
      <c r="A67" s="7">
        <v>45354</v>
      </c>
      <c r="B67" s="2">
        <v>8729</v>
      </c>
      <c r="C67" s="2">
        <v>908.85000000000014</v>
      </c>
      <c r="D67" s="2">
        <v>275.95</v>
      </c>
      <c r="E67" s="2">
        <v>182.9</v>
      </c>
      <c r="F67" s="2">
        <v>35.450000000000003</v>
      </c>
      <c r="G67" s="2">
        <v>478.34999999999997</v>
      </c>
      <c r="H67" s="2">
        <v>166.5</v>
      </c>
      <c r="I67" s="17">
        <v>1</v>
      </c>
      <c r="J67" s="2">
        <v>0</v>
      </c>
      <c r="K67" s="2">
        <v>8729</v>
      </c>
      <c r="L67" s="2">
        <v>2483.5499999999997</v>
      </c>
    </row>
    <row r="68" spans="1:12" x14ac:dyDescent="0.3">
      <c r="A68" s="7">
        <v>45355</v>
      </c>
      <c r="B68" s="2">
        <v>5246</v>
      </c>
      <c r="C68" s="2">
        <v>622.20000000000005</v>
      </c>
      <c r="D68" s="2">
        <v>233.5</v>
      </c>
      <c r="E68" s="2">
        <v>172</v>
      </c>
      <c r="F68" s="2">
        <v>23.75</v>
      </c>
      <c r="G68" s="2">
        <v>252.2</v>
      </c>
      <c r="H68" s="2">
        <v>76.5</v>
      </c>
      <c r="I68" s="17">
        <v>2</v>
      </c>
      <c r="J68" s="2">
        <v>0</v>
      </c>
      <c r="K68" s="2">
        <v>5246</v>
      </c>
      <c r="L68" s="2">
        <v>626</v>
      </c>
    </row>
    <row r="69" spans="1:12" x14ac:dyDescent="0.3">
      <c r="A69" s="7">
        <v>45356</v>
      </c>
      <c r="B69" s="2">
        <v>4250</v>
      </c>
      <c r="C69" s="2">
        <v>572.5</v>
      </c>
      <c r="D69" s="2">
        <v>165</v>
      </c>
      <c r="E69" s="2">
        <v>133.5</v>
      </c>
      <c r="F69" s="2">
        <v>64.5</v>
      </c>
      <c r="G69" s="2">
        <v>325.75</v>
      </c>
      <c r="H69" s="2">
        <v>78</v>
      </c>
      <c r="I69" s="17">
        <v>0</v>
      </c>
      <c r="J69" s="2">
        <v>0</v>
      </c>
      <c r="K69" s="2">
        <v>4250</v>
      </c>
      <c r="L69" s="2">
        <v>1485</v>
      </c>
    </row>
    <row r="70" spans="1:12" x14ac:dyDescent="0.3">
      <c r="A70" s="7">
        <v>45357</v>
      </c>
      <c r="B70" s="2">
        <v>3910</v>
      </c>
      <c r="C70" s="2">
        <v>655</v>
      </c>
      <c r="D70" s="2">
        <v>99.25</v>
      </c>
      <c r="E70" s="2">
        <v>117</v>
      </c>
      <c r="F70" s="2">
        <v>67</v>
      </c>
      <c r="G70" s="2">
        <v>328.25</v>
      </c>
      <c r="H70" s="2">
        <v>84.5</v>
      </c>
      <c r="I70" s="17">
        <v>0</v>
      </c>
      <c r="J70" s="2">
        <v>0</v>
      </c>
      <c r="K70" s="2">
        <v>3910</v>
      </c>
      <c r="L70" s="2">
        <v>893.25</v>
      </c>
    </row>
    <row r="71" spans="1:12" x14ac:dyDescent="0.3">
      <c r="A71" s="7">
        <v>45358</v>
      </c>
      <c r="B71" s="2">
        <v>2672</v>
      </c>
      <c r="C71" s="2">
        <v>340.8</v>
      </c>
      <c r="D71" s="2">
        <v>119.6</v>
      </c>
      <c r="E71" s="2">
        <v>93.2</v>
      </c>
      <c r="F71" s="2">
        <v>15.6</v>
      </c>
      <c r="G71" s="2">
        <v>272</v>
      </c>
      <c r="H71" s="2">
        <v>80</v>
      </c>
      <c r="I71" s="17">
        <v>0</v>
      </c>
      <c r="J71" s="2">
        <v>0</v>
      </c>
      <c r="K71" s="2">
        <v>2672</v>
      </c>
      <c r="L71" s="2">
        <v>1076.4000000000001</v>
      </c>
    </row>
    <row r="72" spans="1:12" x14ac:dyDescent="0.3">
      <c r="A72" s="7">
        <v>45359</v>
      </c>
      <c r="B72" s="2">
        <v>2990</v>
      </c>
      <c r="C72" s="2">
        <v>364</v>
      </c>
      <c r="D72" s="2">
        <v>135</v>
      </c>
      <c r="E72" s="2">
        <v>57</v>
      </c>
      <c r="F72" s="2">
        <v>26.5</v>
      </c>
      <c r="G72" s="2">
        <v>134</v>
      </c>
      <c r="H72" s="2">
        <v>11</v>
      </c>
      <c r="I72" s="17">
        <v>0.5</v>
      </c>
      <c r="J72" s="2">
        <v>0</v>
      </c>
      <c r="K72" s="2">
        <v>2990</v>
      </c>
      <c r="L72" s="2">
        <v>1215</v>
      </c>
    </row>
    <row r="73" spans="1:12" x14ac:dyDescent="0.3">
      <c r="A73" s="7">
        <v>45360</v>
      </c>
      <c r="B73" s="2">
        <v>4480</v>
      </c>
      <c r="C73" s="2">
        <v>575</v>
      </c>
      <c r="D73" s="2">
        <v>198</v>
      </c>
      <c r="E73" s="2">
        <v>120</v>
      </c>
      <c r="F73" s="2">
        <v>32</v>
      </c>
      <c r="G73" s="2">
        <v>290</v>
      </c>
      <c r="H73" s="2">
        <v>74</v>
      </c>
      <c r="I73" s="17">
        <v>0.5</v>
      </c>
      <c r="J73" s="2">
        <v>0</v>
      </c>
      <c r="K73" s="2">
        <v>4480</v>
      </c>
      <c r="L73" s="2">
        <v>1782</v>
      </c>
    </row>
    <row r="74" spans="1:12" x14ac:dyDescent="0.3">
      <c r="A74" s="7">
        <v>45361</v>
      </c>
      <c r="B74" s="2">
        <v>4097.0910000000003</v>
      </c>
      <c r="C74" s="2">
        <v>628.79999999999995</v>
      </c>
      <c r="D74" s="2">
        <v>116.2924</v>
      </c>
      <c r="E74" s="2">
        <v>166.13659999999999</v>
      </c>
      <c r="F74" s="2">
        <v>30.093800000000002</v>
      </c>
      <c r="G74" s="2">
        <v>322.23899999999998</v>
      </c>
      <c r="H74" s="2">
        <v>83.75</v>
      </c>
      <c r="I74" s="17">
        <v>0.5</v>
      </c>
      <c r="J74" s="2">
        <v>0</v>
      </c>
      <c r="K74" s="2">
        <v>3575.0909999999999</v>
      </c>
      <c r="L74" s="2">
        <v>1046.6315999999999</v>
      </c>
    </row>
    <row r="75" spans="1:12" x14ac:dyDescent="0.3">
      <c r="A75" s="7">
        <v>45362</v>
      </c>
      <c r="B75" s="2">
        <v>4807.8961428571429</v>
      </c>
      <c r="C75" s="2">
        <v>631.78571428571422</v>
      </c>
      <c r="D75" s="2">
        <v>189.84674285714286</v>
      </c>
      <c r="E75" s="2">
        <v>158.75139999999999</v>
      </c>
      <c r="F75" s="2">
        <v>20.440199999999997</v>
      </c>
      <c r="G75" s="2">
        <v>341.44171428571428</v>
      </c>
      <c r="H75" s="2">
        <v>98</v>
      </c>
      <c r="I75" s="17">
        <v>0.5</v>
      </c>
      <c r="J75" s="2">
        <v>0</v>
      </c>
      <c r="K75" s="2">
        <v>4807.8961428571429</v>
      </c>
      <c r="L75" s="2">
        <v>1708.6206857142856</v>
      </c>
    </row>
    <row r="76" spans="1:12" x14ac:dyDescent="0.3">
      <c r="A76" s="7">
        <v>45363</v>
      </c>
      <c r="B76" s="2">
        <v>1731.8363095238096</v>
      </c>
      <c r="C76" s="2">
        <v>303.92931547619042</v>
      </c>
      <c r="D76" s="2">
        <v>49.472916666666663</v>
      </c>
      <c r="E76" s="2">
        <v>23.972023809523812</v>
      </c>
      <c r="F76" s="2">
        <v>7.8666666666666671</v>
      </c>
      <c r="G76" s="2">
        <v>212.22544642857144</v>
      </c>
      <c r="H76" s="2">
        <v>54.5</v>
      </c>
      <c r="I76" s="17">
        <v>1</v>
      </c>
      <c r="J76" s="2">
        <v>0</v>
      </c>
      <c r="K76" s="2">
        <v>1731.8363095238096</v>
      </c>
      <c r="L76" s="2">
        <v>445.25625000000002</v>
      </c>
    </row>
    <row r="77" spans="1:12" x14ac:dyDescent="0.3">
      <c r="A77" s="7">
        <v>45364</v>
      </c>
      <c r="B77" s="2">
        <v>1426.5876015289059</v>
      </c>
      <c r="C77" s="2">
        <v>66.84253132133567</v>
      </c>
      <c r="D77" s="2">
        <v>75.686984392419191</v>
      </c>
      <c r="E77" s="2">
        <v>121.90903540903541</v>
      </c>
      <c r="F77" s="2">
        <v>10.690542549238202</v>
      </c>
      <c r="G77" s="2">
        <v>14.921518155757285</v>
      </c>
      <c r="H77" s="2">
        <v>11</v>
      </c>
      <c r="I77" s="17">
        <v>2</v>
      </c>
      <c r="J77" s="2">
        <v>0</v>
      </c>
      <c r="K77" s="2">
        <v>1426.5876015289059</v>
      </c>
      <c r="L77" s="2">
        <v>681.18285953177258</v>
      </c>
    </row>
    <row r="78" spans="1:12" x14ac:dyDescent="0.3">
      <c r="A78" s="7">
        <v>45365</v>
      </c>
      <c r="B78" s="2">
        <v>1383.4785714285715</v>
      </c>
      <c r="C78" s="2">
        <v>63.817261904761914</v>
      </c>
      <c r="D78" s="2">
        <v>76.954999999999998</v>
      </c>
      <c r="E78" s="2">
        <v>108.60142857142858</v>
      </c>
      <c r="F78" s="2">
        <v>7.6433333333333335</v>
      </c>
      <c r="G78" s="2">
        <v>27.305119047619048</v>
      </c>
      <c r="H78" s="2">
        <v>17</v>
      </c>
      <c r="I78" s="17">
        <v>2</v>
      </c>
      <c r="J78" s="2">
        <v>0</v>
      </c>
      <c r="K78" s="2">
        <v>1383.4785714285715</v>
      </c>
      <c r="L78" s="2">
        <v>692.59500000000003</v>
      </c>
    </row>
    <row r="79" spans="1:12" x14ac:dyDescent="0.3">
      <c r="A79" s="7">
        <v>45366</v>
      </c>
      <c r="B79" s="2">
        <v>1320.5876015289059</v>
      </c>
      <c r="C79" s="2">
        <v>70.942531321335665</v>
      </c>
      <c r="D79" s="2">
        <v>65.986984392419188</v>
      </c>
      <c r="E79" s="2">
        <v>114.00903540903542</v>
      </c>
      <c r="F79" s="2">
        <v>9.4905425492382012</v>
      </c>
      <c r="G79" s="2">
        <v>20.721518155757284</v>
      </c>
      <c r="H79" s="2">
        <v>10</v>
      </c>
      <c r="I79" s="17">
        <v>1.5</v>
      </c>
      <c r="J79" s="2">
        <v>0</v>
      </c>
      <c r="K79" s="2">
        <v>1320.5876015289059</v>
      </c>
      <c r="L79" s="2">
        <v>593.88285953177251</v>
      </c>
    </row>
    <row r="80" spans="1:12" x14ac:dyDescent="0.3">
      <c r="A80" s="7">
        <v>45367</v>
      </c>
      <c r="B80" s="2">
        <v>1420.5876015289059</v>
      </c>
      <c r="C80" s="2">
        <v>71.442531321335665</v>
      </c>
      <c r="D80" s="2">
        <v>74.486984392419188</v>
      </c>
      <c r="E80" s="2">
        <v>121.00903540903542</v>
      </c>
      <c r="F80" s="2">
        <v>9.4905425492382012</v>
      </c>
      <c r="G80" s="2">
        <v>20.721518155757284</v>
      </c>
      <c r="H80" s="2">
        <v>12</v>
      </c>
      <c r="I80" s="17">
        <v>1</v>
      </c>
      <c r="J80" s="2">
        <v>0</v>
      </c>
      <c r="K80" s="2">
        <v>1420.5876015289059</v>
      </c>
      <c r="L80" s="2">
        <v>670.38285953177251</v>
      </c>
    </row>
    <row r="81" spans="1:12" x14ac:dyDescent="0.3">
      <c r="A81" s="7">
        <v>45368</v>
      </c>
      <c r="B81" s="2">
        <v>2715.5266666666666</v>
      </c>
      <c r="C81" s="2">
        <v>346.685</v>
      </c>
      <c r="D81" s="2">
        <v>114.53066666666666</v>
      </c>
      <c r="E81" s="2">
        <v>131.61566666666667</v>
      </c>
      <c r="F81" s="2">
        <v>68.535333333333341</v>
      </c>
      <c r="G81" s="2">
        <v>207.03666666666669</v>
      </c>
      <c r="H81" s="2">
        <v>84.59</v>
      </c>
      <c r="I81" s="17">
        <v>1</v>
      </c>
      <c r="J81" s="2">
        <v>0</v>
      </c>
      <c r="K81" s="2">
        <v>2715.5266666666666</v>
      </c>
      <c r="L81" s="2">
        <v>1030.7759999999998</v>
      </c>
    </row>
    <row r="82" spans="1:12" x14ac:dyDescent="0.3">
      <c r="A82" s="7">
        <v>45369</v>
      </c>
      <c r="B82" s="2">
        <v>1360.5876015289059</v>
      </c>
      <c r="C82" s="2">
        <v>71.442531321335665</v>
      </c>
      <c r="D82" s="2">
        <v>68.986984392419188</v>
      </c>
      <c r="E82" s="2">
        <v>118.00903540903542</v>
      </c>
      <c r="F82" s="2">
        <v>9.4905425492382012</v>
      </c>
      <c r="G82" s="2">
        <v>20.721518155757284</v>
      </c>
      <c r="H82" s="2">
        <v>12</v>
      </c>
      <c r="I82" s="17">
        <v>2</v>
      </c>
      <c r="J82" s="2">
        <v>0</v>
      </c>
      <c r="K82" s="2">
        <v>1360.5876015289059</v>
      </c>
      <c r="L82" s="2">
        <v>620.88285953177274</v>
      </c>
    </row>
    <row r="83" spans="1:12" x14ac:dyDescent="0.3">
      <c r="A83" s="7">
        <v>45370</v>
      </c>
      <c r="B83" s="2">
        <v>1806.7666666666669</v>
      </c>
      <c r="C83" s="2">
        <v>151.16</v>
      </c>
      <c r="D83" s="2">
        <v>95.526666666666657</v>
      </c>
      <c r="E83" s="2">
        <v>125.10666666666668</v>
      </c>
      <c r="F83" s="2">
        <v>56.993333333333339</v>
      </c>
      <c r="G83" s="2">
        <v>36.246666666666663</v>
      </c>
      <c r="H83" s="2">
        <v>30.1</v>
      </c>
      <c r="I83" s="17">
        <v>2</v>
      </c>
      <c r="J83" s="2">
        <v>0</v>
      </c>
      <c r="K83" s="2">
        <v>1806.7666666666669</v>
      </c>
      <c r="L83" s="2">
        <v>859.7399999999999</v>
      </c>
    </row>
    <row r="84" spans="1:12" x14ac:dyDescent="0.3">
      <c r="A84" s="7">
        <v>45371</v>
      </c>
      <c r="B84" s="2">
        <v>1420.5876015289059</v>
      </c>
      <c r="C84" s="2">
        <v>72.442531321335665</v>
      </c>
      <c r="D84" s="2">
        <v>72.486984392419188</v>
      </c>
      <c r="E84" s="2">
        <v>118.50903540903542</v>
      </c>
      <c r="F84" s="2">
        <v>9.4905425492382012</v>
      </c>
      <c r="G84" s="2">
        <v>21.721518155757284</v>
      </c>
      <c r="H84" s="2">
        <v>13</v>
      </c>
      <c r="I84" s="17">
        <v>2.25</v>
      </c>
      <c r="J84" s="2">
        <v>0</v>
      </c>
      <c r="K84" s="2">
        <v>1420.5876015289059</v>
      </c>
      <c r="L84" s="2">
        <v>652.38285953177251</v>
      </c>
    </row>
    <row r="85" spans="1:12" x14ac:dyDescent="0.3">
      <c r="A85" s="7">
        <v>45372</v>
      </c>
      <c r="B85" s="2">
        <v>2139.6756967670008</v>
      </c>
      <c r="C85" s="2">
        <v>215.71526941657376</v>
      </c>
      <c r="D85" s="2">
        <v>86.228651059085863</v>
      </c>
      <c r="E85" s="2">
        <v>124.3742735042735</v>
      </c>
      <c r="F85" s="2">
        <v>34.770542549238208</v>
      </c>
      <c r="G85" s="2">
        <v>106.58306577480491</v>
      </c>
      <c r="H85" s="2">
        <v>24.1</v>
      </c>
      <c r="I85" s="17">
        <v>2</v>
      </c>
      <c r="J85" s="2">
        <v>0</v>
      </c>
      <c r="K85" s="2">
        <v>2139.6756967670008</v>
      </c>
      <c r="L85" s="2">
        <v>776.05785953177258</v>
      </c>
    </row>
    <row r="86" spans="1:12" x14ac:dyDescent="0.3">
      <c r="A86" s="7">
        <v>45373</v>
      </c>
      <c r="B86" s="2">
        <v>1865.945238095238</v>
      </c>
      <c r="C86" s="2">
        <v>178.92202380952378</v>
      </c>
      <c r="D86" s="2">
        <v>79.477380952380969</v>
      </c>
      <c r="E86" s="2">
        <v>118.11428571428573</v>
      </c>
      <c r="F86" s="2">
        <v>7.0666666666666664</v>
      </c>
      <c r="G86" s="2">
        <v>149.85178571428571</v>
      </c>
      <c r="H86" s="2">
        <v>15</v>
      </c>
      <c r="I86" s="17">
        <v>2.5</v>
      </c>
      <c r="J86" s="2">
        <v>0</v>
      </c>
      <c r="K86" s="2">
        <v>1865.945238095238</v>
      </c>
      <c r="L86" s="2">
        <v>715.29642857142858</v>
      </c>
    </row>
    <row r="87" spans="1:12" x14ac:dyDescent="0.3">
      <c r="A87" s="7">
        <v>45374</v>
      </c>
      <c r="B87" s="2">
        <v>950.84523809523807</v>
      </c>
      <c r="C87" s="2">
        <v>44.072023809523806</v>
      </c>
      <c r="D87" s="2">
        <v>57.210714285714296</v>
      </c>
      <c r="E87" s="2">
        <v>61.680952380952384</v>
      </c>
      <c r="F87" s="2">
        <v>4.1666666666666661</v>
      </c>
      <c r="G87" s="2">
        <v>17.201785714285712</v>
      </c>
      <c r="H87" s="2">
        <v>11.5</v>
      </c>
      <c r="I87" s="17">
        <v>2</v>
      </c>
      <c r="J87" s="2">
        <v>0</v>
      </c>
      <c r="K87" s="2">
        <v>950.84523809523807</v>
      </c>
      <c r="L87" s="2">
        <v>514.8964285714286</v>
      </c>
    </row>
    <row r="88" spans="1:12" x14ac:dyDescent="0.3">
      <c r="A88" s="7">
        <v>45375</v>
      </c>
      <c r="B88" s="2">
        <v>1500.1</v>
      </c>
      <c r="C88" s="2">
        <v>73.849999999999994</v>
      </c>
      <c r="D88" s="2">
        <v>91.766666666666666</v>
      </c>
      <c r="E88" s="2">
        <v>98.933333333333337</v>
      </c>
      <c r="F88" s="2">
        <v>7.4</v>
      </c>
      <c r="G88" s="2">
        <v>14.649999999999999</v>
      </c>
      <c r="H88" s="2">
        <v>12.5</v>
      </c>
      <c r="I88" s="17">
        <v>3</v>
      </c>
      <c r="J88" s="2">
        <v>0</v>
      </c>
      <c r="K88" s="2">
        <v>1500.1</v>
      </c>
      <c r="L88" s="2">
        <v>825.90000000000009</v>
      </c>
    </row>
    <row r="89" spans="1:12" x14ac:dyDescent="0.3">
      <c r="A89" s="7">
        <v>45376</v>
      </c>
      <c r="B89" s="2">
        <v>947.84523809523807</v>
      </c>
      <c r="C89" s="2">
        <v>47.87202380952381</v>
      </c>
      <c r="D89" s="2">
        <v>54.210714285714296</v>
      </c>
      <c r="E89" s="2">
        <v>68.180952380952391</v>
      </c>
      <c r="F89" s="2">
        <v>5.666666666666667</v>
      </c>
      <c r="G89" s="2">
        <v>12.401785714285712</v>
      </c>
      <c r="H89" s="2">
        <v>10</v>
      </c>
      <c r="I89" s="17">
        <v>2</v>
      </c>
      <c r="J89" s="2">
        <v>0</v>
      </c>
      <c r="K89" s="2">
        <v>947.84523809523807</v>
      </c>
      <c r="L89" s="2">
        <v>487.89642857142866</v>
      </c>
    </row>
    <row r="90" spans="1:12" x14ac:dyDescent="0.3">
      <c r="A90" s="7">
        <v>45377</v>
      </c>
      <c r="B90" s="2">
        <v>1579.1</v>
      </c>
      <c r="C90" s="2">
        <v>51.45</v>
      </c>
      <c r="D90" s="2">
        <v>107.96666666666667</v>
      </c>
      <c r="E90" s="2">
        <v>110.33333333333334</v>
      </c>
      <c r="F90" s="2">
        <v>6.6000000000000005</v>
      </c>
      <c r="G90" s="2">
        <v>11.649999999999999</v>
      </c>
      <c r="H90" s="2">
        <v>14</v>
      </c>
      <c r="I90" s="17">
        <v>2.5</v>
      </c>
      <c r="J90" s="2">
        <v>0</v>
      </c>
      <c r="K90" s="2">
        <v>1579.1</v>
      </c>
      <c r="L90" s="2">
        <v>971.7</v>
      </c>
    </row>
    <row r="91" spans="1:12" x14ac:dyDescent="0.3">
      <c r="A91" s="7">
        <v>45378</v>
      </c>
      <c r="B91" s="2">
        <v>1396.8452380952381</v>
      </c>
      <c r="C91" s="2">
        <v>103.9720238095238</v>
      </c>
      <c r="D91" s="2">
        <v>76.5107142857143</v>
      </c>
      <c r="E91" s="2">
        <v>72.280952380952385</v>
      </c>
      <c r="F91" s="2">
        <v>2.4666666666666663</v>
      </c>
      <c r="G91" s="2">
        <v>88.201785714285705</v>
      </c>
      <c r="H91" s="2">
        <v>10</v>
      </c>
      <c r="I91" s="17">
        <v>2.5</v>
      </c>
      <c r="J91" s="2">
        <v>0</v>
      </c>
      <c r="K91" s="2">
        <v>1396.8452380952381</v>
      </c>
      <c r="L91" s="2">
        <v>688.59642857142865</v>
      </c>
    </row>
    <row r="92" spans="1:12" x14ac:dyDescent="0.3">
      <c r="A92" s="7">
        <v>45379</v>
      </c>
      <c r="B92" s="2">
        <v>1535.945238095238</v>
      </c>
      <c r="C92" s="2">
        <v>50.922023809523814</v>
      </c>
      <c r="D92" s="2">
        <v>93.977380952380969</v>
      </c>
      <c r="E92" s="2">
        <v>124.61428571428573</v>
      </c>
      <c r="F92" s="2">
        <v>7.0666666666666664</v>
      </c>
      <c r="G92" s="2">
        <v>23.851785714285711</v>
      </c>
      <c r="H92" s="2">
        <v>14</v>
      </c>
      <c r="I92" s="17">
        <v>3.5</v>
      </c>
      <c r="J92" s="2">
        <v>0</v>
      </c>
      <c r="K92" s="2">
        <v>1535.945238095238</v>
      </c>
      <c r="L92" s="2">
        <v>845.79642857142858</v>
      </c>
    </row>
    <row r="93" spans="1:12" x14ac:dyDescent="0.3">
      <c r="A93" s="7">
        <v>45380</v>
      </c>
      <c r="B93" s="2">
        <v>917.09999999999991</v>
      </c>
      <c r="C93" s="2">
        <v>86.149999999999991</v>
      </c>
      <c r="D93" s="2">
        <v>38.466666666666669</v>
      </c>
      <c r="E93" s="2">
        <v>62.333333333333336</v>
      </c>
      <c r="F93" s="2">
        <v>8.6</v>
      </c>
      <c r="G93" s="2">
        <v>37.449999999999996</v>
      </c>
      <c r="H93" s="2">
        <v>9</v>
      </c>
      <c r="I93" s="17">
        <v>2.5</v>
      </c>
      <c r="J93" s="2">
        <v>0</v>
      </c>
      <c r="K93" s="2">
        <v>917.09999999999991</v>
      </c>
      <c r="L93" s="2">
        <v>346.20000000000005</v>
      </c>
    </row>
    <row r="94" spans="1:12" x14ac:dyDescent="0.3">
      <c r="A94" s="7">
        <v>45381</v>
      </c>
      <c r="B94" s="2">
        <v>5571</v>
      </c>
      <c r="C94" s="2">
        <v>731.84999999999991</v>
      </c>
      <c r="D94" s="2">
        <v>251.6</v>
      </c>
      <c r="E94" s="2">
        <v>95.1</v>
      </c>
      <c r="F94" s="2">
        <v>32.075000000000003</v>
      </c>
      <c r="G94" s="2">
        <v>489.79999999999995</v>
      </c>
      <c r="H94" s="2">
        <v>55.1</v>
      </c>
      <c r="I94" s="17">
        <v>0.5</v>
      </c>
      <c r="J94" s="2">
        <v>0</v>
      </c>
      <c r="K94" s="2">
        <v>5571</v>
      </c>
      <c r="L94" s="2">
        <v>2264.4</v>
      </c>
    </row>
    <row r="95" spans="1:12" x14ac:dyDescent="0.3">
      <c r="A95" s="7">
        <v>45382</v>
      </c>
      <c r="B95" s="2">
        <v>563</v>
      </c>
      <c r="C95" s="2">
        <v>80.800000000000011</v>
      </c>
      <c r="D95" s="2">
        <v>19.900000000000002</v>
      </c>
      <c r="E95" s="2">
        <v>14.4</v>
      </c>
      <c r="F95" s="2">
        <v>6.3</v>
      </c>
      <c r="G95" s="2">
        <v>14.2</v>
      </c>
      <c r="H95" s="2">
        <v>4.9000000000000004</v>
      </c>
      <c r="I95" s="17">
        <v>1.5</v>
      </c>
      <c r="J95" s="2">
        <v>0</v>
      </c>
      <c r="K95" s="2">
        <v>563</v>
      </c>
      <c r="L95" s="2">
        <v>179.10000000000002</v>
      </c>
    </row>
    <row r="96" spans="1:12" x14ac:dyDescent="0.3">
      <c r="A96" s="7">
        <v>45383</v>
      </c>
      <c r="B96" s="2">
        <v>1751.8452380952381</v>
      </c>
      <c r="C96" s="2">
        <v>236.07202380952378</v>
      </c>
      <c r="D96" s="2">
        <v>61.510714285714293</v>
      </c>
      <c r="E96" s="2">
        <v>65.180952380952391</v>
      </c>
      <c r="F96" s="2">
        <v>7.666666666666667</v>
      </c>
      <c r="G96" s="2">
        <v>189.20178571428573</v>
      </c>
      <c r="H96" s="2">
        <v>21</v>
      </c>
      <c r="I96" s="17">
        <v>1.25</v>
      </c>
      <c r="J96" s="2">
        <v>0</v>
      </c>
      <c r="K96" s="2">
        <v>1751.8452380952381</v>
      </c>
      <c r="L96" s="2">
        <v>553.59642857142865</v>
      </c>
    </row>
    <row r="97" spans="1:12" x14ac:dyDescent="0.3">
      <c r="A97" s="7">
        <v>45384</v>
      </c>
      <c r="B97" s="2">
        <v>6805.1</v>
      </c>
      <c r="C97" s="2">
        <v>837.35000000000014</v>
      </c>
      <c r="D97" s="2">
        <v>310.46666666666664</v>
      </c>
      <c r="E97" s="2">
        <v>226.33333333333334</v>
      </c>
      <c r="F97" s="2">
        <v>37.1</v>
      </c>
      <c r="G97" s="2">
        <v>425.65</v>
      </c>
      <c r="H97" s="2">
        <v>81</v>
      </c>
      <c r="I97" s="17">
        <v>1.5</v>
      </c>
      <c r="J97" s="2">
        <v>0</v>
      </c>
      <c r="K97" s="2">
        <v>6805.1</v>
      </c>
      <c r="L97" s="2">
        <v>2794.2000000000003</v>
      </c>
    </row>
    <row r="98" spans="1:12" x14ac:dyDescent="0.3">
      <c r="A98" s="7">
        <v>45385</v>
      </c>
      <c r="B98" s="2">
        <v>1611.3416666666667</v>
      </c>
      <c r="C98" s="2">
        <v>114.51944444444445</v>
      </c>
      <c r="D98" s="2">
        <v>84.974999999999994</v>
      </c>
      <c r="E98" s="2">
        <v>80.822222222222223</v>
      </c>
      <c r="F98" s="2">
        <v>6.4027777777777768</v>
      </c>
      <c r="G98" s="2">
        <v>29.545833333333334</v>
      </c>
      <c r="H98" s="2">
        <v>15.5</v>
      </c>
      <c r="I98" s="17">
        <v>2</v>
      </c>
      <c r="J98" s="2">
        <v>0</v>
      </c>
      <c r="K98" s="2">
        <v>1611.3416666666667</v>
      </c>
      <c r="L98" s="2">
        <v>764.77500000000009</v>
      </c>
    </row>
    <row r="99" spans="1:12" x14ac:dyDescent="0.3">
      <c r="A99" s="7">
        <v>45386</v>
      </c>
      <c r="B99" s="2">
        <v>1531.4642857142858</v>
      </c>
      <c r="C99" s="2">
        <v>61.185317460317457</v>
      </c>
      <c r="D99" s="2">
        <v>88.759523809523827</v>
      </c>
      <c r="E99" s="2">
        <v>138.28492063492064</v>
      </c>
      <c r="F99" s="2">
        <v>10.27222222222222</v>
      </c>
      <c r="G99" s="2">
        <v>29.107142857142858</v>
      </c>
      <c r="H99" s="2">
        <v>14</v>
      </c>
      <c r="I99" s="17">
        <v>3.5</v>
      </c>
      <c r="J99" s="2">
        <v>0</v>
      </c>
      <c r="K99" s="2">
        <v>1531.4642857142858</v>
      </c>
      <c r="L99" s="2">
        <v>798.83571428571429</v>
      </c>
    </row>
    <row r="100" spans="1:12" x14ac:dyDescent="0.3">
      <c r="A100" s="7">
        <v>45387</v>
      </c>
      <c r="B100" s="2">
        <v>1168.6833333333334</v>
      </c>
      <c r="C100" s="2">
        <v>116.63888888888889</v>
      </c>
      <c r="D100" s="2">
        <v>48.45</v>
      </c>
      <c r="E100" s="2">
        <v>80.64444444444446</v>
      </c>
      <c r="F100" s="2">
        <v>21.005555555555553</v>
      </c>
      <c r="G100" s="2">
        <v>60.691666666666663</v>
      </c>
      <c r="H100" s="2">
        <v>18</v>
      </c>
      <c r="I100" s="17">
        <v>2.5</v>
      </c>
      <c r="J100" s="2">
        <v>0</v>
      </c>
      <c r="K100" s="2">
        <v>1168.6833333333334</v>
      </c>
      <c r="L100" s="2">
        <v>436.05000000000007</v>
      </c>
    </row>
    <row r="101" spans="1:12" x14ac:dyDescent="0.3">
      <c r="A101" s="7">
        <v>45388</v>
      </c>
      <c r="B101" s="2">
        <v>5765.9809523809527</v>
      </c>
      <c r="C101" s="2">
        <v>818.50642857142861</v>
      </c>
      <c r="D101" s="2">
        <v>242.8095238095238</v>
      </c>
      <c r="E101" s="2">
        <v>182.32047619047617</v>
      </c>
      <c r="F101" s="2">
        <v>30.466666666666665</v>
      </c>
      <c r="G101" s="2">
        <v>529.81547619047615</v>
      </c>
      <c r="H101" s="2">
        <v>103.4</v>
      </c>
      <c r="I101" s="17">
        <v>1.5</v>
      </c>
      <c r="J101" s="2">
        <v>0</v>
      </c>
      <c r="K101" s="2">
        <v>5765.9809523809527</v>
      </c>
      <c r="L101" s="2">
        <v>2185.2857142857147</v>
      </c>
    </row>
    <row r="102" spans="1:12" x14ac:dyDescent="0.3">
      <c r="A102" s="7">
        <v>45389</v>
      </c>
      <c r="B102" s="2">
        <v>1465</v>
      </c>
      <c r="C102" s="2">
        <v>148.1</v>
      </c>
      <c r="D102" s="2">
        <v>71.2</v>
      </c>
      <c r="E102" s="2">
        <v>62.4</v>
      </c>
      <c r="F102" s="2">
        <v>13.7</v>
      </c>
      <c r="G102" s="2">
        <v>23</v>
      </c>
      <c r="H102" s="2">
        <v>7</v>
      </c>
      <c r="I102" s="17">
        <v>0.5</v>
      </c>
      <c r="J102" s="2">
        <v>0</v>
      </c>
      <c r="K102" s="2">
        <v>1465</v>
      </c>
      <c r="L102" s="2">
        <v>640.79999999999995</v>
      </c>
    </row>
    <row r="103" spans="1:12" x14ac:dyDescent="0.3">
      <c r="A103" s="7">
        <v>45390</v>
      </c>
      <c r="B103" s="2">
        <v>5250</v>
      </c>
      <c r="C103" s="2">
        <v>756</v>
      </c>
      <c r="D103" s="2">
        <v>209</v>
      </c>
      <c r="E103" s="2">
        <v>123</v>
      </c>
      <c r="F103" s="2">
        <v>43.5</v>
      </c>
      <c r="G103" s="2">
        <v>443</v>
      </c>
      <c r="H103" s="2">
        <v>114</v>
      </c>
      <c r="I103" s="17">
        <v>0.5</v>
      </c>
      <c r="J103" s="2">
        <v>0</v>
      </c>
      <c r="K103" s="2">
        <v>5250</v>
      </c>
      <c r="L103" s="2">
        <v>1881</v>
      </c>
    </row>
    <row r="104" spans="1:12" x14ac:dyDescent="0.3">
      <c r="A104" s="7">
        <v>45391</v>
      </c>
      <c r="B104" s="2">
        <v>1052.6833333333334</v>
      </c>
      <c r="C104" s="2">
        <v>92.538888888888891</v>
      </c>
      <c r="D104" s="2">
        <v>47.050000000000004</v>
      </c>
      <c r="E104" s="2">
        <v>74.544444444444451</v>
      </c>
      <c r="F104" s="2">
        <v>15.005555555555553</v>
      </c>
      <c r="G104" s="2">
        <v>45.991666666666667</v>
      </c>
      <c r="H104" s="2">
        <v>12</v>
      </c>
      <c r="I104" s="17">
        <v>1.5</v>
      </c>
      <c r="J104" s="2">
        <v>0</v>
      </c>
      <c r="K104" s="2">
        <v>1052.6833333333334</v>
      </c>
      <c r="L104" s="2">
        <v>423.4500000000001</v>
      </c>
    </row>
    <row r="105" spans="1:12" x14ac:dyDescent="0.3">
      <c r="A105" s="7">
        <v>45392</v>
      </c>
      <c r="B105" s="2">
        <v>1256.7809523809524</v>
      </c>
      <c r="C105" s="2">
        <v>66.046428571428578</v>
      </c>
      <c r="D105" s="2">
        <v>67.80952380952381</v>
      </c>
      <c r="E105" s="2">
        <v>102.74047619047619</v>
      </c>
      <c r="F105" s="2">
        <v>6.4666666666666659</v>
      </c>
      <c r="G105" s="2">
        <v>31.115476190476191</v>
      </c>
      <c r="H105" s="2">
        <v>16</v>
      </c>
      <c r="I105" s="17">
        <v>2.5</v>
      </c>
      <c r="J105" s="2">
        <v>0</v>
      </c>
      <c r="K105" s="2">
        <v>1256.7809523809524</v>
      </c>
      <c r="L105" s="2">
        <v>610.28571428571422</v>
      </c>
    </row>
    <row r="106" spans="1:12" x14ac:dyDescent="0.3">
      <c r="A106" s="7">
        <v>45393</v>
      </c>
      <c r="B106" s="2">
        <v>1981.3666666666666</v>
      </c>
      <c r="C106" s="2">
        <v>122.57777777777777</v>
      </c>
      <c r="D106" s="2">
        <v>102.10000000000001</v>
      </c>
      <c r="E106" s="2">
        <v>155.48888888888891</v>
      </c>
      <c r="F106" s="2">
        <v>16.81111111111111</v>
      </c>
      <c r="G106" s="2">
        <v>53.783333333333331</v>
      </c>
      <c r="H106" s="2">
        <v>18</v>
      </c>
      <c r="I106" s="17">
        <v>2</v>
      </c>
      <c r="J106" s="2">
        <v>0</v>
      </c>
      <c r="K106" s="2">
        <v>1981.3666666666666</v>
      </c>
      <c r="L106" s="2">
        <v>918.90000000000009</v>
      </c>
    </row>
    <row r="107" spans="1:12" x14ac:dyDescent="0.3">
      <c r="A107" s="7">
        <v>45394</v>
      </c>
      <c r="B107" s="2">
        <v>1446.7809523809524</v>
      </c>
      <c r="C107" s="2">
        <v>140.54642857142855</v>
      </c>
      <c r="D107" s="2">
        <v>62.80952380952381</v>
      </c>
      <c r="E107" s="2">
        <v>77.740476190476187</v>
      </c>
      <c r="F107" s="2">
        <v>8.466666666666665</v>
      </c>
      <c r="G107" s="2">
        <v>90.615476190476187</v>
      </c>
      <c r="H107" s="2">
        <v>15</v>
      </c>
      <c r="I107" s="17">
        <v>1.5</v>
      </c>
      <c r="J107" s="2">
        <v>0</v>
      </c>
      <c r="K107" s="2">
        <v>1446.7809523809524</v>
      </c>
      <c r="L107" s="2">
        <v>565.28571428571422</v>
      </c>
    </row>
    <row r="108" spans="1:12" x14ac:dyDescent="0.3">
      <c r="A108" s="7">
        <v>45395</v>
      </c>
      <c r="B108" s="2">
        <v>6761.2809523809519</v>
      </c>
      <c r="C108" s="2">
        <v>936.84642857142853</v>
      </c>
      <c r="D108" s="2">
        <v>240.2095238095238</v>
      </c>
      <c r="E108" s="2">
        <v>210.04047619047617</v>
      </c>
      <c r="F108" s="2">
        <v>15.866666666666665</v>
      </c>
      <c r="G108" s="2">
        <v>591.21547619047624</v>
      </c>
      <c r="H108" s="2">
        <v>138.5</v>
      </c>
      <c r="I108" s="17">
        <v>0.5</v>
      </c>
      <c r="J108" s="2">
        <v>0</v>
      </c>
      <c r="K108" s="2">
        <v>6761.2809523809519</v>
      </c>
      <c r="L108" s="2">
        <v>2161.8857142857146</v>
      </c>
    </row>
    <row r="109" spans="1:12" x14ac:dyDescent="0.3">
      <c r="A109" s="7">
        <v>45396</v>
      </c>
      <c r="B109" s="2">
        <v>3475</v>
      </c>
      <c r="C109" s="2">
        <v>342.6</v>
      </c>
      <c r="D109" s="2">
        <v>127.5</v>
      </c>
      <c r="E109" s="2">
        <v>92.100000000000009</v>
      </c>
      <c r="F109" s="2">
        <v>10.3</v>
      </c>
      <c r="G109" s="2">
        <v>155.6</v>
      </c>
      <c r="H109" s="2">
        <v>20.5</v>
      </c>
      <c r="I109" s="17">
        <v>0.5</v>
      </c>
      <c r="J109" s="2">
        <v>0</v>
      </c>
      <c r="K109" s="2">
        <v>3475</v>
      </c>
      <c r="L109" s="2">
        <v>1147.5</v>
      </c>
    </row>
    <row r="110" spans="1:12" x14ac:dyDescent="0.3">
      <c r="A110" s="7">
        <v>45397</v>
      </c>
      <c r="B110" s="2">
        <v>1697.6833333333334</v>
      </c>
      <c r="C110" s="2">
        <v>241.83888888888887</v>
      </c>
      <c r="D110" s="2">
        <v>54.45</v>
      </c>
      <c r="E110" s="2">
        <v>74.044444444444451</v>
      </c>
      <c r="F110" s="2">
        <v>7.8055555555555545</v>
      </c>
      <c r="G110" s="2">
        <v>201.79166666666669</v>
      </c>
      <c r="H110" s="2">
        <v>65</v>
      </c>
      <c r="I110" s="17">
        <v>0.5</v>
      </c>
      <c r="J110" s="2">
        <v>0</v>
      </c>
      <c r="K110" s="2">
        <v>1697.6833333333334</v>
      </c>
      <c r="L110" s="2">
        <v>490.05000000000007</v>
      </c>
    </row>
    <row r="111" spans="1:12" x14ac:dyDescent="0.3">
      <c r="A111" s="7">
        <v>45398</v>
      </c>
      <c r="B111" s="2">
        <v>2614.1476190476192</v>
      </c>
      <c r="C111" s="2">
        <v>412.20642857142855</v>
      </c>
      <c r="D111" s="2">
        <v>73.624523809523808</v>
      </c>
      <c r="E111" s="2">
        <v>102.20380952380953</v>
      </c>
      <c r="F111" s="2">
        <v>5.8299999999999992</v>
      </c>
      <c r="G111" s="2">
        <v>386.47047619047618</v>
      </c>
      <c r="H111" s="2">
        <v>60.45</v>
      </c>
      <c r="I111" s="17">
        <v>0.5</v>
      </c>
      <c r="J111" s="2">
        <v>0</v>
      </c>
      <c r="K111" s="2">
        <v>2614.1476190476192</v>
      </c>
      <c r="L111" s="2">
        <v>662.62071428571426</v>
      </c>
    </row>
    <row r="112" spans="1:12" x14ac:dyDescent="0.3">
      <c r="A112" s="7">
        <v>45399</v>
      </c>
      <c r="B112" s="2">
        <v>2384.9333333333334</v>
      </c>
      <c r="C112" s="2">
        <v>390.66500000000002</v>
      </c>
      <c r="D112" s="2">
        <v>63.115000000000002</v>
      </c>
      <c r="E112" s="2">
        <v>73.701666666666682</v>
      </c>
      <c r="F112" s="2">
        <v>42.146666666666668</v>
      </c>
      <c r="G112" s="2">
        <v>265.63499999999999</v>
      </c>
      <c r="H112" s="2">
        <v>65.55</v>
      </c>
      <c r="I112" s="17">
        <v>0.5</v>
      </c>
      <c r="J112" s="2">
        <v>0</v>
      </c>
      <c r="K112" s="2">
        <v>2384.9333333333334</v>
      </c>
      <c r="L112" s="2">
        <v>568.03499999999997</v>
      </c>
    </row>
    <row r="113" spans="1:12" x14ac:dyDescent="0.3">
      <c r="A113" s="7">
        <v>45400</v>
      </c>
      <c r="B113" s="2">
        <v>1826.8833333333332</v>
      </c>
      <c r="C113" s="2">
        <v>321.42</v>
      </c>
      <c r="D113" s="2">
        <v>38.720000000000006</v>
      </c>
      <c r="E113" s="2">
        <v>74.12166666666667</v>
      </c>
      <c r="F113" s="2">
        <v>49.881666666666668</v>
      </c>
      <c r="G113" s="2">
        <v>231.05500000000001</v>
      </c>
      <c r="H113" s="2">
        <v>73.900000000000006</v>
      </c>
      <c r="I113" s="17">
        <v>0.5</v>
      </c>
      <c r="J113" s="2">
        <v>0</v>
      </c>
      <c r="K113" s="2">
        <v>1826.8833333333332</v>
      </c>
      <c r="L113" s="2">
        <v>348.48</v>
      </c>
    </row>
    <row r="114" spans="1:12" x14ac:dyDescent="0.3">
      <c r="A114" s="7">
        <v>45401</v>
      </c>
      <c r="B114" s="2">
        <v>3227.333333333333</v>
      </c>
      <c r="C114" s="2">
        <v>466.72500000000002</v>
      </c>
      <c r="D114" s="2">
        <v>73.174999999999997</v>
      </c>
      <c r="E114" s="2">
        <v>90.541666666666671</v>
      </c>
      <c r="F114" s="2">
        <v>47.56666666666667</v>
      </c>
      <c r="G114" s="2">
        <v>326.67500000000001</v>
      </c>
      <c r="H114" s="2">
        <v>78.75</v>
      </c>
      <c r="I114" s="17">
        <v>0</v>
      </c>
      <c r="J114" s="2">
        <v>0</v>
      </c>
      <c r="K114" s="2">
        <v>3227.333333333333</v>
      </c>
      <c r="L114" s="2">
        <v>658.57500000000005</v>
      </c>
    </row>
    <row r="115" spans="1:12" x14ac:dyDescent="0.3">
      <c r="A115" s="7">
        <v>45402</v>
      </c>
      <c r="B115" s="2">
        <v>5149.2775000000001</v>
      </c>
      <c r="C115" s="2">
        <v>797.06784722222221</v>
      </c>
      <c r="D115" s="2">
        <v>134.22624999999999</v>
      </c>
      <c r="E115" s="2">
        <v>136.32965277777777</v>
      </c>
      <c r="F115" s="2">
        <v>17.288888888888888</v>
      </c>
      <c r="G115" s="2">
        <v>638.91187500000001</v>
      </c>
      <c r="H115" s="2">
        <v>103</v>
      </c>
      <c r="I115" s="17">
        <v>0.5</v>
      </c>
      <c r="J115" s="2">
        <v>0</v>
      </c>
      <c r="K115" s="2">
        <v>5149.2775000000001</v>
      </c>
      <c r="L115" s="2">
        <v>1208.0362500000001</v>
      </c>
    </row>
    <row r="116" spans="1:12" x14ac:dyDescent="0.3">
      <c r="A116" s="7">
        <v>45403</v>
      </c>
      <c r="B116" s="2">
        <v>6937.7775000000001</v>
      </c>
      <c r="C116" s="2">
        <v>989.93312500000002</v>
      </c>
      <c r="D116" s="2">
        <v>266.45125000000002</v>
      </c>
      <c r="E116" s="2">
        <v>192.764375</v>
      </c>
      <c r="F116" s="2">
        <v>34.024999999999999</v>
      </c>
      <c r="G116" s="2">
        <v>522.52437499999996</v>
      </c>
      <c r="H116" s="2">
        <v>154</v>
      </c>
      <c r="I116" s="17">
        <v>0</v>
      </c>
      <c r="J116" s="2">
        <v>0</v>
      </c>
      <c r="K116" s="2">
        <v>6937.7775000000001</v>
      </c>
      <c r="L116" s="2">
        <v>2398.0612499999997</v>
      </c>
    </row>
    <row r="117" spans="1:12" x14ac:dyDescent="0.3">
      <c r="A117" s="7">
        <v>45404</v>
      </c>
      <c r="B117" s="2">
        <v>1985.5549999999998</v>
      </c>
      <c r="C117" s="2">
        <v>303.86625000000004</v>
      </c>
      <c r="D117" s="2">
        <v>64.902500000000003</v>
      </c>
      <c r="E117" s="2">
        <v>49.528750000000002</v>
      </c>
      <c r="F117" s="2">
        <v>6.05</v>
      </c>
      <c r="G117" s="2">
        <v>208.04874999999998</v>
      </c>
      <c r="H117" s="2">
        <v>63</v>
      </c>
      <c r="I117" s="17">
        <v>0</v>
      </c>
      <c r="J117" s="2">
        <v>0</v>
      </c>
      <c r="K117" s="2">
        <v>1985.5549999999998</v>
      </c>
      <c r="L117" s="2">
        <v>584.12249999999995</v>
      </c>
    </row>
    <row r="118" spans="1:12" x14ac:dyDescent="0.3">
      <c r="A118" s="7">
        <v>45405</v>
      </c>
      <c r="B118" s="2">
        <v>2473.7108333333331</v>
      </c>
      <c r="C118" s="2">
        <v>310.198125</v>
      </c>
      <c r="D118" s="2">
        <v>86.866250000000008</v>
      </c>
      <c r="E118" s="2">
        <v>96.066041666666663</v>
      </c>
      <c r="F118" s="2">
        <v>29.471666666666664</v>
      </c>
      <c r="G118" s="2">
        <v>154.55937500000002</v>
      </c>
      <c r="H118" s="2">
        <v>25.55</v>
      </c>
      <c r="I118" s="17">
        <v>2</v>
      </c>
      <c r="J118" s="2">
        <v>0</v>
      </c>
      <c r="K118" s="2">
        <v>2473.7108333333331</v>
      </c>
      <c r="L118" s="2">
        <v>781.7962500000001</v>
      </c>
    </row>
    <row r="119" spans="1:12" x14ac:dyDescent="0.3">
      <c r="A119" s="7">
        <v>45406</v>
      </c>
      <c r="B119" s="2">
        <v>3155.1333333333332</v>
      </c>
      <c r="C119" s="2">
        <v>326.05972222222221</v>
      </c>
      <c r="D119" s="2">
        <v>128.44999999999999</v>
      </c>
      <c r="E119" s="2">
        <v>157.00694444444446</v>
      </c>
      <c r="F119" s="2">
        <v>24.130555555555553</v>
      </c>
      <c r="G119" s="2">
        <v>197.26250000000002</v>
      </c>
      <c r="H119" s="2">
        <v>29.75</v>
      </c>
      <c r="I119" s="17">
        <v>1</v>
      </c>
      <c r="J119" s="2">
        <v>0</v>
      </c>
      <c r="K119" s="2">
        <v>3155.1333333333332</v>
      </c>
      <c r="L119" s="2">
        <v>1156.05</v>
      </c>
    </row>
    <row r="120" spans="1:12" x14ac:dyDescent="0.3">
      <c r="A120" s="7">
        <v>45407</v>
      </c>
      <c r="B120" s="2">
        <v>2717.6</v>
      </c>
      <c r="C120" s="2">
        <v>268.66944444444448</v>
      </c>
      <c r="D120" s="2">
        <v>125.25000000000001</v>
      </c>
      <c r="E120" s="2">
        <v>165.53055555555559</v>
      </c>
      <c r="F120" s="2">
        <v>10.327777777777776</v>
      </c>
      <c r="G120" s="2">
        <v>234.97500000000002</v>
      </c>
      <c r="H120" s="2">
        <v>75</v>
      </c>
      <c r="I120" s="17">
        <v>0</v>
      </c>
      <c r="J120" s="2">
        <v>0</v>
      </c>
      <c r="K120" s="2">
        <v>2717.6</v>
      </c>
      <c r="L120" s="2">
        <v>1127.25</v>
      </c>
    </row>
    <row r="121" spans="1:12" x14ac:dyDescent="0.3">
      <c r="A121" s="7">
        <v>45408</v>
      </c>
      <c r="B121" s="2">
        <v>7706.8</v>
      </c>
      <c r="C121" s="2">
        <v>934.53472222222229</v>
      </c>
      <c r="D121" s="2">
        <v>327.47499999999997</v>
      </c>
      <c r="E121" s="2">
        <v>276.46527777777777</v>
      </c>
      <c r="F121" s="2">
        <v>28.763888888888889</v>
      </c>
      <c r="G121" s="2">
        <v>523.58749999999998</v>
      </c>
      <c r="H121" s="2">
        <v>98.666666666666671</v>
      </c>
      <c r="I121" s="17">
        <v>0</v>
      </c>
      <c r="J121" s="2">
        <v>0</v>
      </c>
      <c r="K121" s="2">
        <v>7706.8</v>
      </c>
      <c r="L121" s="2">
        <v>2947.2750000000001</v>
      </c>
    </row>
    <row r="122" spans="1:12" x14ac:dyDescent="0.3">
      <c r="A122" s="7">
        <v>45409</v>
      </c>
      <c r="B122" s="2">
        <v>6005.7866666666669</v>
      </c>
      <c r="C122" s="2">
        <v>970.16666666666674</v>
      </c>
      <c r="D122" s="2">
        <v>195.5</v>
      </c>
      <c r="E122" s="2">
        <v>95.833333333333343</v>
      </c>
      <c r="F122" s="2">
        <v>36.256666666666668</v>
      </c>
      <c r="G122" s="2">
        <v>653.99</v>
      </c>
      <c r="H122" s="2">
        <v>126.7</v>
      </c>
      <c r="I122" s="17">
        <v>0</v>
      </c>
      <c r="J122" s="2">
        <v>0</v>
      </c>
      <c r="K122" s="2">
        <v>6005.7866666666669</v>
      </c>
      <c r="L122" s="2">
        <v>1759.5</v>
      </c>
    </row>
    <row r="123" spans="1:12" x14ac:dyDescent="0.3">
      <c r="A123" s="7">
        <v>45410</v>
      </c>
      <c r="B123" s="2"/>
      <c r="C123" s="2"/>
      <c r="D123" s="2"/>
      <c r="E123" s="2"/>
      <c r="F123" s="2"/>
      <c r="G123" s="2"/>
      <c r="H123" s="2"/>
      <c r="J123" s="2"/>
      <c r="K123" s="2"/>
      <c r="L123" s="2"/>
    </row>
    <row r="124" spans="1:12" x14ac:dyDescent="0.3">
      <c r="A124" s="7">
        <v>45411</v>
      </c>
      <c r="B124" s="2"/>
      <c r="C124" s="2"/>
      <c r="D124" s="2"/>
      <c r="E124" s="2"/>
      <c r="F124" s="2"/>
      <c r="G124" s="2"/>
      <c r="H124" s="2"/>
      <c r="J124" s="2"/>
      <c r="K124" s="2"/>
      <c r="L124" s="2"/>
    </row>
    <row r="125" spans="1:12" x14ac:dyDescent="0.3">
      <c r="A125" s="7">
        <v>45412</v>
      </c>
      <c r="B125" s="2"/>
      <c r="C125" s="2"/>
      <c r="D125" s="2"/>
      <c r="E125" s="2"/>
      <c r="F125" s="2"/>
      <c r="G125" s="2"/>
      <c r="H125" s="2"/>
      <c r="J125" s="2"/>
      <c r="K125" s="2"/>
      <c r="L125" s="2"/>
    </row>
    <row r="126" spans="1:12" x14ac:dyDescent="0.3">
      <c r="A126" s="7">
        <v>45413</v>
      </c>
      <c r="B126" s="2"/>
      <c r="C126" s="2"/>
      <c r="D126" s="2"/>
      <c r="E126" s="2"/>
      <c r="F126" s="2"/>
      <c r="G126" s="2"/>
      <c r="H126" s="2"/>
      <c r="J126" s="2"/>
      <c r="K126" s="2"/>
      <c r="L126" s="2"/>
    </row>
    <row r="127" spans="1:12" x14ac:dyDescent="0.3">
      <c r="A127" s="7">
        <v>45414</v>
      </c>
      <c r="B127" s="2"/>
      <c r="C127" s="2"/>
      <c r="D127" s="2"/>
      <c r="E127" s="2"/>
      <c r="F127" s="2"/>
      <c r="G127" s="2"/>
      <c r="H127" s="2"/>
      <c r="J127" s="2"/>
      <c r="K127" s="2"/>
      <c r="L127" s="2"/>
    </row>
    <row r="128" spans="1:12" x14ac:dyDescent="0.3">
      <c r="A128" s="7">
        <v>45415</v>
      </c>
      <c r="B128" s="2"/>
      <c r="C128" s="2"/>
      <c r="D128" s="2"/>
      <c r="E128" s="2"/>
      <c r="F128" s="2"/>
      <c r="G128" s="2"/>
      <c r="H128" s="2"/>
      <c r="J128" s="2"/>
      <c r="K128" s="2"/>
      <c r="L128" s="2"/>
    </row>
    <row r="129" spans="1:12" x14ac:dyDescent="0.3">
      <c r="A129" s="7">
        <v>45416</v>
      </c>
      <c r="B129" s="2"/>
      <c r="C129" s="2"/>
      <c r="D129" s="2"/>
      <c r="E129" s="2"/>
      <c r="F129" s="2"/>
      <c r="G129" s="2"/>
      <c r="H129" s="2"/>
      <c r="J129" s="2"/>
      <c r="K129" s="2"/>
      <c r="L129" s="2"/>
    </row>
    <row r="130" spans="1:12" x14ac:dyDescent="0.3">
      <c r="A130" s="7">
        <v>45417</v>
      </c>
      <c r="B130" s="2"/>
      <c r="C130" s="2"/>
      <c r="D130" s="2"/>
      <c r="E130" s="2"/>
      <c r="F130" s="2"/>
      <c r="G130" s="2"/>
      <c r="H130" s="2"/>
      <c r="J130" s="2"/>
      <c r="K130" s="2"/>
      <c r="L130" s="2"/>
    </row>
    <row r="131" spans="1:12" x14ac:dyDescent="0.3">
      <c r="A131" s="7">
        <v>45418</v>
      </c>
      <c r="B131" s="2"/>
      <c r="C131" s="2"/>
      <c r="D131" s="2"/>
      <c r="E131" s="2"/>
      <c r="F131" s="2"/>
      <c r="G131" s="2"/>
      <c r="H131" s="2"/>
      <c r="J131" s="2"/>
      <c r="K131" s="2"/>
      <c r="L131" s="2"/>
    </row>
    <row r="132" spans="1:12" x14ac:dyDescent="0.3">
      <c r="A132" s="7">
        <v>45419</v>
      </c>
      <c r="B132" s="2"/>
      <c r="C132" s="2"/>
      <c r="D132" s="2"/>
      <c r="E132" s="2"/>
      <c r="F132" s="2"/>
      <c r="G132" s="2"/>
      <c r="H132" s="2"/>
      <c r="J132" s="2"/>
      <c r="K132" s="2"/>
      <c r="L132" s="2"/>
    </row>
    <row r="133" spans="1:12" x14ac:dyDescent="0.3">
      <c r="A133" s="7">
        <v>45420</v>
      </c>
      <c r="B133" s="2"/>
      <c r="C133" s="2"/>
      <c r="D133" s="2"/>
      <c r="E133" s="2"/>
      <c r="F133" s="2"/>
      <c r="G133" s="2"/>
      <c r="H133" s="2"/>
      <c r="J133" s="2"/>
      <c r="K133" s="2"/>
      <c r="L133" s="2"/>
    </row>
    <row r="134" spans="1:12" x14ac:dyDescent="0.3">
      <c r="A134" s="7">
        <v>45421</v>
      </c>
      <c r="B134" s="2"/>
      <c r="C134" s="2"/>
      <c r="D134" s="2"/>
      <c r="E134" s="2"/>
      <c r="F134" s="2"/>
      <c r="G134" s="2"/>
      <c r="H134" s="2"/>
      <c r="J134" s="2"/>
      <c r="K134" s="2"/>
      <c r="L134" s="2"/>
    </row>
    <row r="135" spans="1:12" x14ac:dyDescent="0.3">
      <c r="A135" s="7">
        <v>45422</v>
      </c>
      <c r="B135" s="2"/>
      <c r="C135" s="2"/>
      <c r="D135" s="2"/>
      <c r="E135" s="2"/>
      <c r="F135" s="2"/>
      <c r="G135" s="2"/>
      <c r="H135" s="2"/>
      <c r="J135" s="2"/>
      <c r="K135" s="2"/>
      <c r="L135" s="2"/>
    </row>
    <row r="136" spans="1:12" x14ac:dyDescent="0.3">
      <c r="A136" s="7">
        <v>45423</v>
      </c>
      <c r="B136" s="2"/>
      <c r="C136" s="2"/>
      <c r="D136" s="2"/>
      <c r="E136" s="2"/>
      <c r="F136" s="2"/>
      <c r="G136" s="2"/>
      <c r="H136" s="2"/>
      <c r="J136" s="2"/>
      <c r="K136" s="2"/>
      <c r="L136" s="2"/>
    </row>
    <row r="137" spans="1:12" x14ac:dyDescent="0.3">
      <c r="A137" s="7">
        <v>45424</v>
      </c>
      <c r="B137" s="2"/>
      <c r="C137" s="2"/>
      <c r="D137" s="2"/>
      <c r="E137" s="2"/>
      <c r="F137" s="2"/>
      <c r="G137" s="2"/>
      <c r="H137" s="2"/>
      <c r="J137" s="2"/>
      <c r="K137" s="2"/>
      <c r="L137" s="2"/>
    </row>
    <row r="138" spans="1:12" x14ac:dyDescent="0.3">
      <c r="A138" s="7">
        <v>45425</v>
      </c>
      <c r="B138" s="2"/>
      <c r="C138" s="2"/>
      <c r="D138" s="2"/>
      <c r="E138" s="2"/>
      <c r="F138" s="2"/>
      <c r="G138" s="2"/>
      <c r="H138" s="2"/>
      <c r="J138" s="2"/>
      <c r="K138" s="2"/>
      <c r="L138" s="2"/>
    </row>
    <row r="139" spans="1:12" x14ac:dyDescent="0.3">
      <c r="A139" s="7">
        <v>45426</v>
      </c>
      <c r="B139" s="2"/>
      <c r="C139" s="2"/>
      <c r="D139" s="2"/>
      <c r="E139" s="2"/>
      <c r="F139" s="2"/>
      <c r="G139" s="2"/>
      <c r="H139" s="2"/>
      <c r="J139" s="2"/>
      <c r="K139" s="2"/>
      <c r="L139" s="2"/>
    </row>
    <row r="140" spans="1:12" x14ac:dyDescent="0.3">
      <c r="A140" s="7">
        <v>45427</v>
      </c>
      <c r="B140" s="2"/>
      <c r="C140" s="2"/>
      <c r="D140" s="2"/>
      <c r="E140" s="2"/>
      <c r="F140" s="2"/>
      <c r="G140" s="2"/>
      <c r="H140" s="2"/>
      <c r="J140" s="2"/>
      <c r="K140" s="2"/>
      <c r="L140" s="2"/>
    </row>
    <row r="141" spans="1:12" x14ac:dyDescent="0.3">
      <c r="A141" s="7">
        <v>45428</v>
      </c>
      <c r="B141" s="2"/>
      <c r="C141" s="2"/>
      <c r="D141" s="2"/>
      <c r="E141" s="2"/>
      <c r="F141" s="2"/>
      <c r="G141" s="2"/>
      <c r="H141" s="2"/>
      <c r="J141" s="2"/>
      <c r="K141" s="2"/>
      <c r="L141" s="2"/>
    </row>
    <row r="142" spans="1:12" x14ac:dyDescent="0.3">
      <c r="A142" s="7">
        <v>45429</v>
      </c>
      <c r="B142" s="2"/>
      <c r="C142" s="2"/>
      <c r="D142" s="2"/>
      <c r="E142" s="2"/>
      <c r="F142" s="2"/>
      <c r="G142" s="2"/>
      <c r="H142" s="2"/>
      <c r="J142" s="2"/>
      <c r="K142" s="2"/>
      <c r="L142" s="2"/>
    </row>
    <row r="143" spans="1:12" x14ac:dyDescent="0.3">
      <c r="A143" s="7">
        <v>45430</v>
      </c>
      <c r="B143" s="2"/>
      <c r="C143" s="2"/>
      <c r="D143" s="2"/>
      <c r="E143" s="2"/>
      <c r="F143" s="2"/>
      <c r="G143" s="2"/>
      <c r="H143" s="2"/>
      <c r="J143" s="2"/>
      <c r="K143" s="2"/>
      <c r="L143" s="2"/>
    </row>
    <row r="144" spans="1:12" x14ac:dyDescent="0.3">
      <c r="A144" s="7">
        <v>45431</v>
      </c>
      <c r="B144" s="2"/>
      <c r="C144" s="2"/>
      <c r="D144" s="2"/>
      <c r="E144" s="2"/>
      <c r="F144" s="2"/>
      <c r="G144" s="2"/>
      <c r="H144" s="2"/>
      <c r="J144" s="2"/>
      <c r="K144" s="2"/>
      <c r="L144" s="2"/>
    </row>
    <row r="145" spans="1:12" x14ac:dyDescent="0.3">
      <c r="A145" s="7">
        <v>45432</v>
      </c>
      <c r="B145" s="2"/>
      <c r="C145" s="2"/>
      <c r="D145" s="2"/>
      <c r="E145" s="2"/>
      <c r="F145" s="2"/>
      <c r="G145" s="2"/>
      <c r="H145" s="2"/>
      <c r="J145" s="2"/>
      <c r="K145" s="2"/>
      <c r="L145" s="2"/>
    </row>
    <row r="146" spans="1:12" x14ac:dyDescent="0.3">
      <c r="A146" s="7">
        <v>45433</v>
      </c>
      <c r="B146" s="2"/>
      <c r="C146" s="2"/>
      <c r="D146" s="2"/>
      <c r="E146" s="2"/>
      <c r="F146" s="2"/>
      <c r="G146" s="2"/>
      <c r="H146" s="2"/>
      <c r="J146" s="2"/>
      <c r="K146" s="2"/>
      <c r="L146" s="2"/>
    </row>
    <row r="147" spans="1:12" x14ac:dyDescent="0.3">
      <c r="A147" s="7">
        <v>45434</v>
      </c>
      <c r="B147" s="2"/>
      <c r="C147" s="2"/>
      <c r="D147" s="2"/>
      <c r="E147" s="2"/>
      <c r="F147" s="2"/>
      <c r="G147" s="2"/>
      <c r="H147" s="2"/>
      <c r="J147" s="2"/>
      <c r="K147" s="2"/>
      <c r="L147" s="2"/>
    </row>
    <row r="148" spans="1:12" x14ac:dyDescent="0.3">
      <c r="A148" s="7">
        <v>45435</v>
      </c>
      <c r="B148" s="2"/>
      <c r="C148" s="2"/>
      <c r="D148" s="2"/>
      <c r="E148" s="2"/>
      <c r="F148" s="2"/>
      <c r="G148" s="2"/>
      <c r="H148" s="2"/>
      <c r="J148" s="2"/>
      <c r="K148" s="2"/>
      <c r="L148" s="2"/>
    </row>
    <row r="149" spans="1:12" x14ac:dyDescent="0.3">
      <c r="A149" s="7">
        <v>45436</v>
      </c>
      <c r="B149" s="2"/>
      <c r="C149" s="2"/>
      <c r="D149" s="2"/>
      <c r="E149" s="2"/>
      <c r="F149" s="2"/>
      <c r="G149" s="2"/>
      <c r="H149" s="2"/>
      <c r="J149" s="2"/>
      <c r="K149" s="2"/>
      <c r="L149" s="2"/>
    </row>
    <row r="150" spans="1:12" x14ac:dyDescent="0.3">
      <c r="A150" s="7">
        <v>45437</v>
      </c>
      <c r="B150" s="2"/>
      <c r="C150" s="2"/>
      <c r="D150" s="2"/>
      <c r="E150" s="2"/>
      <c r="F150" s="2"/>
      <c r="G150" s="2"/>
      <c r="H150" s="2"/>
      <c r="J150" s="2"/>
      <c r="K150" s="2"/>
      <c r="L150" s="2"/>
    </row>
    <row r="151" spans="1:12" x14ac:dyDescent="0.3">
      <c r="A151" s="7">
        <v>45438</v>
      </c>
      <c r="B151" s="2"/>
      <c r="C151" s="2"/>
      <c r="D151" s="2"/>
      <c r="E151" s="2"/>
      <c r="F151" s="2"/>
      <c r="G151" s="2"/>
      <c r="H151" s="2"/>
      <c r="J151" s="2"/>
      <c r="K151" s="2"/>
      <c r="L151" s="2"/>
    </row>
    <row r="152" spans="1:12" x14ac:dyDescent="0.3">
      <c r="A152" s="7">
        <v>45439</v>
      </c>
      <c r="B152" s="2"/>
      <c r="C152" s="2"/>
      <c r="D152" s="2"/>
      <c r="E152" s="2"/>
      <c r="F152" s="2"/>
      <c r="G152" s="2"/>
      <c r="H152" s="2"/>
      <c r="J152" s="2"/>
      <c r="K152" s="2"/>
      <c r="L152" s="2"/>
    </row>
    <row r="153" spans="1:12" x14ac:dyDescent="0.3">
      <c r="A153" s="7">
        <v>45440</v>
      </c>
      <c r="B153" s="2"/>
      <c r="C153" s="2"/>
      <c r="D153" s="2"/>
      <c r="E153" s="2"/>
      <c r="F153" s="2"/>
      <c r="G153" s="2"/>
      <c r="H153" s="2"/>
      <c r="J153" s="2"/>
      <c r="K153" s="2"/>
      <c r="L153" s="2"/>
    </row>
    <row r="154" spans="1:12" x14ac:dyDescent="0.3">
      <c r="A154" s="7">
        <v>45441</v>
      </c>
      <c r="B154" s="2"/>
      <c r="C154" s="2"/>
      <c r="D154" s="2"/>
      <c r="E154" s="2"/>
      <c r="F154" s="2"/>
      <c r="G154" s="2"/>
      <c r="H154" s="2"/>
      <c r="J154" s="2"/>
      <c r="K154" s="2"/>
      <c r="L154" s="2"/>
    </row>
    <row r="155" spans="1:12" x14ac:dyDescent="0.3">
      <c r="A155" s="7">
        <v>45442</v>
      </c>
      <c r="B155" s="2"/>
      <c r="C155" s="2"/>
      <c r="D155" s="2"/>
      <c r="E155" s="2"/>
      <c r="F155" s="2"/>
      <c r="G155" s="2"/>
      <c r="H155" s="2"/>
      <c r="J155" s="2"/>
      <c r="K155" s="2"/>
      <c r="L155" s="2"/>
    </row>
    <row r="156" spans="1:12" x14ac:dyDescent="0.3">
      <c r="A156" s="7">
        <v>45443</v>
      </c>
      <c r="B156" s="2"/>
      <c r="C156" s="2"/>
      <c r="D156" s="2"/>
      <c r="E156" s="2"/>
      <c r="F156" s="2"/>
      <c r="G156" s="2"/>
      <c r="H156" s="2"/>
      <c r="J156" s="2"/>
      <c r="K156" s="2"/>
      <c r="L156" s="2"/>
    </row>
    <row r="157" spans="1:12" x14ac:dyDescent="0.3">
      <c r="A157" s="7">
        <v>45444</v>
      </c>
      <c r="B157" s="2"/>
      <c r="C157" s="2"/>
      <c r="D157" s="2"/>
      <c r="E157" s="2"/>
      <c r="F157" s="2"/>
      <c r="G157" s="2"/>
      <c r="H157" s="2"/>
      <c r="J157" s="2"/>
      <c r="K157" s="2"/>
      <c r="L157" s="2"/>
    </row>
    <row r="158" spans="1:12" x14ac:dyDescent="0.3">
      <c r="A158" s="7">
        <v>45445</v>
      </c>
      <c r="B158" s="2"/>
      <c r="C158" s="2"/>
      <c r="D158" s="2"/>
      <c r="E158" s="2"/>
      <c r="F158" s="2"/>
      <c r="G158" s="2"/>
      <c r="H158" s="2"/>
      <c r="J158" s="2"/>
      <c r="K158" s="2"/>
      <c r="L158" s="2"/>
    </row>
    <row r="159" spans="1:12" x14ac:dyDescent="0.3">
      <c r="A159" s="7">
        <v>45446</v>
      </c>
      <c r="B159" s="2"/>
      <c r="C159" s="2"/>
      <c r="D159" s="2"/>
      <c r="E159" s="2"/>
      <c r="F159" s="2"/>
      <c r="G159" s="2"/>
      <c r="H159" s="2"/>
      <c r="J159" s="2"/>
      <c r="K159" s="2"/>
      <c r="L159" s="2"/>
    </row>
    <row r="160" spans="1:12" x14ac:dyDescent="0.3">
      <c r="A160" s="7">
        <v>45447</v>
      </c>
      <c r="B160" s="2"/>
      <c r="C160" s="2"/>
      <c r="D160" s="2"/>
      <c r="E160" s="2"/>
      <c r="F160" s="2"/>
      <c r="G160" s="2"/>
      <c r="H160" s="2"/>
      <c r="J160" s="2"/>
      <c r="K160" s="2"/>
      <c r="L160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2D708F-3B1A-4003-9A36-D757E8B9D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</vt:lpstr>
      <vt:lpstr>Measurements</vt:lpstr>
      <vt:lpstr>Differences</vt:lpstr>
      <vt:lpstr>Nutrition Records</vt:lpstr>
    </vt:vector>
  </TitlesOfParts>
  <Manager>William Chaudoin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Weight and Waist</dc:title>
  <dc:subject/>
  <dc:creator>William Chaudoin</dc:creator>
  <cp:keywords>Weight, Waist, Measurement, pounds, inches, average, sum</cp:keywords>
  <dc:description/>
  <cp:lastModifiedBy>William Chaudoin</cp:lastModifiedBy>
  <cp:revision/>
  <dcterms:created xsi:type="dcterms:W3CDTF">2021-07-28T13:41:38Z</dcterms:created>
  <dcterms:modified xsi:type="dcterms:W3CDTF">2024-04-29T11:47:20Z</dcterms:modified>
  <cp:category/>
  <cp:contentStatus/>
</cp:coreProperties>
</file>